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Matsi\Desktop\Projects\IB Projects\Lyft\Modelling\"/>
    </mc:Choice>
  </mc:AlternateContent>
  <xr:revisionPtr revIDLastSave="0" documentId="13_ncr:1_{99D600DF-9CFD-4A48-806D-DA47476615F7}" xr6:coauthVersionLast="47" xr6:coauthVersionMax="47" xr10:uidLastSave="{00000000-0000-0000-0000-000000000000}"/>
  <bookViews>
    <workbookView xWindow="-120" yWindow="-120" windowWidth="20730" windowHeight="11040" tabRatio="777" activeTab="5" xr2:uid="{00000000-000D-0000-FFFF-FFFF00000000}"/>
  </bookViews>
  <sheets>
    <sheet name="APIC" sheetId="7" r:id="rId1"/>
    <sheet name="Mark_Secs" sheetId="8" r:id="rId2"/>
    <sheet name="Schedules" sheetId="5" r:id="rId3"/>
    <sheet name="Debt_Schedule" sheetId="6" r:id="rId4"/>
    <sheet name="3_Statement_Model" sheetId="1" r:id="rId5"/>
    <sheet name="DCF" sheetId="10" r:id="rId6"/>
    <sheet name="Assumptions" sheetId="4" r:id="rId7"/>
    <sheet name="Sheet1" sheetId="9" r:id="rId8"/>
    <sheet name="Revenue_Regression" sheetId="2" r:id="rId9"/>
  </sheets>
  <definedNames>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7" l="1"/>
  <c r="E17" i="7"/>
  <c r="F17" i="7"/>
  <c r="G17" i="7"/>
  <c r="C17" i="7"/>
  <c r="D88" i="5"/>
  <c r="C29" i="1"/>
  <c r="D29" i="1"/>
  <c r="E29" i="1"/>
  <c r="F29" i="1"/>
  <c r="G29" i="1"/>
  <c r="B29" i="1"/>
  <c r="D32" i="4" s="1"/>
  <c r="M67" i="9"/>
  <c r="I63" i="9"/>
  <c r="J63" i="9" s="1"/>
  <c r="K63" i="9" s="1"/>
  <c r="L63" i="9" s="1"/>
  <c r="M63" i="9" s="1"/>
  <c r="N63" i="9" s="1"/>
  <c r="F63" i="9"/>
  <c r="G63" i="9" s="1"/>
  <c r="H63" i="9" s="1"/>
  <c r="E63" i="9"/>
  <c r="D63" i="9"/>
  <c r="I64" i="9"/>
  <c r="H64" i="1" s="1"/>
  <c r="H95"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I66" i="9"/>
  <c r="J66" i="9"/>
  <c r="K66" i="9"/>
  <c r="L66" i="9"/>
  <c r="M66" i="9"/>
  <c r="N66" i="9"/>
  <c r="I67" i="9" l="1"/>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J64" i="1" s="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I95" i="1" l="1"/>
  <c r="K64" i="1"/>
  <c r="L64" i="1" s="1"/>
  <c r="J95" i="1"/>
  <c r="I28" i="1"/>
  <c r="J28" i="1" s="1"/>
  <c r="K28" i="1" s="1"/>
  <c r="L28" i="1" s="1"/>
  <c r="M28" i="1" s="1"/>
  <c r="H26" i="1"/>
  <c r="I26" i="1" s="1"/>
  <c r="J26" i="1" s="1"/>
  <c r="K26" i="1" s="1"/>
  <c r="L26" i="1" s="1"/>
  <c r="M26" i="1" s="1"/>
  <c r="H27" i="1"/>
  <c r="I27" i="1" s="1"/>
  <c r="J27" i="1" s="1"/>
  <c r="K27" i="1" s="1"/>
  <c r="L27" i="1" s="1"/>
  <c r="M27" i="1" s="1"/>
  <c r="H24" i="1"/>
  <c r="I24" i="1" s="1"/>
  <c r="J24" i="1" s="1"/>
  <c r="K24" i="1" s="1"/>
  <c r="L24" i="1" s="1"/>
  <c r="M24" i="1" s="1"/>
  <c r="H25" i="1"/>
  <c r="I25" i="1" s="1"/>
  <c r="J25" i="1" s="1"/>
  <c r="K25" i="1" s="1"/>
  <c r="L25" i="1" s="1"/>
  <c r="M25" i="1" s="1"/>
  <c r="N64" i="9"/>
  <c r="N57" i="9"/>
  <c r="M57" i="9"/>
  <c r="N56" i="9"/>
  <c r="M56" i="9"/>
  <c r="L59" i="9"/>
  <c r="N53" i="9"/>
  <c r="M53" i="9"/>
  <c r="I9" i="8"/>
  <c r="J7" i="8"/>
  <c r="K8" i="8"/>
  <c r="L8" i="8" s="1"/>
  <c r="M64" i="1" l="1"/>
  <c r="K95" i="1"/>
  <c r="M59" i="9"/>
  <c r="N59" i="9"/>
  <c r="J9" i="8"/>
  <c r="M8" i="8"/>
  <c r="N8" i="8" s="1"/>
  <c r="K7" i="8"/>
  <c r="K9" i="8" s="1"/>
  <c r="L95" i="1" l="1"/>
  <c r="L7" i="8"/>
  <c r="L9" i="8" s="1"/>
  <c r="M95" i="1" l="1"/>
  <c r="M7" i="8"/>
  <c r="M9" i="8" s="1"/>
  <c r="N7" i="8" l="1"/>
  <c r="N9" i="8" s="1"/>
  <c r="R26" i="5"/>
  <c r="W25" i="5"/>
  <c r="W27" i="5" s="1"/>
  <c r="V25" i="5"/>
  <c r="V27" i="5" s="1"/>
  <c r="U25" i="5"/>
  <c r="U30" i="5" s="1"/>
  <c r="T25" i="5"/>
  <c r="T30" i="5" s="1"/>
  <c r="S25" i="5"/>
  <c r="S27" i="5" s="1"/>
  <c r="R25" i="5"/>
  <c r="S17" i="5"/>
  <c r="T17" i="5" s="1"/>
  <c r="U17" i="5" s="1"/>
  <c r="V17" i="5" s="1"/>
  <c r="W17" i="5" s="1"/>
  <c r="C126" i="1"/>
  <c r="D126" i="1"/>
  <c r="E126" i="1"/>
  <c r="F126" i="1"/>
  <c r="G126" i="1"/>
  <c r="T27" i="5" l="1"/>
  <c r="U27" i="5"/>
  <c r="S30" i="5"/>
  <c r="Z31" i="5" s="1"/>
  <c r="Z30" i="5" s="1"/>
  <c r="R27" i="5"/>
  <c r="W30" i="5"/>
  <c r="V30" i="5"/>
  <c r="AB31" i="5" s="1"/>
  <c r="AB30" i="5" s="1"/>
  <c r="AC33" i="5" l="1"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L81" i="5"/>
  <c r="K81" i="5"/>
  <c r="M81" i="5" s="1"/>
  <c r="N81" i="5" s="1"/>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L79" i="5" l="1"/>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D128" i="4"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G15" i="5"/>
  <c r="F15" i="5"/>
  <c r="E15" i="5"/>
  <c r="D15" i="5"/>
  <c r="C15" i="5"/>
  <c r="C1" i="5"/>
  <c r="D1" i="5" s="1"/>
  <c r="E1" i="5" s="1"/>
  <c r="F1" i="5" s="1"/>
  <c r="G1" i="5" s="1"/>
  <c r="H1" i="5" s="1"/>
  <c r="I1" i="5" s="1"/>
  <c r="I7" i="5"/>
  <c r="M67" i="6" l="1"/>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J130" i="4"/>
  <c r="M131" i="4"/>
  <c r="K130" i="4"/>
  <c r="N131" i="4"/>
  <c r="I129" i="4"/>
  <c r="I128" i="4" s="1"/>
  <c r="L130" i="4"/>
  <c r="I131" i="4"/>
  <c r="J129" i="4"/>
  <c r="J128" i="4" s="1"/>
  <c r="M130" i="4"/>
  <c r="I130" i="4"/>
  <c r="K129" i="4"/>
  <c r="K128" i="4" s="1"/>
  <c r="N130" i="4"/>
  <c r="L129" i="4"/>
  <c r="L128" i="4" s="1"/>
  <c r="J131" i="4"/>
  <c r="M129" i="4"/>
  <c r="M128" i="4" s="1"/>
  <c r="K131" i="4"/>
  <c r="N129" i="4"/>
  <c r="N128" i="4" s="1"/>
  <c r="L131" i="4"/>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5" i="5"/>
  <c r="I13" i="5"/>
  <c r="I14" i="5"/>
  <c r="I8" i="5"/>
  <c r="I12" i="5"/>
  <c r="I9" i="5"/>
  <c r="I11" i="5"/>
  <c r="I4" i="5"/>
  <c r="I10" i="5"/>
  <c r="M71" i="6" l="1"/>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9" i="5"/>
  <c r="J11" i="5"/>
  <c r="J7" i="5"/>
  <c r="J8" i="5"/>
  <c r="J14" i="5"/>
  <c r="J12" i="5"/>
  <c r="J13" i="5"/>
  <c r="J4" i="5"/>
  <c r="J5" i="5"/>
  <c r="J10" i="5"/>
  <c r="G11" i="6" l="1"/>
  <c r="G13" i="6" s="1"/>
  <c r="G14" i="6" s="1"/>
  <c r="K35" i="6"/>
  <c r="K43" i="6" s="1"/>
  <c r="J44" i="6"/>
  <c r="J23" i="6" s="1"/>
  <c r="N68" i="5"/>
  <c r="N61" i="5"/>
  <c r="J15" i="5"/>
  <c r="L1" i="5"/>
  <c r="K10" i="5"/>
  <c r="K7" i="5"/>
  <c r="K11" i="5"/>
  <c r="K5" i="5"/>
  <c r="K13" i="5"/>
  <c r="K12" i="5"/>
  <c r="K8" i="5"/>
  <c r="K4" i="5"/>
  <c r="K14" i="5"/>
  <c r="K9" i="5"/>
  <c r="L35" i="6" l="1"/>
  <c r="L43" i="6" s="1"/>
  <c r="H11" i="6"/>
  <c r="H13" i="6" s="1"/>
  <c r="H14" i="6" s="1"/>
  <c r="K44" i="6"/>
  <c r="K23" i="6" s="1"/>
  <c r="K15" i="5"/>
  <c r="M1" i="5"/>
  <c r="L5" i="5"/>
  <c r="L4" i="5"/>
  <c r="L7" i="5"/>
  <c r="L10" i="5"/>
  <c r="L8" i="5"/>
  <c r="L13" i="5"/>
  <c r="L14" i="5"/>
  <c r="L12" i="5"/>
  <c r="L11" i="5"/>
  <c r="L9" i="5"/>
  <c r="I11" i="6" l="1"/>
  <c r="I13" i="6" s="1"/>
  <c r="I14" i="6" s="1"/>
  <c r="M35" i="6"/>
  <c r="M43" i="6" s="1"/>
  <c r="M44" i="6" s="1"/>
  <c r="L44" i="6"/>
  <c r="L23" i="6" s="1"/>
  <c r="L27" i="6" s="1"/>
  <c r="L15" i="5"/>
  <c r="N1" i="5"/>
  <c r="M5" i="5"/>
  <c r="M10" i="5"/>
  <c r="M12" i="5"/>
  <c r="M14" i="5"/>
  <c r="M9" i="5"/>
  <c r="M11" i="5"/>
  <c r="M7" i="5"/>
  <c r="M13" i="5"/>
  <c r="M4" i="5"/>
  <c r="M8" i="5"/>
  <c r="L67" i="1" l="1"/>
  <c r="M15" i="5"/>
  <c r="N8" i="5"/>
  <c r="N5" i="5"/>
  <c r="N4" i="5"/>
  <c r="N11" i="5"/>
  <c r="N9" i="5"/>
  <c r="N12" i="5"/>
  <c r="N7" i="5"/>
  <c r="N14" i="5"/>
  <c r="N10" i="5"/>
  <c r="N13" i="5"/>
  <c r="N15" i="5" l="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D32" i="2"/>
  <c r="C32" i="2" s="1"/>
  <c r="H5" i="1"/>
  <c r="I5" i="1" s="1"/>
  <c r="D77" i="1"/>
  <c r="E77" i="1" s="1"/>
  <c r="F77" i="1" s="1"/>
  <c r="D33" i="2"/>
  <c r="C33" i="2" s="1"/>
  <c r="E34" i="2"/>
  <c r="C79" i="1"/>
  <c r="C20" i="1"/>
  <c r="F17" i="1"/>
  <c r="F19" i="1" s="1"/>
  <c r="G17" i="1"/>
  <c r="G19" i="1" s="1"/>
  <c r="D17" i="1"/>
  <c r="D19" i="1" s="1"/>
  <c r="E17" i="1"/>
  <c r="E19" i="1" s="1"/>
  <c r="C38" i="1"/>
  <c r="I43" i="8" l="1"/>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M5" i="1"/>
  <c r="M32" i="1" s="1"/>
  <c r="L32" i="1"/>
  <c r="D37" i="2"/>
  <c r="C37" i="2" s="1"/>
  <c r="E38" i="2"/>
  <c r="F81" i="1"/>
  <c r="F82" i="1"/>
  <c r="G81" i="1"/>
  <c r="G82" i="1"/>
  <c r="J2" i="8" l="1"/>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D41" i="2"/>
  <c r="C41" i="2" s="1"/>
  <c r="E42" i="2"/>
  <c r="K3" i="8" l="1"/>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E46" i="2"/>
  <c r="D45" i="2"/>
  <c r="C45" i="2" s="1"/>
  <c r="L3" i="8" l="1"/>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D49" i="2"/>
  <c r="C49" i="2" s="1"/>
  <c r="E50" i="2"/>
  <c r="M3" i="8" l="1"/>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N107" i="4" s="1"/>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J62" i="4" l="1"/>
  <c r="N62" i="4"/>
  <c r="J107" i="4"/>
  <c r="J112" i="4"/>
  <c r="I62" i="4"/>
  <c r="I32" i="5" s="1"/>
  <c r="I107" i="4"/>
  <c r="L62" i="4"/>
  <c r="K72" i="4"/>
  <c r="J72" i="4"/>
  <c r="K67" i="4"/>
  <c r="M67" i="4"/>
  <c r="K107" i="4"/>
  <c r="L112" i="4"/>
  <c r="M62" i="4"/>
  <c r="I112" i="4"/>
  <c r="N43" i="8"/>
  <c r="N11" i="8"/>
  <c r="M37" i="1"/>
  <c r="L67" i="4"/>
  <c r="I72" i="4"/>
  <c r="H57" i="1" s="1"/>
  <c r="I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I35" i="5"/>
  <c r="I36" i="5"/>
  <c r="H68" i="1" s="1"/>
  <c r="M52" i="4"/>
  <c r="K52" i="4"/>
  <c r="J52" i="4"/>
  <c r="L52" i="4"/>
  <c r="I52" i="4"/>
  <c r="I21" i="5" s="1"/>
  <c r="I45" i="4"/>
  <c r="K43" i="4"/>
  <c r="J44" i="4"/>
  <c r="L43" i="4"/>
  <c r="N44" i="4"/>
  <c r="M44" i="4"/>
  <c r="K45" i="4"/>
  <c r="L44" i="4"/>
  <c r="J43" i="4"/>
  <c r="J45" i="4"/>
  <c r="M43" i="4"/>
  <c r="N45" i="4"/>
  <c r="K44" i="4"/>
  <c r="M45" i="4"/>
  <c r="N43" i="4"/>
  <c r="L45" i="4"/>
  <c r="I43" i="4"/>
  <c r="I44" i="4"/>
  <c r="M13" i="1"/>
  <c r="M14" i="1" s="1"/>
  <c r="J57" i="1" l="1"/>
  <c r="M77" i="4"/>
  <c r="L87" i="4"/>
  <c r="I82" i="4"/>
  <c r="L82" i="4"/>
  <c r="K87" i="4"/>
  <c r="I87" i="4"/>
  <c r="H65" i="1" s="1"/>
  <c r="K57" i="1"/>
  <c r="L57" i="1" s="1"/>
  <c r="M57" i="1" s="1"/>
  <c r="I102" i="1"/>
  <c r="H93" i="1"/>
  <c r="N3" i="8"/>
  <c r="M52" i="1" s="1"/>
  <c r="N2" i="8"/>
  <c r="J58" i="5"/>
  <c r="K58" i="5" s="1"/>
  <c r="I65" i="5"/>
  <c r="J65" i="5" s="1"/>
  <c r="K65" i="5" s="1"/>
  <c r="K77" i="4"/>
  <c r="N77" i="4"/>
  <c r="J87" i="4"/>
  <c r="K82" i="4"/>
  <c r="L77" i="4"/>
  <c r="N87" i="4"/>
  <c r="M82" i="4"/>
  <c r="J77" i="4"/>
  <c r="I77" i="4"/>
  <c r="H63" i="1" s="1"/>
  <c r="J82" i="4"/>
  <c r="M13" i="7"/>
  <c r="J102" i="1"/>
  <c r="J36" i="5"/>
  <c r="I68" i="1" s="1"/>
  <c r="J35" i="5"/>
  <c r="I66" i="1" s="1"/>
  <c r="H66" i="1"/>
  <c r="I59" i="5"/>
  <c r="J32" i="5"/>
  <c r="I55" i="1" s="1"/>
  <c r="H55" i="1"/>
  <c r="I37" i="5"/>
  <c r="I42" i="4"/>
  <c r="H50" i="1"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I65" i="1" l="1"/>
  <c r="J65" i="1" s="1"/>
  <c r="K65" i="1" s="1"/>
  <c r="L65" i="1" s="1"/>
  <c r="M65" i="1" s="1"/>
  <c r="I63" i="1"/>
  <c r="J63" i="1" s="1"/>
  <c r="K63" i="1" s="1"/>
  <c r="L63" i="1" s="1"/>
  <c r="M63" i="1" s="1"/>
  <c r="I50" i="1"/>
  <c r="J50" i="1" s="1"/>
  <c r="K50" i="1" s="1"/>
  <c r="L50" i="1" s="1"/>
  <c r="M50" i="1" s="1"/>
  <c r="M49" i="1"/>
  <c r="M101" i="1" s="1"/>
  <c r="H97" i="1"/>
  <c r="H94" i="1"/>
  <c r="I93" i="1"/>
  <c r="H92" i="1"/>
  <c r="I60" i="5"/>
  <c r="I62" i="5"/>
  <c r="M17" i="7"/>
  <c r="N4" i="8"/>
  <c r="I66" i="5"/>
  <c r="J59" i="5"/>
  <c r="J66" i="5"/>
  <c r="I38" i="5"/>
  <c r="I78" i="5" s="1"/>
  <c r="I82" i="5" s="1"/>
  <c r="K102" i="1"/>
  <c r="K35" i="5"/>
  <c r="J66" i="1" s="1"/>
  <c r="J37" i="5"/>
  <c r="K36" i="5"/>
  <c r="J68" i="1" s="1"/>
  <c r="I97" i="1"/>
  <c r="L65" i="5"/>
  <c r="K66" i="5"/>
  <c r="L58" i="5"/>
  <c r="K59" i="5"/>
  <c r="K32" i="5"/>
  <c r="J55" i="1" s="1"/>
  <c r="K18" i="5"/>
  <c r="I92" i="1" l="1"/>
  <c r="I94" i="1"/>
  <c r="J93" i="1"/>
  <c r="K69" i="5"/>
  <c r="J67" i="5"/>
  <c r="J69" i="5"/>
  <c r="I67" i="5"/>
  <c r="I71" i="5" s="1"/>
  <c r="H56" i="1" s="1"/>
  <c r="I69" i="5"/>
  <c r="K60" i="5"/>
  <c r="K62" i="5"/>
  <c r="J60" i="5"/>
  <c r="J62" i="5"/>
  <c r="J94" i="1"/>
  <c r="J38" i="5"/>
  <c r="J78" i="5" s="1"/>
  <c r="J82" i="5" s="1"/>
  <c r="I16" i="1" s="1"/>
  <c r="K67" i="5"/>
  <c r="L35" i="5"/>
  <c r="K66" i="1" s="1"/>
  <c r="K37" i="5"/>
  <c r="L36" i="5"/>
  <c r="K68" i="1" s="1"/>
  <c r="J97" i="1"/>
  <c r="M65" i="5"/>
  <c r="L66" i="5"/>
  <c r="L69" i="5" s="1"/>
  <c r="M58" i="5"/>
  <c r="L59" i="5"/>
  <c r="L32" i="5"/>
  <c r="K55" i="1" s="1"/>
  <c r="L18" i="5"/>
  <c r="L102" i="1" l="1"/>
  <c r="K93" i="1"/>
  <c r="J92" i="1"/>
  <c r="H104" i="1"/>
  <c r="J71" i="5"/>
  <c r="I56" i="1" s="1"/>
  <c r="K71" i="5"/>
  <c r="J56" i="1" s="1"/>
  <c r="L60" i="5"/>
  <c r="L62" i="5"/>
  <c r="K94" i="1"/>
  <c r="K38" i="5"/>
  <c r="K78" i="5" s="1"/>
  <c r="K82" i="5" s="1"/>
  <c r="J16" i="1" s="1"/>
  <c r="M102" i="1"/>
  <c r="L67" i="5"/>
  <c r="M35" i="5"/>
  <c r="L66" i="1" s="1"/>
  <c r="L37" i="5"/>
  <c r="M36" i="5"/>
  <c r="L68" i="1" s="1"/>
  <c r="K97" i="1"/>
  <c r="M32" i="5"/>
  <c r="L55" i="1" s="1"/>
  <c r="M66" i="5"/>
  <c r="M69" i="5" s="1"/>
  <c r="N65" i="5"/>
  <c r="M59" i="5"/>
  <c r="N58" i="5"/>
  <c r="M18" i="5"/>
  <c r="L93" i="1" l="1"/>
  <c r="J104" i="1"/>
  <c r="I104" i="1"/>
  <c r="K92" i="1"/>
  <c r="L71" i="5"/>
  <c r="K56" i="1" s="1"/>
  <c r="M60" i="5"/>
  <c r="M62" i="5"/>
  <c r="L94" i="1"/>
  <c r="L38" i="5"/>
  <c r="L78" i="5" s="1"/>
  <c r="L82" i="5" s="1"/>
  <c r="K16" i="1" s="1"/>
  <c r="M67" i="5"/>
  <c r="M37" i="5"/>
  <c r="N35" i="5"/>
  <c r="M66" i="1" s="1"/>
  <c r="N36" i="5"/>
  <c r="M68" i="1" s="1"/>
  <c r="L97" i="1"/>
  <c r="N32" i="5"/>
  <c r="M55" i="1" s="1"/>
  <c r="N66" i="5"/>
  <c r="N69" i="5" s="1"/>
  <c r="N59" i="5"/>
  <c r="N18" i="5"/>
  <c r="M93" i="1" l="1"/>
  <c r="K104" i="1"/>
  <c r="L92" i="1"/>
  <c r="M71" i="5"/>
  <c r="L56" i="1" s="1"/>
  <c r="N60" i="5"/>
  <c r="N62" i="5"/>
  <c r="M92" i="1"/>
  <c r="M94" i="1"/>
  <c r="M38" i="5"/>
  <c r="M78" i="5" s="1"/>
  <c r="M82" i="5" s="1"/>
  <c r="L16" i="1" s="1"/>
  <c r="N67" i="5"/>
  <c r="N37" i="5"/>
  <c r="M97" i="1"/>
  <c r="L104" i="1" l="1"/>
  <c r="N71" i="5"/>
  <c r="M56" i="1" s="1"/>
  <c r="N38" i="5"/>
  <c r="N78" i="5" s="1"/>
  <c r="N82" i="5" s="1"/>
  <c r="M16" i="1" s="1"/>
  <c r="M104" i="1" l="1"/>
  <c r="H16" i="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K26" i="5"/>
  <c r="H90" i="1"/>
  <c r="I61" i="9"/>
  <c r="I27" i="5"/>
  <c r="H54" i="1" s="1"/>
  <c r="M21" i="5"/>
  <c r="L25" i="5"/>
  <c r="H103" i="1" l="1"/>
  <c r="H105" i="1" s="1"/>
  <c r="J27" i="5"/>
  <c r="I54" i="1" s="1"/>
  <c r="K28" i="5"/>
  <c r="J90" i="1" s="1"/>
  <c r="H25" i="6"/>
  <c r="I5" i="4"/>
  <c r="L26" i="5"/>
  <c r="L28" i="5" s="1"/>
  <c r="K90" i="1" s="1"/>
  <c r="M25" i="5"/>
  <c r="N21" i="5"/>
  <c r="N25" i="5" s="1"/>
  <c r="K27" i="5"/>
  <c r="J54" i="1" s="1"/>
  <c r="J5" i="4" l="1"/>
  <c r="J103" i="1"/>
  <c r="J105" i="1" s="1"/>
  <c r="I103" i="1"/>
  <c r="I105" i="1" s="1"/>
  <c r="K5" i="4"/>
  <c r="L27" i="5"/>
  <c r="K54" i="1" s="1"/>
  <c r="M26" i="5"/>
  <c r="M28" i="5" s="1"/>
  <c r="L90" i="1" s="1"/>
  <c r="N26" i="5"/>
  <c r="N27" i="5" s="1"/>
  <c r="M54" i="1" s="1"/>
  <c r="H26" i="6"/>
  <c r="I25" i="6"/>
  <c r="H36" i="6"/>
  <c r="H37" i="6" s="1"/>
  <c r="H15" i="1" s="1"/>
  <c r="H17" i="1" s="1"/>
  <c r="L5" i="4" l="1"/>
  <c r="K103" i="1"/>
  <c r="K105" i="1" s="1"/>
  <c r="M27" i="5"/>
  <c r="L54" i="1" s="1"/>
  <c r="H18" i="1"/>
  <c r="H19" i="1" s="1"/>
  <c r="I26" i="6"/>
  <c r="J25" i="6"/>
  <c r="I36" i="6"/>
  <c r="I37" i="6" s="1"/>
  <c r="I15" i="1" s="1"/>
  <c r="I17" i="1" s="1"/>
  <c r="H28" i="6"/>
  <c r="H29" i="6" s="1"/>
  <c r="I31" i="6" s="1"/>
  <c r="N28" i="5"/>
  <c r="M90" i="1" s="1"/>
  <c r="H109" i="1" l="1"/>
  <c r="E19" i="6"/>
  <c r="H69" i="1"/>
  <c r="N5" i="4"/>
  <c r="M103" i="1"/>
  <c r="M105" i="1" s="1"/>
  <c r="L103" i="1"/>
  <c r="L105" i="1" s="1"/>
  <c r="M5" i="4"/>
  <c r="H78" i="1"/>
  <c r="H20" i="1"/>
  <c r="H89" i="1"/>
  <c r="H30" i="1"/>
  <c r="H33" i="1" s="1"/>
  <c r="H38" i="1" s="1"/>
  <c r="I18" i="1"/>
  <c r="I19" i="1" s="1"/>
  <c r="I28" i="6"/>
  <c r="I29" i="6" s="1"/>
  <c r="I69" i="1" s="1"/>
  <c r="J36" i="6"/>
  <c r="J37" i="6" s="1"/>
  <c r="J15" i="1" s="1"/>
  <c r="J17" i="1" s="1"/>
  <c r="J26" i="6"/>
  <c r="K25" i="6"/>
  <c r="I109" i="1" l="1"/>
  <c r="H112" i="1"/>
  <c r="L94" i="4"/>
  <c r="I94" i="4"/>
  <c r="K95" i="4"/>
  <c r="F52" i="6"/>
  <c r="F51" i="6"/>
  <c r="F50" i="6" s="1"/>
  <c r="N93" i="4"/>
  <c r="N92" i="4" s="1"/>
  <c r="D53" i="6"/>
  <c r="E51" i="6"/>
  <c r="L93" i="4"/>
  <c r="M93" i="4"/>
  <c r="N95" i="4"/>
  <c r="H53" i="6"/>
  <c r="E52" i="6"/>
  <c r="D52" i="6"/>
  <c r="N94" i="4"/>
  <c r="K93" i="4"/>
  <c r="D51" i="6"/>
  <c r="K94" i="4"/>
  <c r="I93" i="4"/>
  <c r="I92" i="4" s="1"/>
  <c r="I47" i="5" s="1"/>
  <c r="M94" i="4"/>
  <c r="C51" i="6"/>
  <c r="L95" i="4"/>
  <c r="C53" i="6"/>
  <c r="J94" i="4"/>
  <c r="G51" i="6"/>
  <c r="H51" i="6"/>
  <c r="G53" i="6"/>
  <c r="I95" i="4"/>
  <c r="J93" i="4"/>
  <c r="J92" i="4" s="1"/>
  <c r="C52" i="6"/>
  <c r="J95" i="4"/>
  <c r="G52" i="6"/>
  <c r="H52" i="6"/>
  <c r="E53" i="6"/>
  <c r="M95" i="4"/>
  <c r="F53" i="6"/>
  <c r="J18" i="1"/>
  <c r="J19" i="1" s="1"/>
  <c r="K26" i="6"/>
  <c r="K36" i="6"/>
  <c r="K37" i="6" s="1"/>
  <c r="K15" i="1" s="1"/>
  <c r="K17" i="1" s="1"/>
  <c r="L25" i="6"/>
  <c r="J28" i="6"/>
  <c r="J29" i="6" s="1"/>
  <c r="J69" i="1" s="1"/>
  <c r="I89" i="1"/>
  <c r="I20" i="1"/>
  <c r="I30" i="1"/>
  <c r="I33" i="1" s="1"/>
  <c r="I38" i="1" s="1"/>
  <c r="I78" i="1"/>
  <c r="H50" i="6" l="1"/>
  <c r="M92" i="4"/>
  <c r="L92" i="4"/>
  <c r="G50" i="6"/>
  <c r="C50" i="6"/>
  <c r="D50" i="6"/>
  <c r="E50" i="6"/>
  <c r="K92" i="4"/>
  <c r="J109" i="1"/>
  <c r="I44" i="5"/>
  <c r="J44" i="5" s="1"/>
  <c r="I48" i="5"/>
  <c r="J47" i="5"/>
  <c r="J89" i="1"/>
  <c r="J20" i="1"/>
  <c r="J30" i="1"/>
  <c r="J33" i="1" s="1"/>
  <c r="J38" i="1" s="1"/>
  <c r="L26" i="6"/>
  <c r="L36" i="6"/>
  <c r="L37" i="6" s="1"/>
  <c r="L15" i="1" s="1"/>
  <c r="L17" i="1" s="1"/>
  <c r="M25" i="6"/>
  <c r="K28" i="6"/>
  <c r="K29" i="6" s="1"/>
  <c r="K69" i="1" s="1"/>
  <c r="J78" i="1"/>
  <c r="K18" i="1"/>
  <c r="K19" i="1" s="1"/>
  <c r="K47" i="5" l="1"/>
  <c r="K44" i="5"/>
  <c r="L44" i="5" s="1"/>
  <c r="M44" i="5" s="1"/>
  <c r="N44" i="5" s="1"/>
  <c r="K109" i="1"/>
  <c r="I49" i="5"/>
  <c r="I50" i="5" s="1"/>
  <c r="I45" i="8" s="1"/>
  <c r="I42" i="8" s="1"/>
  <c r="H110" i="1" s="1"/>
  <c r="H111" i="1" s="1"/>
  <c r="I53" i="5"/>
  <c r="I52" i="5" s="1"/>
  <c r="H70" i="1" s="1"/>
  <c r="J48" i="5"/>
  <c r="K89" i="1"/>
  <c r="K20" i="1"/>
  <c r="K30" i="1"/>
  <c r="K33" i="1" s="1"/>
  <c r="K38" i="1" s="1"/>
  <c r="L18" i="1"/>
  <c r="L19" i="1" s="1"/>
  <c r="L47" i="5"/>
  <c r="L28" i="6"/>
  <c r="L29" i="6" s="1"/>
  <c r="L69" i="1" s="1"/>
  <c r="K78" i="1"/>
  <c r="M26" i="6"/>
  <c r="M36" i="6"/>
  <c r="M37" i="6" s="1"/>
  <c r="M15" i="1" s="1"/>
  <c r="M17" i="1" s="1"/>
  <c r="L109" i="1" l="1"/>
  <c r="H96" i="1"/>
  <c r="H98" i="1" s="1"/>
  <c r="H71" i="1"/>
  <c r="K48" i="5"/>
  <c r="J53" i="5"/>
  <c r="J52" i="5" s="1"/>
  <c r="J49" i="5"/>
  <c r="J50" i="5" s="1"/>
  <c r="J45" i="8" s="1"/>
  <c r="J42" i="8" s="1"/>
  <c r="L89" i="1"/>
  <c r="L20" i="1"/>
  <c r="L30" i="1"/>
  <c r="L33" i="1" s="1"/>
  <c r="L38" i="1" s="1"/>
  <c r="M28" i="6"/>
  <c r="M29" i="6" s="1"/>
  <c r="M69" i="1" s="1"/>
  <c r="M47" i="5"/>
  <c r="L78" i="1"/>
  <c r="M18" i="1"/>
  <c r="M19" i="1" s="1"/>
  <c r="I70" i="1" l="1"/>
  <c r="I96" i="1" s="1"/>
  <c r="I98" i="1" s="1"/>
  <c r="M109" i="1"/>
  <c r="H115" i="1"/>
  <c r="I110" i="1"/>
  <c r="I111" i="1" s="1"/>
  <c r="L48" i="5"/>
  <c r="K49" i="5"/>
  <c r="K50" i="5" s="1"/>
  <c r="K45" i="8" s="1"/>
  <c r="K42" i="8" s="1"/>
  <c r="K53" i="5"/>
  <c r="K52" i="5" s="1"/>
  <c r="N47" i="5"/>
  <c r="M20" i="1"/>
  <c r="M30" i="1"/>
  <c r="M33" i="1" s="1"/>
  <c r="M38" i="1" s="1"/>
  <c r="M89" i="1"/>
  <c r="M78" i="1"/>
  <c r="I71" i="1" l="1"/>
  <c r="J70" i="1"/>
  <c r="J96" i="1" s="1"/>
  <c r="J98" i="1" s="1"/>
  <c r="H119" i="1"/>
  <c r="J110" i="1"/>
  <c r="J111" i="1" s="1"/>
  <c r="I115" i="1"/>
  <c r="M48" i="5"/>
  <c r="L49" i="5"/>
  <c r="L50" i="5" s="1"/>
  <c r="L45" i="8" s="1"/>
  <c r="L42" i="8" s="1"/>
  <c r="L53" i="5"/>
  <c r="L52" i="5" s="1"/>
  <c r="K70" i="1" l="1"/>
  <c r="K96" i="1" s="1"/>
  <c r="K98" i="1" s="1"/>
  <c r="J71" i="1"/>
  <c r="I118" i="1"/>
  <c r="I119" i="1" s="1"/>
  <c r="H124" i="1"/>
  <c r="H123" i="1"/>
  <c r="H48" i="1" s="1"/>
  <c r="H125" i="1"/>
  <c r="J115" i="1"/>
  <c r="K110" i="1"/>
  <c r="K111" i="1" s="1"/>
  <c r="N48" i="5"/>
  <c r="M53" i="5"/>
  <c r="M52" i="5" s="1"/>
  <c r="M49" i="5"/>
  <c r="M50" i="5" s="1"/>
  <c r="M45" i="8" s="1"/>
  <c r="M42" i="8" s="1"/>
  <c r="K71" i="1" l="1"/>
  <c r="L70" i="1"/>
  <c r="L96" i="1" s="1"/>
  <c r="L98" i="1" s="1"/>
  <c r="I123" i="1"/>
  <c r="I48" i="1" s="1"/>
  <c r="J118" i="1"/>
  <c r="J119" i="1" s="1"/>
  <c r="K118" i="1" s="1"/>
  <c r="I125" i="1"/>
  <c r="H126" i="1"/>
  <c r="I124" i="1"/>
  <c r="H51" i="1"/>
  <c r="K115" i="1"/>
  <c r="L110" i="1"/>
  <c r="L111" i="1" s="1"/>
  <c r="N53" i="5"/>
  <c r="N52" i="5" s="1"/>
  <c r="N49" i="5"/>
  <c r="N50" i="5" s="1"/>
  <c r="N45" i="8" s="1"/>
  <c r="N42" i="8" s="1"/>
  <c r="L71" i="1" l="1"/>
  <c r="M70" i="1"/>
  <c r="M96" i="1" s="1"/>
  <c r="M98" i="1" s="1"/>
  <c r="I126" i="1"/>
  <c r="I51" i="1"/>
  <c r="I59" i="1" s="1"/>
  <c r="H59" i="1"/>
  <c r="I90" i="5" s="1"/>
  <c r="H76" i="1" s="1"/>
  <c r="J125" i="1"/>
  <c r="J123" i="1"/>
  <c r="J48" i="1" s="1"/>
  <c r="J124" i="1"/>
  <c r="K119" i="1"/>
  <c r="K125" i="1" s="1"/>
  <c r="M110" i="1"/>
  <c r="M111" i="1" s="1"/>
  <c r="L115" i="1"/>
  <c r="J90" i="5" l="1"/>
  <c r="I76" i="1" s="1"/>
  <c r="I79" i="1" s="1"/>
  <c r="I81" i="1" s="1"/>
  <c r="M71" i="1"/>
  <c r="J51" i="1"/>
  <c r="J59" i="1" s="1"/>
  <c r="K123" i="1"/>
  <c r="K124" i="1"/>
  <c r="K51" i="1" s="1"/>
  <c r="L118" i="1"/>
  <c r="L119" i="1" s="1"/>
  <c r="M118" i="1" s="1"/>
  <c r="J126" i="1"/>
  <c r="M115" i="1"/>
  <c r="K90" i="5" l="1"/>
  <c r="J76" i="1" s="1"/>
  <c r="J79" i="1" s="1"/>
  <c r="J81" i="1" s="1"/>
  <c r="I82" i="1"/>
  <c r="K126" i="1"/>
  <c r="K48" i="1"/>
  <c r="K59" i="1" s="1"/>
  <c r="L124" i="1"/>
  <c r="L123" i="1"/>
  <c r="L48" i="1" s="1"/>
  <c r="L125" i="1"/>
  <c r="M119" i="1"/>
  <c r="M125" i="1" s="1"/>
  <c r="L90" i="5" l="1"/>
  <c r="K76" i="1" s="1"/>
  <c r="K79" i="1" s="1"/>
  <c r="K81" i="1" s="1"/>
  <c r="J82" i="1"/>
  <c r="L126" i="1"/>
  <c r="L51" i="1"/>
  <c r="L59" i="1" s="1"/>
  <c r="M124" i="1"/>
  <c r="M51" i="1" s="1"/>
  <c r="M123" i="1"/>
  <c r="M48" i="1" s="1"/>
  <c r="M90" i="5" l="1"/>
  <c r="L76" i="1" s="1"/>
  <c r="L79" i="1" s="1"/>
  <c r="L81" i="1" s="1"/>
  <c r="K82" i="1"/>
  <c r="M59" i="1"/>
  <c r="M126" i="1"/>
  <c r="L82" i="1" l="1"/>
  <c r="N90" i="5"/>
  <c r="M76" i="1" s="1"/>
  <c r="M79" i="1" s="1"/>
  <c r="M81" i="1" s="1"/>
  <c r="H79" i="1"/>
  <c r="H81" i="1" s="1"/>
  <c r="M82" i="1" l="1"/>
  <c r="H8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<sst xmlns="http://schemas.openxmlformats.org/spreadsheetml/2006/main" count="711" uniqueCount="320">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</sst>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s>
  <fonts count="28"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s>
  <fills count="17">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s>
  <borders count="26">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8">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0" fontId="1" fillId="11" borderId="0" xfId="0" applyFont="1" applyFill="1" applyAlignment="1">
      <alignment horizontal="center"/>
    </xf>
    <xf numFmtId="0" fontId="9" fillId="7" borderId="10" xfId="0" applyFont="1" applyFill="1" applyBorder="1" applyAlignment="1">
      <alignment horizontal="center" vertical="center"/>
    </xf>
    <xf numFmtId="0" fontId="0" fillId="0" borderId="0" xfId="0" applyFill="1"/>
    <xf numFmtId="169" fontId="0" fillId="0" borderId="0" xfId="0" applyNumberFormat="1" applyFill="1"/>
    <xf numFmtId="166" fontId="0" fillId="0" borderId="0" xfId="0" applyNumberFormat="1" applyFill="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11245923.712787421</v>
      </c>
      <c r="J4" s="151">
        <f t="shared" ca="1" si="0"/>
        <v>11384709.510685164</v>
      </c>
      <c r="K4" s="151">
        <f t="shared" ca="1" si="0"/>
        <v>11474016.344931537</v>
      </c>
      <c r="L4" s="151">
        <f t="shared" ca="1" si="0"/>
        <v>11529347.571102994</v>
      </c>
      <c r="M4" s="151">
        <f t="shared" ca="1" si="0"/>
        <v>11561287.839630313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3272.3220032814679</v>
      </c>
      <c r="I6" s="154">
        <f t="shared" ref="I6:M6" ca="1" si="1">$H$37*I24</f>
        <v>3323.5740245614761</v>
      </c>
      <c r="J6" s="154">
        <f t="shared" ca="1" si="1"/>
        <v>3439.4764917948801</v>
      </c>
      <c r="K6" s="154">
        <f t="shared" ca="1" si="1"/>
        <v>3557.6970083729502</v>
      </c>
      <c r="L6" s="154">
        <f t="shared" ca="1" si="1"/>
        <v>3678.2819352825841</v>
      </c>
      <c r="M6" s="154">
        <f t="shared" ca="1" si="1"/>
        <v>3801.2785607304095</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-26713.539999752931</v>
      </c>
      <c r="I8" s="154">
        <f t="shared" ref="I8:M8" ca="1" si="2">I26*$H$42</f>
        <v>-27131.93492517859</v>
      </c>
      <c r="J8" s="154">
        <f t="shared" ca="1" si="2"/>
        <v>-28078.10256742308</v>
      </c>
      <c r="K8" s="154">
        <f t="shared" ca="1" si="2"/>
        <v>-29043.193562512439</v>
      </c>
      <c r="L8" s="154">
        <f t="shared" ca="1" si="2"/>
        <v>-30027.586377503612</v>
      </c>
      <c r="M8" s="154">
        <f t="shared" ca="1" si="2"/>
        <v>-31031.667048794596</v>
      </c>
    </row>
    <row r="9" spans="2:13" x14ac:dyDescent="0.25">
      <c r="B9" s="157" t="s">
        <v>269</v>
      </c>
      <c r="C9" s="150">
        <v>21351</v>
      </c>
      <c r="D9" s="150">
        <v>28637</v>
      </c>
      <c r="E9" s="150">
        <v>21198</v>
      </c>
      <c r="F9" s="150">
        <v>9788</v>
      </c>
      <c r="G9" s="150">
        <v>11438</v>
      </c>
      <c r="H9" s="154">
        <f ca="1">$H$50*H27</f>
        <v>8110.1589541116109</v>
      </c>
      <c r="I9" s="154">
        <f t="shared" ref="I9:M9" ca="1" si="3">$H$50*I27</f>
        <v>8237.182529078731</v>
      </c>
      <c r="J9" s="154">
        <f t="shared" ca="1" si="3"/>
        <v>8524.4364825386911</v>
      </c>
      <c r="K9" s="154">
        <f t="shared" ca="1" si="3"/>
        <v>8817.4355150678457</v>
      </c>
      <c r="L9" s="154">
        <f t="shared" ca="1" si="3"/>
        <v>9116.2945282475903</v>
      </c>
      <c r="M9" s="154">
        <f t="shared" ca="1" si="3"/>
        <v>9421.1307216909245</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226008.77182978252</v>
      </c>
      <c r="I13" s="154">
        <f ca="1">SUM('3_Statement_Model'!I24:I28)</f>
        <v>154356.97626928086</v>
      </c>
      <c r="J13" s="154">
        <f ca="1">SUM('3_Statement_Model'!J24:J28)</f>
        <v>105421.02383946333</v>
      </c>
      <c r="K13" s="154">
        <f ca="1">SUM('3_Statement_Model'!K24:K28)</f>
        <v>71999.287210528593</v>
      </c>
      <c r="L13" s="154">
        <f ca="1">SUM('3_Statement_Model'!L24:L28)</f>
        <v>49173.278441293645</v>
      </c>
      <c r="M13" s="154">
        <f ca="1">SUM('3_Statement_Model'!M24:M28)</f>
        <v>33583.822928616486</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11245923.712787421</v>
      </c>
      <c r="I17" s="161">
        <f t="shared" ref="I17:M17" ca="1" si="5">SUM(I4:I16)</f>
        <v>11384709.510685164</v>
      </c>
      <c r="J17" s="161">
        <f t="shared" ca="1" si="5"/>
        <v>11474016.344931537</v>
      </c>
      <c r="K17" s="161">
        <f t="shared" ca="1" si="5"/>
        <v>11529347.571102994</v>
      </c>
      <c r="L17" s="161">
        <f t="shared" ca="1" si="5"/>
        <v>11561287.839630313</v>
      </c>
      <c r="M17" s="161">
        <f t="shared" ca="1" si="5"/>
        <v>11577062.404792555</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807.26886424564839</v>
      </c>
      <c r="I24" s="151">
        <f ca="1">H24*(1+Assumptions!J3)</f>
        <v>819.91253469357991</v>
      </c>
      <c r="J24" s="151">
        <f ca="1">I24*(1+Assumptions!K3)</f>
        <v>848.50521383486023</v>
      </c>
      <c r="K24" s="151">
        <f ca="1">J24*(1+Assumptions!L3)</f>
        <v>877.66974655896558</v>
      </c>
      <c r="L24" s="151">
        <f ca="1">K24*(1+Assumptions!M3)</f>
        <v>907.41756993755371</v>
      </c>
      <c r="M24" s="151">
        <f ca="1">L24*(1+Assumptions!N3)</f>
        <v>937.76034978371331</v>
      </c>
    </row>
    <row r="25" spans="2:13" x14ac:dyDescent="0.25">
      <c r="B25" s="155" t="s">
        <v>267</v>
      </c>
      <c r="C25" s="150">
        <v>19762</v>
      </c>
      <c r="D25" s="150">
        <v>19926</v>
      </c>
      <c r="E25" s="150">
        <v>23928</v>
      </c>
      <c r="F25" s="150">
        <v>28397</v>
      </c>
      <c r="G25" s="150">
        <v>22011</v>
      </c>
      <c r="H25" s="154">
        <f ca="1">G25*(1+Assumptions!I3)</f>
        <v>22780.50637296278</v>
      </c>
      <c r="I25" s="154">
        <f ca="1">H25*(1+Assumptions!J3)</f>
        <v>23137.301027103065</v>
      </c>
      <c r="J25" s="154">
        <f ca="1">I25*(1+Assumptions!K3)</f>
        <v>23944.164438101423</v>
      </c>
      <c r="K25" s="154">
        <f ca="1">J25*(1+Assumptions!L3)</f>
        <v>24767.165117319735</v>
      </c>
      <c r="L25" s="154">
        <f ca="1">K25*(1+Assumptions!M3)</f>
        <v>25606.62581012243</v>
      </c>
      <c r="M25" s="154">
        <f ca="1">L25*(1+Assumptions!N3)</f>
        <v>26462.875716781175</v>
      </c>
    </row>
    <row r="26" spans="2:13" x14ac:dyDescent="0.25">
      <c r="B26" s="156" t="s">
        <v>268</v>
      </c>
      <c r="C26" s="150">
        <v>-552</v>
      </c>
      <c r="D26" s="150">
        <v>-509</v>
      </c>
      <c r="E26" s="150">
        <v>-358</v>
      </c>
      <c r="F26" s="150">
        <v>-296</v>
      </c>
      <c r="G26" s="150">
        <v>-2529</v>
      </c>
      <c r="H26" s="154">
        <f ca="1">G26*(1+Assumptions!I3)</f>
        <v>-2617.4140483041601</v>
      </c>
      <c r="I26" s="154">
        <f ca="1">H26*(1+Assumptions!J3)</f>
        <v>-2658.4087182564922</v>
      </c>
      <c r="J26" s="154">
        <f ca="1">I26*(1+Assumptions!K3)</f>
        <v>-2751.114981779951</v>
      </c>
      <c r="K26" s="154">
        <f ca="1">J26*(1+Assumptions!L3)</f>
        <v>-2845.675370573877</v>
      </c>
      <c r="L26" s="154">
        <f ca="1">K26*(1+Assumptions!M3)</f>
        <v>-2942.1269671436839</v>
      </c>
      <c r="M26" s="154">
        <f ca="1">L26*(1+Assumptions!N3)</f>
        <v>-3040.5075956448859</v>
      </c>
    </row>
    <row r="27" spans="2:13" x14ac:dyDescent="0.25">
      <c r="B27" s="157" t="s">
        <v>269</v>
      </c>
      <c r="C27" s="150">
        <v>892</v>
      </c>
      <c r="D27" s="150">
        <v>972</v>
      </c>
      <c r="E27" s="150">
        <v>1535</v>
      </c>
      <c r="F27" s="150">
        <v>1349</v>
      </c>
      <c r="G27" s="150">
        <v>1080</v>
      </c>
      <c r="H27" s="154">
        <f ca="1">G27*(1+Assumptions!I3)</f>
        <v>1117.7568889555132</v>
      </c>
      <c r="I27" s="154">
        <f ca="1">H27*(1+Assumptions!J3)</f>
        <v>1135.2635095757262</v>
      </c>
      <c r="J27" s="154">
        <f ca="1">I27*(1+Assumptions!K3)</f>
        <v>1174.8533730021143</v>
      </c>
      <c r="K27" s="154">
        <f ca="1">J27*(1+Assumptions!L3)</f>
        <v>1215.2350336970294</v>
      </c>
      <c r="L27" s="154">
        <f ca="1">K27*(1+Assumptions!M3)</f>
        <v>1256.4243276058437</v>
      </c>
      <c r="M27" s="154">
        <f ca="1">L27*(1+Assumptions!N3)</f>
        <v>1298.4374073928338</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4.0535714285714288</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10.206081081081081</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7.2557449962935507</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1549281.9620881649</v>
      </c>
      <c r="J2" s="34">
        <f ca="1">I2+(-(J11*J7))</f>
        <v>1873580.1285728901</v>
      </c>
      <c r="K2" s="34">
        <f t="shared" ref="K2:N2" ca="1" si="1">J2+(-(K11*K7))</f>
        <v>2204182.0451664347</v>
      </c>
      <c r="L2" s="34">
        <f t="shared" ca="1" si="1"/>
        <v>2540551.443429112</v>
      </c>
      <c r="M2" s="34">
        <f t="shared" ca="1" si="1"/>
        <v>2885286.4646235346</v>
      </c>
      <c r="N2" s="34">
        <f t="shared" ca="1" si="1"/>
        <v>3240251.6520543601</v>
      </c>
    </row>
    <row r="3" spans="2:14" x14ac:dyDescent="0.25">
      <c r="B3" s="14" t="s">
        <v>30</v>
      </c>
      <c r="C3" s="6">
        <v>1361045</v>
      </c>
      <c r="D3" s="6">
        <v>1101712</v>
      </c>
      <c r="E3" s="6">
        <v>1044855</v>
      </c>
      <c r="F3" s="6">
        <v>1027506</v>
      </c>
      <c r="G3" s="6">
        <v>837291</v>
      </c>
      <c r="H3" s="6">
        <v>1355451</v>
      </c>
      <c r="I3" s="34">
        <f ca="1">H2+(-(I11*I8))</f>
        <v>1447275.9271493363</v>
      </c>
      <c r="J3" s="34">
        <f t="shared" ref="J3:N3" ca="1" si="2">I2+(-(J11*J8))</f>
        <v>1779850.1429280734</v>
      </c>
      <c r="K3" s="34">
        <f t="shared" ca="1" si="2"/>
        <v>2117194.3249973124</v>
      </c>
      <c r="L3" s="34">
        <f t="shared" ca="1" si="2"/>
        <v>2461765.5209289226</v>
      </c>
      <c r="M3" s="34">
        <f t="shared" ca="1" si="2"/>
        <v>2809900.7924871971</v>
      </c>
      <c r="N3" s="34">
        <f t="shared" ca="1" si="2"/>
        <v>3164939.7735971082</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2996557.8892375012</v>
      </c>
      <c r="J4" s="176">
        <f t="shared" ref="J4" ca="1" si="4">SUM(J2:J3)</f>
        <v>3653430.2715009637</v>
      </c>
      <c r="K4" s="176">
        <f t="shared" ref="K4" ca="1" si="5">SUM(K2:K3)</f>
        <v>4321376.3701637471</v>
      </c>
      <c r="L4" s="176">
        <f t="shared" ref="L4" ca="1" si="6">SUM(L2:L3)</f>
        <v>5002316.9643580345</v>
      </c>
      <c r="M4" s="176">
        <f t="shared" ref="M4" ca="1" si="7">SUM(M2:M3)</f>
        <v>5695187.2571107317</v>
      </c>
      <c r="N4" s="176">
        <f t="shared" ref="N4" ca="1" si="8">SUM(N2:N3)</f>
        <v>6405191.4256514683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-546309.88923750119</v>
      </c>
      <c r="J11" s="34">
        <f t="shared" ref="J11" ca="1" si="15">SUM(J12:J17)</f>
        <v>-554866.34732463374</v>
      </c>
      <c r="K11" s="34">
        <f t="shared" ref="K11" ca="1" si="16">SUM(K12:K17)</f>
        <v>-574216.11301796685</v>
      </c>
      <c r="L11" s="34">
        <f t="shared" ref="L11" ca="1" si="17">SUM(L12:L17)</f>
        <v>-593952.87402516522</v>
      </c>
      <c r="M11" s="34">
        <f t="shared" ref="M11" ca="1" si="18">SUM(M12:M17)</f>
        <v>-614084.37025250786</v>
      </c>
      <c r="N11" s="34">
        <f t="shared" ref="N11" ca="1" si="19">SUM(N12:N17)</f>
        <v>-634618.49640439905</v>
      </c>
    </row>
    <row r="12" spans="2:14" x14ac:dyDescent="0.25">
      <c r="B12" s="173" t="s">
        <v>287</v>
      </c>
      <c r="C12" s="187">
        <v>-6448895</v>
      </c>
      <c r="D12" s="187">
        <v>-4112677</v>
      </c>
      <c r="E12" s="187">
        <v>-3801736</v>
      </c>
      <c r="F12" s="187">
        <v>-4049515</v>
      </c>
      <c r="G12" s="187">
        <v>-3288659</v>
      </c>
      <c r="H12" s="188">
        <v>-4177429</v>
      </c>
      <c r="I12" s="34">
        <f ca="1">H12*(1+Assumptions!I3)</f>
        <v>-4323472.2619190188</v>
      </c>
      <c r="J12" s="34">
        <f ca="1">I12*(1+Assumptions!J3)</f>
        <v>-4391187.6921698293</v>
      </c>
      <c r="K12" s="34">
        <f ca="1">J12*(1+Assumptions!K3)</f>
        <v>-4544320.880673008</v>
      </c>
      <c r="L12" s="34">
        <f ca="1">K12*(1+Assumptions!L3)</f>
        <v>-4700516.7329462469</v>
      </c>
      <c r="M12" s="34">
        <f ca="1">L12*(1+Assumptions!M3)</f>
        <v>-4859836.5022649541</v>
      </c>
      <c r="N12" s="34">
        <f ca="1">M12*(1+Assumptions!N3)</f>
        <v>-5022342.6669700341</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-4541.4048414229555</v>
      </c>
      <c r="J14" s="34">
        <f ca="1">I14*(1+Assumptions!J3)</f>
        <v>-4612.533592609524</v>
      </c>
      <c r="K14" s="34">
        <f ca="1">J14*(1+Assumptions!K3)</f>
        <v>-4773.3857414197009</v>
      </c>
      <c r="L14" s="34">
        <f ca="1">K14*(1+Assumptions!L3)</f>
        <v>-4937.4549332060778</v>
      </c>
      <c r="M14" s="34">
        <f ca="1">L14*(1+Assumptions!M3)</f>
        <v>-5104.8055088281862</v>
      </c>
      <c r="N14" s="34">
        <f ca="1">M14*(1+Assumptions!N3)</f>
        <v>-5275.5030959627356</v>
      </c>
    </row>
    <row r="15" spans="2:14" x14ac:dyDescent="0.25">
      <c r="B15" s="174" t="s">
        <v>290</v>
      </c>
      <c r="C15" s="6">
        <v>1092978</v>
      </c>
      <c r="D15" s="6">
        <v>656960</v>
      </c>
      <c r="E15" s="6">
        <v>513009</v>
      </c>
      <c r="F15" s="6">
        <v>676854</v>
      </c>
      <c r="G15" s="6">
        <v>452465</v>
      </c>
      <c r="H15" s="189">
        <v>232910</v>
      </c>
      <c r="I15" s="34">
        <f ca="1">H15*(1+Assumptions!I3)</f>
        <v>241052.55278391537</v>
      </c>
      <c r="J15" s="34">
        <f ca="1">I15*(1+Assumptions!J3)</f>
        <v>244827.98519933556</v>
      </c>
      <c r="K15" s="34">
        <f ca="1">J15*(1+Assumptions!K3)</f>
        <v>253365.83250548373</v>
      </c>
      <c r="L15" s="34">
        <f ca="1">K15*(1+Assumptions!L3)</f>
        <v>262074.43675775471</v>
      </c>
      <c r="M15" s="34">
        <f ca="1">L15*(1+Assumptions!M3)</f>
        <v>270957.21309507132</v>
      </c>
      <c r="N15" s="34">
        <f ca="1">M15*(1+Assumptions!N3)</f>
        <v>280017.64495913417</v>
      </c>
    </row>
    <row r="16" spans="2:14" x14ac:dyDescent="0.25">
      <c r="B16" s="174" t="s">
        <v>291</v>
      </c>
      <c r="C16" s="6">
        <v>4071165</v>
      </c>
      <c r="D16" s="6">
        <v>4745926</v>
      </c>
      <c r="E16" s="6">
        <v>3259221</v>
      </c>
      <c r="F16" s="6">
        <v>3308664</v>
      </c>
      <c r="G16" s="6">
        <v>3481042</v>
      </c>
      <c r="H16" s="189">
        <v>3415318</v>
      </c>
      <c r="I16" s="34">
        <f ca="1">H16*(1+Assumptions!I3)</f>
        <v>3534717.7985868198</v>
      </c>
      <c r="J16" s="34">
        <f ca="1">I16*(1+Assumptions!J3)</f>
        <v>3590079.5361084719</v>
      </c>
      <c r="K16" s="34">
        <f ca="1">J16*(1+Assumptions!K3)</f>
        <v>3715275.807569291</v>
      </c>
      <c r="L16" s="34">
        <f ca="1">K16*(1+Assumptions!L3)</f>
        <v>3842976.0044593243</v>
      </c>
      <c r="M16" s="34">
        <f ca="1">L16*(1+Assumptions!M3)</f>
        <v>3973230.2052871613</v>
      </c>
      <c r="N16" s="34">
        <f ca="1">M16*(1+Assumptions!N3)</f>
        <v>4106089.4901315537</v>
      </c>
    </row>
    <row r="17" spans="2:14" x14ac:dyDescent="0.25">
      <c r="B17" s="175" t="s">
        <v>292</v>
      </c>
      <c r="C17" s="1">
        <v>0</v>
      </c>
      <c r="D17" s="1">
        <v>645622</v>
      </c>
      <c r="E17" s="1">
        <v>675481</v>
      </c>
      <c r="F17" s="1">
        <v>395092</v>
      </c>
      <c r="G17" s="1">
        <v>8539</v>
      </c>
      <c r="H17" s="190">
        <v>5733</v>
      </c>
      <c r="I17" s="34">
        <f ca="1">H17*(1+Assumptions!I3)</f>
        <v>5933.4261522055158</v>
      </c>
      <c r="J17" s="34">
        <f ca="1">I17*(1+Assumptions!J3)</f>
        <v>6026.357129997813</v>
      </c>
      <c r="K17" s="34">
        <f ca="1">J17*(1+Assumptions!K3)</f>
        <v>6236.5133216862232</v>
      </c>
      <c r="L17" s="34">
        <f ca="1">K17*(1+Assumptions!L3)</f>
        <v>6450.8726372083975</v>
      </c>
      <c r="M17" s="34">
        <f ca="1">L17*(1+Assumptions!M3)</f>
        <v>6669.51913904102</v>
      </c>
      <c r="N17" s="34">
        <f ca="1">M17*(1+Assumptions!N3)</f>
        <v>6892.5385709102929</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-58917.851002632538</v>
      </c>
      <c r="J42" s="31">
        <f t="shared" ref="J42:N42" ca="1" si="25">SUM(J43:J45)</f>
        <v>-59840.638842683504</v>
      </c>
      <c r="K42" s="31">
        <f t="shared" ca="1" si="25"/>
        <v>-61077.010720015569</v>
      </c>
      <c r="L42" s="31">
        <f t="shared" ca="1" si="25"/>
        <v>-62335.10243004738</v>
      </c>
      <c r="M42" s="31">
        <f t="shared" ca="1" si="25"/>
        <v>-63615.30126348573</v>
      </c>
      <c r="N42" s="31">
        <f t="shared" ca="1" si="25"/>
        <v>-64918.001519065001</v>
      </c>
    </row>
    <row r="43" spans="2:14" x14ac:dyDescent="0.25">
      <c r="B43" t="s">
        <v>306</v>
      </c>
      <c r="C43" s="6">
        <v>33062</v>
      </c>
      <c r="D43" s="6">
        <v>26067</v>
      </c>
      <c r="E43" s="6">
        <v>33822</v>
      </c>
      <c r="F43" s="6">
        <v>21655</v>
      </c>
      <c r="G43" s="6">
        <v>10993</v>
      </c>
      <c r="H43" s="6">
        <v>15051</v>
      </c>
      <c r="I43" s="34">
        <f ca="1">APIC!H6+APIC!H9</f>
        <v>11382.48095739308</v>
      </c>
      <c r="J43" s="34">
        <f ca="1">APIC!I6+APIC!I9</f>
        <v>11560.756553640207</v>
      </c>
      <c r="K43" s="34">
        <f ca="1">APIC!J6+APIC!J9</f>
        <v>11963.912974333571</v>
      </c>
      <c r="L43" s="34">
        <f ca="1">APIC!K6+APIC!K9</f>
        <v>12375.132523440796</v>
      </c>
      <c r="M43" s="34">
        <f ca="1">APIC!L6+APIC!L9</f>
        <v>12794.576463530175</v>
      </c>
      <c r="N43" s="34">
        <f ca="1">APIC!M6+APIC!M9</f>
        <v>13222.409282421333</v>
      </c>
    </row>
    <row r="44" spans="2:14" x14ac:dyDescent="0.25">
      <c r="B44" t="s">
        <v>283</v>
      </c>
      <c r="C44" s="6">
        <v>-942895</v>
      </c>
      <c r="D44" s="6">
        <v>-20240</v>
      </c>
      <c r="E44" s="6">
        <v>-26297</v>
      </c>
      <c r="F44" s="6">
        <v>-6733</v>
      </c>
      <c r="G44" s="6">
        <v>-3021</v>
      </c>
      <c r="H44" s="6">
        <v>-40328</v>
      </c>
      <c r="I44" s="34">
        <f ca="1">APIC!H8</f>
        <v>-26713.539999752931</v>
      </c>
      <c r="J44" s="34">
        <f ca="1">APIC!I8</f>
        <v>-27131.93492517859</v>
      </c>
      <c r="K44" s="34">
        <f ca="1">APIC!J8</f>
        <v>-28078.10256742308</v>
      </c>
      <c r="L44" s="34">
        <f ca="1">APIC!K8</f>
        <v>-29043.193562512439</v>
      </c>
      <c r="M44" s="34">
        <f ca="1">APIC!L8</f>
        <v>-30027.586377503612</v>
      </c>
      <c r="N44" s="34">
        <f ca="1">APIC!M8</f>
        <v>-31031.667048794596</v>
      </c>
    </row>
    <row r="45" spans="2:14" x14ac:dyDescent="0.25">
      <c r="B45" t="s">
        <v>307</v>
      </c>
      <c r="C45" s="6">
        <v>0</v>
      </c>
      <c r="D45" s="6">
        <v>-41682</v>
      </c>
      <c r="E45" s="6">
        <v>-35547</v>
      </c>
      <c r="F45" s="6">
        <v>-34783</v>
      </c>
      <c r="G45" s="6">
        <v>-43466</v>
      </c>
      <c r="H45" s="6">
        <v>-46748</v>
      </c>
      <c r="I45" s="34">
        <f ca="1">Schedules!I50*Assumptions!I128</f>
        <v>-43586.791960272691</v>
      </c>
      <c r="J45" s="34">
        <f ca="1">Schedules!J50*Assumptions!J128</f>
        <v>-44269.460471145117</v>
      </c>
      <c r="K45" s="34">
        <f ca="1">Schedules!K50*Assumptions!K128</f>
        <v>-44962.821126926057</v>
      </c>
      <c r="L45" s="34">
        <f ca="1">Schedules!L50*Assumptions!L128</f>
        <v>-45667.041390975734</v>
      </c>
      <c r="M45" s="34">
        <f ca="1">Schedules!M50*Assumptions!M128</f>
        <v>-46382.291349512292</v>
      </c>
      <c r="N45" s="34">
        <f ca="1">Schedules!N50*Assumptions!N128</f>
        <v>-47108.743752691735</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90"/>
  <sheetViews>
    <sheetView showGridLines="0" topLeftCell="C75" workbookViewId="0">
      <selection activeCell="L85" sqref="L85"/>
    </sheetView>
  </sheetViews>
  <sheetFormatPr defaultRowHeight="15" x14ac:dyDescent="0.25"/>
  <cols>
    <col min="2" max="2" width="55.140625" bestFit="1" customWidth="1"/>
    <col min="3" max="8" width="10.7109375" bestFit="1" customWidth="1"/>
    <col min="9"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241255.33952115304</v>
      </c>
      <c r="J18" s="34">
        <f ca="1">I18*(1+Assumptions!J52)</f>
        <v>245033.94803909669</v>
      </c>
      <c r="K18" s="34">
        <f ca="1">J18*(1+Assumptions!K52)</f>
        <v>248871.73817913508</v>
      </c>
      <c r="L18" s="34">
        <f ca="1">K18*(1+Assumptions!L52)</f>
        <v>252769.63686036476</v>
      </c>
      <c r="M18" s="34">
        <f ca="1">L18*(1+Assumptions!M52)</f>
        <v>256728.58551954813</v>
      </c>
      <c r="N18" s="34">
        <f ca="1">M18*(1+Assumptions!N52)</f>
        <v>260749.5403384931</v>
      </c>
      <c r="Q18" t="s">
        <v>179</v>
      </c>
      <c r="R18" s="6">
        <v>124380</v>
      </c>
      <c r="S18" s="6">
        <v>140473</v>
      </c>
      <c r="T18" s="6">
        <v>138216</v>
      </c>
      <c r="U18" s="6">
        <v>179330</v>
      </c>
      <c r="V18" s="6">
        <v>240137</v>
      </c>
      <c r="W18" s="6">
        <v>237535</v>
      </c>
      <c r="X18" s="34">
        <f ca="1">W18*(1+X30)</f>
        <v>274371.62363820837</v>
      </c>
      <c r="Y18" s="34">
        <f t="shared" ref="Y18:AC18" ca="1" si="18">X18*(1+Y30)</f>
        <v>316920.82370120892</v>
      </c>
      <c r="Z18" s="34">
        <f t="shared" ca="1" si="18"/>
        <v>366068.49922604708</v>
      </c>
      <c r="AA18" s="34">
        <f t="shared" ca="1" si="18"/>
        <v>422837.93333804602</v>
      </c>
      <c r="AB18" s="34">
        <f t="shared" ca="1" si="18"/>
        <v>488411.09859929781</v>
      </c>
      <c r="AC18" s="34">
        <f t="shared" ca="1" si="18"/>
        <v>564153.26636331668</v>
      </c>
    </row>
    <row r="19" spans="1:29" x14ac:dyDescent="0.25">
      <c r="B19" t="s">
        <v>180</v>
      </c>
      <c r="C19" s="6">
        <v>66490</v>
      </c>
      <c r="D19" s="6">
        <v>105169</v>
      </c>
      <c r="E19" s="6">
        <v>100252</v>
      </c>
      <c r="F19" s="6">
        <v>91334</v>
      </c>
      <c r="G19" s="6">
        <v>197703</v>
      </c>
      <c r="H19" s="6">
        <v>211904</v>
      </c>
      <c r="I19" s="34">
        <f ca="1">H19*(1+Assumptions!I52)</f>
        <v>215222.89963959172</v>
      </c>
      <c r="J19" s="34">
        <f ca="1">I19*(1+Assumptions!J52)</f>
        <v>218593.78081241396</v>
      </c>
      <c r="K19" s="34">
        <f ca="1">J19*(1+Assumptions!K52)</f>
        <v>222017.45766776029</v>
      </c>
      <c r="L19" s="34">
        <f ca="1">K19*(1+Assumptions!L52)</f>
        <v>225494.75710635795</v>
      </c>
      <c r="M19" s="34">
        <f ca="1">L19*(1+Assumptions!M52)</f>
        <v>229026.51898008431</v>
      </c>
      <c r="N19" s="34">
        <f ca="1">M19*(1+Assumptions!N52)</f>
        <v>232613.59629481146</v>
      </c>
      <c r="Q19" t="s">
        <v>180</v>
      </c>
      <c r="R19" s="6">
        <v>66490</v>
      </c>
      <c r="S19" s="6">
        <v>105169</v>
      </c>
      <c r="T19" s="6">
        <v>100252</v>
      </c>
      <c r="U19" s="6">
        <v>91334</v>
      </c>
      <c r="V19" s="6">
        <v>197703</v>
      </c>
      <c r="W19" s="6">
        <v>211904</v>
      </c>
      <c r="X19" s="34">
        <f ca="1">W19*(1+X30)</f>
        <v>244765.80097851227</v>
      </c>
      <c r="Y19" s="34">
        <f t="shared" ref="Y19:AC19" ca="1" si="19">X19*(1+Y30)</f>
        <v>282723.76797348174</v>
      </c>
      <c r="Z19" s="34">
        <f t="shared" ca="1" si="19"/>
        <v>326568.20788513811</v>
      </c>
      <c r="AA19" s="34">
        <f t="shared" ca="1" si="19"/>
        <v>377211.98739581666</v>
      </c>
      <c r="AB19" s="34">
        <f t="shared" ca="1" si="19"/>
        <v>435709.53938403021</v>
      </c>
      <c r="AC19" s="34">
        <f t="shared" ca="1" si="19"/>
        <v>503278.81682889792</v>
      </c>
    </row>
    <row r="20" spans="1:29" x14ac:dyDescent="0.25">
      <c r="B20" t="s">
        <v>181</v>
      </c>
      <c r="C20" s="6">
        <v>0</v>
      </c>
      <c r="D20" s="6">
        <v>112498</v>
      </c>
      <c r="E20" s="6">
        <v>150443</v>
      </c>
      <c r="F20" s="6">
        <v>143391</v>
      </c>
      <c r="G20" s="6">
        <v>80934</v>
      </c>
      <c r="H20" s="6">
        <v>79704</v>
      </c>
      <c r="I20" s="34">
        <f ca="1">H20*(1+Assumptions!I52)</f>
        <v>80952.346311886591</v>
      </c>
      <c r="J20" s="34">
        <f ca="1">I20*(1+Assumptions!J52)</f>
        <v>82220.244572413168</v>
      </c>
      <c r="K20" s="34">
        <f ca="1">J20*(1+Assumptions!K52)</f>
        <v>83508.001009660817</v>
      </c>
      <c r="L20" s="34">
        <f ca="1">K20*(1+Assumptions!L52)</f>
        <v>84815.92664794036</v>
      </c>
      <c r="M20" s="34">
        <f ca="1">L20*(1+Assumptions!M52)</f>
        <v>86144.337382912257</v>
      </c>
      <c r="N20" s="34">
        <f ca="1">M20*(1+Assumptions!N52)</f>
        <v>87493.55405788307</v>
      </c>
      <c r="Q20" t="s">
        <v>181</v>
      </c>
      <c r="R20" s="6">
        <v>0</v>
      </c>
      <c r="S20" s="6">
        <v>112498</v>
      </c>
      <c r="T20" s="6">
        <v>150443</v>
      </c>
      <c r="U20" s="6">
        <v>143391</v>
      </c>
      <c r="V20" s="6">
        <v>80934</v>
      </c>
      <c r="W20" s="6">
        <v>79704</v>
      </c>
      <c r="X20" s="34">
        <f ca="1">W20*(1+X30)</f>
        <v>92064.394259623892</v>
      </c>
      <c r="Y20" s="34">
        <f t="shared" ref="Y20:AC20" ca="1" si="20">X20*(1+Y30)</f>
        <v>106341.62263363782</v>
      </c>
      <c r="Z20" s="34">
        <f t="shared" ca="1" si="20"/>
        <v>122832.94530200963</v>
      </c>
      <c r="AA20" s="34">
        <f t="shared" ca="1" si="20"/>
        <v>141881.72117277715</v>
      </c>
      <c r="AB20" s="34">
        <f t="shared" ca="1" si="20"/>
        <v>163884.55681376823</v>
      </c>
      <c r="AC20" s="34">
        <f t="shared" ca="1" si="20"/>
        <v>189299.56403149766</v>
      </c>
    </row>
    <row r="21" spans="1:29" x14ac:dyDescent="0.25">
      <c r="B21" t="s">
        <v>182</v>
      </c>
      <c r="C21" s="6">
        <v>0</v>
      </c>
      <c r="D21" s="6">
        <v>28109</v>
      </c>
      <c r="E21" s="6">
        <v>26802</v>
      </c>
      <c r="F21" s="6">
        <v>32887</v>
      </c>
      <c r="G21" s="6">
        <v>77230</v>
      </c>
      <c r="H21" s="6">
        <v>75480</v>
      </c>
      <c r="I21" s="34">
        <f ca="1">H21*(1+Assumptions!I52)</f>
        <v>76662.188843987766</v>
      </c>
      <c r="J21" s="34">
        <f ca="1">I21*(1+Assumptions!J52)</f>
        <v>77862.893459873361</v>
      </c>
      <c r="K21" s="34">
        <f ca="1">J21*(1+Assumptions!K52)</f>
        <v>79082.40384684832</v>
      </c>
      <c r="L21" s="34">
        <f ca="1">K21*(1+Assumptions!L52)</f>
        <v>80321.014546152495</v>
      </c>
      <c r="M21" s="34">
        <f ca="1">L21*(1+Assumptions!M52)</f>
        <v>81579.024712212908</v>
      </c>
      <c r="N21" s="34">
        <f ca="1">M21*(1+Assumptions!N52)</f>
        <v>82856.738184896793</v>
      </c>
      <c r="Q21" t="s">
        <v>182</v>
      </c>
      <c r="R21" s="6">
        <v>0</v>
      </c>
      <c r="S21" s="6">
        <v>28109</v>
      </c>
      <c r="T21" s="6">
        <v>26802</v>
      </c>
      <c r="U21" s="6">
        <v>32887</v>
      </c>
      <c r="V21" s="6">
        <v>77230</v>
      </c>
      <c r="W21" s="6">
        <v>75480</v>
      </c>
      <c r="X21" s="34">
        <f ca="1">W21*(1+X30)</f>
        <v>87185.341748424311</v>
      </c>
      <c r="Y21" s="34">
        <f t="shared" ref="Y21:AC21" ca="1" si="21">X21*(1+Y30)</f>
        <v>100705.93290659167</v>
      </c>
      <c r="Z21" s="34">
        <f t="shared" ca="1" si="21"/>
        <v>116323.28002855173</v>
      </c>
      <c r="AA21" s="34">
        <f t="shared" ca="1" si="21"/>
        <v>134362.54534428913</v>
      </c>
      <c r="AB21" s="34">
        <f t="shared" ca="1" si="21"/>
        <v>155199.31682604671</v>
      </c>
      <c r="AC21" s="34">
        <f t="shared" ca="1" si="21"/>
        <v>179267.42814786514</v>
      </c>
    </row>
    <row r="22" spans="1:29" x14ac:dyDescent="0.25">
      <c r="B22" t="s">
        <v>183</v>
      </c>
      <c r="C22" s="6">
        <v>14026</v>
      </c>
      <c r="D22" s="6">
        <v>17923</v>
      </c>
      <c r="E22" s="6">
        <v>19103</v>
      </c>
      <c r="F22" s="6">
        <v>36271</v>
      </c>
      <c r="G22" s="6">
        <v>38911</v>
      </c>
      <c r="H22" s="6">
        <v>39018</v>
      </c>
      <c r="I22" s="34">
        <f ca="1">H22*(1+Assumptions!I52)</f>
        <v>39629.110814980319</v>
      </c>
      <c r="J22" s="34">
        <f ca="1">I22*(1+Assumptions!J52)</f>
        <v>40249.793018247736</v>
      </c>
      <c r="K22" s="34">
        <f ca="1">J22*(1+Assumptions!K52)</f>
        <v>40880.196519559191</v>
      </c>
      <c r="L22" s="34">
        <f ca="1">K22*(1+Assumptions!L52)</f>
        <v>41520.473576600132</v>
      </c>
      <c r="M22" s="34">
        <f ca="1">L22*(1+Assumptions!M52)</f>
        <v>42170.778831758391</v>
      </c>
      <c r="N22" s="34">
        <f ca="1">M22*(1+Assumptions!N52)</f>
        <v>42831.269349474074</v>
      </c>
      <c r="Q22" t="s">
        <v>183</v>
      </c>
      <c r="R22" s="6">
        <v>14026</v>
      </c>
      <c r="S22" s="6">
        <v>17923</v>
      </c>
      <c r="T22" s="6">
        <v>19103</v>
      </c>
      <c r="U22" s="6">
        <v>36271</v>
      </c>
      <c r="V22" s="6">
        <v>38911</v>
      </c>
      <c r="W22" s="6">
        <v>39018</v>
      </c>
      <c r="X22" s="34">
        <f ca="1">W22*(1+X30)</f>
        <v>45068.861477742714</v>
      </c>
      <c r="Y22" s="34">
        <f t="shared" ref="Y22:AC22" ca="1" si="22">X22*(1+Y30)</f>
        <v>52058.082805370883</v>
      </c>
      <c r="Z22" s="34">
        <f t="shared" ca="1" si="22"/>
        <v>60131.183626841972</v>
      </c>
      <c r="AA22" s="34">
        <f t="shared" ca="1" si="22"/>
        <v>69456.25058616155</v>
      </c>
      <c r="AB22" s="34">
        <f t="shared" ca="1" si="22"/>
        <v>80227.436988853879</v>
      </c>
      <c r="AC22" s="34">
        <f t="shared" ca="1" si="22"/>
        <v>92669.005186452079</v>
      </c>
    </row>
    <row r="23" spans="1:29" x14ac:dyDescent="0.25">
      <c r="B23" t="s">
        <v>184</v>
      </c>
      <c r="C23" s="6">
        <v>473</v>
      </c>
      <c r="D23" s="6">
        <v>5099</v>
      </c>
      <c r="E23" s="6">
        <v>5110</v>
      </c>
      <c r="F23" s="6">
        <v>5602</v>
      </c>
      <c r="G23" s="6">
        <v>5867</v>
      </c>
      <c r="H23" s="6">
        <v>6046</v>
      </c>
      <c r="I23" s="34">
        <f ca="1">H23*(1+Assumptions!I52)</f>
        <v>6140.6941408419452</v>
      </c>
      <c r="J23" s="34">
        <f ca="1">I23*(1+Assumptions!J52)</f>
        <v>6236.871407768871</v>
      </c>
      <c r="K23" s="34">
        <f ca="1">J23*(1+Assumptions!K52)</f>
        <v>6334.5550299158049</v>
      </c>
      <c r="L23" s="34">
        <f ca="1">K23*(1+Assumptions!L52)</f>
        <v>6433.7686002389764</v>
      </c>
      <c r="M23" s="34">
        <f ca="1">L23*(1+Assumptions!M52)</f>
        <v>6534.5360812140862</v>
      </c>
      <c r="N23" s="34">
        <f ca="1">M23*(1+Assumptions!N52)</f>
        <v>6636.8818106238214</v>
      </c>
      <c r="Q23" t="s">
        <v>184</v>
      </c>
      <c r="R23" s="6">
        <v>473</v>
      </c>
      <c r="S23" s="6">
        <v>5099</v>
      </c>
      <c r="T23" s="6">
        <v>5110</v>
      </c>
      <c r="U23" s="6">
        <v>5602</v>
      </c>
      <c r="V23" s="6">
        <v>5867</v>
      </c>
      <c r="W23" s="6">
        <v>6046</v>
      </c>
      <c r="X23" s="34">
        <f ca="1">W23*(1+X30)</f>
        <v>6983.6059381422019</v>
      </c>
      <c r="Y23" s="34">
        <f t="shared" ref="Y23:AC23" ca="1" si="23">X23*(1+Y30)</f>
        <v>8066.6146045741025</v>
      </c>
      <c r="Z23" s="34">
        <f t="shared" ca="1" si="23"/>
        <v>9317.574868211761</v>
      </c>
      <c r="AA23" s="34">
        <f t="shared" ca="1" si="23"/>
        <v>10762.532447689084</v>
      </c>
      <c r="AB23" s="34">
        <f t="shared" ca="1" si="23"/>
        <v>12431.572198334372</v>
      </c>
      <c r="AC23" s="34">
        <f t="shared" ca="1" si="23"/>
        <v>14359.444496316808</v>
      </c>
    </row>
    <row r="24" spans="1:29" x14ac:dyDescent="0.25">
      <c r="B24" t="s">
        <v>186</v>
      </c>
      <c r="C24" s="6">
        <v>25139</v>
      </c>
      <c r="D24" s="6">
        <v>19957</v>
      </c>
      <c r="E24" s="6">
        <v>25270</v>
      </c>
      <c r="F24" s="6">
        <v>48523</v>
      </c>
      <c r="G24" s="6">
        <v>72257</v>
      </c>
      <c r="H24" s="6">
        <v>56998</v>
      </c>
      <c r="I24" s="34">
        <f ca="1">H24*(1+Assumptions!I52)</f>
        <v>57890.718597371677</v>
      </c>
      <c r="J24" s="34">
        <f ca="1">I24*(1+Assumptions!J52)</f>
        <v>58797.419202780358</v>
      </c>
      <c r="K24" s="34">
        <f ca="1">J24*(1+Assumptions!K52)</f>
        <v>59718.320806341551</v>
      </c>
      <c r="L24" s="34">
        <f ca="1">K24*(1+Assumptions!L52)</f>
        <v>60653.645828055109</v>
      </c>
      <c r="M24" s="34">
        <f ca="1">L24*(1+Assumptions!M52)</f>
        <v>61603.620171525057</v>
      </c>
      <c r="N24" s="34">
        <f ca="1">M24*(1+Assumptions!N52)</f>
        <v>62568.473278520767</v>
      </c>
      <c r="Q24" t="s">
        <v>186</v>
      </c>
      <c r="R24" s="6">
        <v>25139</v>
      </c>
      <c r="S24" s="6">
        <v>19957</v>
      </c>
      <c r="T24" s="6">
        <v>25270</v>
      </c>
      <c r="U24" s="6">
        <v>48523</v>
      </c>
      <c r="V24" s="6">
        <v>72257</v>
      </c>
      <c r="W24" s="6">
        <v>56998</v>
      </c>
      <c r="X24" s="34">
        <f ca="1">W24*(1+X30)</f>
        <v>65837.17685448713</v>
      </c>
      <c r="Y24" s="34">
        <f t="shared" ref="Y24:AC24" ca="1" si="24">X24*(1+Y30)</f>
        <v>76047.121937068252</v>
      </c>
      <c r="Z24" s="34">
        <f t="shared" ca="1" si="24"/>
        <v>87840.412229297712</v>
      </c>
      <c r="AA24" s="34">
        <f t="shared" ca="1" si="24"/>
        <v>101462.59087882606</v>
      </c>
      <c r="AB24" s="34">
        <f t="shared" ca="1" si="24"/>
        <v>117197.27955022534</v>
      </c>
      <c r="AC24" s="34">
        <f t="shared" ca="1" si="24"/>
        <v>135372.08359263404</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717753.29786981316</v>
      </c>
      <c r="J25" s="7">
        <f t="shared" ref="J25" ca="1" si="27">SUM(J18:J24)</f>
        <v>728994.95051259419</v>
      </c>
      <c r="K25" s="7">
        <f t="shared" ref="K25" ca="1" si="28">SUM(K18:K24)</f>
        <v>740412.67305922089</v>
      </c>
      <c r="L25" s="7">
        <f t="shared" ref="L25" ca="1" si="29">SUM(L18:L24)</f>
        <v>752009.22316570976</v>
      </c>
      <c r="M25" s="7">
        <f t="shared" ref="M25" ca="1" si="30">SUM(M18:M24)</f>
        <v>763787.40167925507</v>
      </c>
      <c r="N25" s="7">
        <f t="shared" ref="N25" ca="1" si="31">SUM(N18:N24)</f>
        <v>775750.05331470305</v>
      </c>
      <c r="R25" s="7">
        <f>SUM(R18:R24)</f>
        <v>230508</v>
      </c>
      <c r="S25" s="7">
        <f t="shared" ref="S25:AC25" si="32">SUM(S18:S24)</f>
        <v>429228</v>
      </c>
      <c r="T25" s="7">
        <f t="shared" si="32"/>
        <v>465196</v>
      </c>
      <c r="U25" s="7">
        <f t="shared" si="32"/>
        <v>537338</v>
      </c>
      <c r="V25" s="7">
        <f t="shared" si="32"/>
        <v>713039</v>
      </c>
      <c r="W25" s="7">
        <f t="shared" si="32"/>
        <v>706685</v>
      </c>
      <c r="X25" s="7">
        <f t="shared" ca="1" si="32"/>
        <v>816276.80489514081</v>
      </c>
      <c r="Y25" s="7">
        <f t="shared" ca="1" si="32"/>
        <v>942863.9665619334</v>
      </c>
      <c r="Z25" s="7">
        <f t="shared" ca="1" si="32"/>
        <v>1089082.103166098</v>
      </c>
      <c r="AA25" s="7">
        <f t="shared" ca="1" si="32"/>
        <v>1257975.5611636057</v>
      </c>
      <c r="AB25" s="7">
        <f t="shared" ca="1" si="32"/>
        <v>1453060.8003605565</v>
      </c>
      <c r="AC25" s="7">
        <f t="shared" ca="1" si="32"/>
        <v>1678399.6086469803</v>
      </c>
    </row>
    <row r="26" spans="1:29" x14ac:dyDescent="0.25">
      <c r="B26" t="s">
        <v>185</v>
      </c>
      <c r="C26" s="6">
        <f>-41905</f>
        <v>-41905</v>
      </c>
      <c r="D26" s="6">
        <v>-115931</v>
      </c>
      <c r="E26" s="6">
        <v>-167001</v>
      </c>
      <c r="F26" s="6">
        <v>-223936</v>
      </c>
      <c r="G26" s="6">
        <v>-247195</v>
      </c>
      <c r="H26" s="6">
        <v>-261821</v>
      </c>
      <c r="I26" s="34">
        <f ca="1">I25*(-Assumptions!I57)</f>
        <v>-299124.20582905819</v>
      </c>
      <c r="J26" s="34">
        <f ca="1">J25*(-Assumptions!J57)</f>
        <v>-303809.17269574886</v>
      </c>
      <c r="K26" s="34">
        <f ca="1">K25*(-Assumptions!K57)</f>
        <v>-308567.51682216721</v>
      </c>
      <c r="L26" s="34">
        <f ca="1">L25*(-Assumptions!L57)</f>
        <v>-313400.387463452</v>
      </c>
      <c r="M26" s="34">
        <f ca="1">M25*(-Assumptions!M57)</f>
        <v>-318308.95187469647</v>
      </c>
      <c r="N26" s="34">
        <f ca="1">N25*(-Assumptions!N57)</f>
        <v>-323294.39559286955</v>
      </c>
      <c r="Q26" t="s">
        <v>185</v>
      </c>
      <c r="R26" s="6">
        <f>-41905</f>
        <v>-41905</v>
      </c>
      <c r="S26" s="6">
        <v>-115931</v>
      </c>
      <c r="T26" s="6">
        <v>-167001</v>
      </c>
      <c r="U26" s="6">
        <v>-223936</v>
      </c>
      <c r="V26" s="6">
        <v>-247195</v>
      </c>
      <c r="W26" s="6">
        <v>-261821</v>
      </c>
      <c r="X26" s="34">
        <f ca="1">X25*(-Assumptions!I57)</f>
        <v>-340183.94861520728</v>
      </c>
      <c r="Y26" s="34">
        <f ca="1">Y25*(-Assumptions!J57)</f>
        <v>-392939.23976345081</v>
      </c>
      <c r="Z26" s="34">
        <f ca="1">Z25*(-Assumptions!K57)</f>
        <v>-453875.75391020795</v>
      </c>
      <c r="AA26" s="34">
        <f ca="1">AA25*(-Assumptions!L57)</f>
        <v>-524262.22464209341</v>
      </c>
      <c r="AB26" s="34">
        <f ca="1">AB25*(-Assumptions!M57)</f>
        <v>-605564.13912573014</v>
      </c>
      <c r="AC26" s="34">
        <f ca="1">AC25*(-Assumptions!N57)</f>
        <v>-699474.2504009956</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418629.09204075497</v>
      </c>
      <c r="J27" s="105">
        <f t="shared" ca="1" si="33"/>
        <v>425185.77781684534</v>
      </c>
      <c r="K27" s="105">
        <f t="shared" ca="1" si="33"/>
        <v>431845.15623705368</v>
      </c>
      <c r="L27" s="105">
        <f t="shared" ca="1" si="33"/>
        <v>438608.83570225775</v>
      </c>
      <c r="M27" s="105">
        <f t="shared" ca="1" si="33"/>
        <v>445478.44980455859</v>
      </c>
      <c r="N27" s="105">
        <f t="shared" ca="1" si="33"/>
        <v>452455.6577218335</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476092.85627993353</v>
      </c>
      <c r="Y27" s="105">
        <f t="shared" ca="1" si="34"/>
        <v>549924.72679848259</v>
      </c>
      <c r="Z27" s="105">
        <f t="shared" ca="1" si="34"/>
        <v>635206.34925589012</v>
      </c>
      <c r="AA27" s="105">
        <f t="shared" ca="1" si="34"/>
        <v>733713.33652151225</v>
      </c>
      <c r="AB27" s="105">
        <f t="shared" ca="1" si="34"/>
        <v>847496.66123482632</v>
      </c>
      <c r="AC27" s="105">
        <f t="shared" ca="1" si="34"/>
        <v>978925.35824598465</v>
      </c>
    </row>
    <row r="28" spans="1:29" ht="15.75" thickTop="1" x14ac:dyDescent="0.25">
      <c r="I28" s="42">
        <f ca="1">I26-H26</f>
        <v>-37303.205829058192</v>
      </c>
      <c r="J28" s="42">
        <f t="shared" ref="J28:N28" ca="1" si="35">J26-I26</f>
        <v>-4684.9668666906655</v>
      </c>
      <c r="K28" s="42">
        <f t="shared" ca="1" si="35"/>
        <v>-4758.3441264183493</v>
      </c>
      <c r="L28" s="42">
        <f t="shared" ca="1" si="35"/>
        <v>-4832.8706412847969</v>
      </c>
      <c r="M28" s="42">
        <f t="shared" ca="1" si="35"/>
        <v>-4908.5644112444716</v>
      </c>
      <c r="N28" s="42">
        <f t="shared" ca="1" si="35"/>
        <v>-4985.4437181730755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0.15507871950747631</v>
      </c>
      <c r="Y30" s="92">
        <f t="shared" ca="1" si="41"/>
        <v>0.15507871950747631</v>
      </c>
      <c r="Z30" s="92">
        <f t="shared" ca="1" si="41"/>
        <v>0.15507871950747631</v>
      </c>
      <c r="AA30" s="92">
        <f t="shared" ca="1" si="41"/>
        <v>0.15507871950747631</v>
      </c>
      <c r="AB30" s="92">
        <f t="shared" ca="1" si="41"/>
        <v>0.15507871950747631</v>
      </c>
      <c r="AC30" s="93">
        <f t="shared" ca="1" si="41"/>
        <v>0.15507871950747631</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150721.23526604733</v>
      </c>
      <c r="J32" s="34">
        <f ca="1">I32*(1+Assumptions!J62)</f>
        <v>153081.87335406503</v>
      </c>
      <c r="K32" s="34">
        <f ca="1">J32*(1+Assumptions!K62)</f>
        <v>155479.48441521928</v>
      </c>
      <c r="L32" s="34">
        <f ca="1">K32*(1+Assumptions!L62)</f>
        <v>157914.64753054309</v>
      </c>
      <c r="M32" s="34">
        <f ca="1">L32*(1+Assumptions!M62)</f>
        <v>160387.95085079837</v>
      </c>
      <c r="N32" s="34">
        <f ca="1">M32*(1+Assumptions!N62)</f>
        <v>162899.99173852851</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25586.564140934548</v>
      </c>
      <c r="J35" s="34">
        <f ca="1">I35*(1+Assumptions!J62)</f>
        <v>25987.308055658847</v>
      </c>
      <c r="K35" s="34">
        <f ca="1">J35*(1+Assumptions!K62)</f>
        <v>26394.3285335162</v>
      </c>
      <c r="L35" s="34">
        <f ca="1">K35*(1+Assumptions!L62)</f>
        <v>26807.723879791647</v>
      </c>
      <c r="M35" s="34">
        <f ca="1">L35*(1+Assumptions!M62)</f>
        <v>27227.593939455055</v>
      </c>
      <c r="N35" s="34">
        <f ca="1">M35*(1+Assumptions!N62)</f>
        <v>27654.040121276099</v>
      </c>
      <c r="X35" s="111">
        <f ca="1">X27-W27</f>
        <v>31228.856279933534</v>
      </c>
    </row>
    <row r="36" spans="1:29" x14ac:dyDescent="0.25">
      <c r="B36" t="s">
        <v>193</v>
      </c>
      <c r="C36" s="52">
        <v>382077</v>
      </c>
      <c r="D36" s="52">
        <v>265803</v>
      </c>
      <c r="E36" s="52">
        <v>210232</v>
      </c>
      <c r="F36" s="52">
        <v>176356</v>
      </c>
      <c r="G36" s="52">
        <v>134102</v>
      </c>
      <c r="H36" s="52">
        <v>152074</v>
      </c>
      <c r="I36" s="34">
        <f ca="1">H36*(1+Assumptions!I62)</f>
        <v>154455.8254671515</v>
      </c>
      <c r="J36" s="34">
        <f ca="1">I36*(1+Assumptions!J62)</f>
        <v>156874.95575008987</v>
      </c>
      <c r="K36" s="34">
        <f ca="1">J36*(1+Assumptions!K62)</f>
        <v>159331.97512726038</v>
      </c>
      <c r="L36" s="34">
        <f ca="1">K36*(1+Assumptions!L62)</f>
        <v>161827.47702824054</v>
      </c>
      <c r="M36" s="34">
        <f ca="1">L36*(1+Assumptions!M62)</f>
        <v>164362.06417706766</v>
      </c>
      <c r="N36" s="34">
        <f ca="1">M36*(1+Assumptions!N62)</f>
        <v>166936.34873781129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180042.38960808606</v>
      </c>
      <c r="J37" s="110">
        <f t="shared" ca="1" si="45"/>
        <v>182862.26380574872</v>
      </c>
      <c r="K37" s="110">
        <f t="shared" ca="1" si="45"/>
        <v>185726.30366077658</v>
      </c>
      <c r="L37" s="110">
        <f t="shared" ca="1" si="45"/>
        <v>188635.20090803219</v>
      </c>
      <c r="M37" s="110">
        <f t="shared" ca="1" si="45"/>
        <v>191589.65811652271</v>
      </c>
      <c r="N37" s="110">
        <f t="shared" ca="1" si="45"/>
        <v>194590.3888590874</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330763.62487413338</v>
      </c>
      <c r="J38" s="105">
        <f t="shared" ca="1" si="47"/>
        <v>335944.13715981378</v>
      </c>
      <c r="K38" s="105">
        <f t="shared" ca="1" si="47"/>
        <v>341205.78807599586</v>
      </c>
      <c r="L38" s="105">
        <f t="shared" ca="1" si="47"/>
        <v>346549.84843857528</v>
      </c>
      <c r="M38" s="105">
        <f t="shared" ca="1" si="47"/>
        <v>351977.60896732111</v>
      </c>
      <c r="N38" s="105">
        <f t="shared" ca="1" si="47"/>
        <v>357490.38059761591</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80952.34631188662</v>
      </c>
      <c r="J44" s="34">
        <f ca="1">I44*(1+Assumptions!J92)</f>
        <v>82220.244572413212</v>
      </c>
      <c r="K44" s="34">
        <f ca="1">J44*(1+Assumptions!K92)</f>
        <v>83508.001009660875</v>
      </c>
      <c r="L44" s="34">
        <f ca="1">K44*(1+Assumptions!L92)</f>
        <v>84815.926647940432</v>
      </c>
      <c r="M44" s="34">
        <f ca="1">L44*(1+Assumptions!M92)</f>
        <v>86144.337382912359</v>
      </c>
      <c r="N44" s="34">
        <f ca="1">M44*(1+Assumptions!N92)</f>
        <v>87493.554057883186</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31757.728150156461</v>
      </c>
      <c r="J47" s="34">
        <f ca="1">I47*(1+Assumptions!J92)</f>
        <v>32255.126559397471</v>
      </c>
      <c r="K47" s="34">
        <f ca="1">J47*(1+Assumptions!K92)</f>
        <v>32760.315361463363</v>
      </c>
      <c r="L47" s="34">
        <f ca="1">K47*(1+Assumptions!L92)</f>
        <v>33273.416571662667</v>
      </c>
      <c r="M47" s="34">
        <f ca="1">L47*(1+Assumptions!M92)</f>
        <v>33794.554116341758</v>
      </c>
      <c r="N47" s="34">
        <f ca="1">M47*(1+Assumptions!N92)</f>
        <v>34323.85386281606</v>
      </c>
    </row>
    <row r="48" spans="1:29" x14ac:dyDescent="0.25">
      <c r="B48" t="s">
        <v>200</v>
      </c>
      <c r="C48" s="21">
        <v>0</v>
      </c>
      <c r="D48" s="21">
        <v>6593</v>
      </c>
      <c r="E48" s="21">
        <v>14242</v>
      </c>
      <c r="F48" s="21">
        <v>19921</v>
      </c>
      <c r="G48" s="21">
        <v>61321</v>
      </c>
      <c r="H48" s="21">
        <v>54351</v>
      </c>
      <c r="I48" s="34">
        <f ca="1">H48*(1+Assumptions!I92)</f>
        <v>55202.260543979595</v>
      </c>
      <c r="J48" s="34">
        <f ca="1">I48*(1+Assumptions!J92)</f>
        <v>56066.8537683834</v>
      </c>
      <c r="K48" s="34">
        <f ca="1">J48*(1+Assumptions!K92)</f>
        <v>56944.98849337647</v>
      </c>
      <c r="L48" s="34">
        <f ca="1">K48*(1+Assumptions!L92)</f>
        <v>57836.87680972361</v>
      </c>
      <c r="M48" s="34">
        <f ca="1">L48*(1+Assumptions!M92)</f>
        <v>58742.734130014425</v>
      </c>
      <c r="N48" s="34">
        <f ca="1">M48*(1+Assumptions!N92)</f>
        <v>59662.779240690674</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86959.98869413606</v>
      </c>
      <c r="J49" s="110">
        <f t="shared" ca="1" si="53"/>
        <v>88321.980327780868</v>
      </c>
      <c r="K49" s="110">
        <f t="shared" ca="1" si="53"/>
        <v>89705.303854839833</v>
      </c>
      <c r="L49" s="110">
        <f t="shared" ca="1" si="53"/>
        <v>91110.293381386276</v>
      </c>
      <c r="M49" s="110">
        <f t="shared" ca="1" si="53"/>
        <v>92537.288246356184</v>
      </c>
      <c r="N49" s="110">
        <f t="shared" ca="1" si="53"/>
        <v>93986.633103506727</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167912.33500602268</v>
      </c>
      <c r="J50" s="105">
        <f t="shared" ca="1" si="55"/>
        <v>170542.22490019409</v>
      </c>
      <c r="K50" s="105">
        <f t="shared" ca="1" si="55"/>
        <v>173213.30486450071</v>
      </c>
      <c r="L50" s="105">
        <f t="shared" ca="1" si="55"/>
        <v>175926.22002932671</v>
      </c>
      <c r="M50" s="105">
        <f t="shared" ca="1" si="55"/>
        <v>178681.62562926853</v>
      </c>
      <c r="N50" s="105">
        <f t="shared" ca="1" si="55"/>
        <v>181480.18716138991</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70932.760543979588</v>
      </c>
      <c r="J52" s="117">
        <f t="shared" ref="J52:N52" ca="1" si="56">SUM(J53:J54)</f>
        <v>71797.3537683834</v>
      </c>
      <c r="K52" s="117">
        <f t="shared" ca="1" si="56"/>
        <v>75011.788493376473</v>
      </c>
      <c r="L52" s="117">
        <f t="shared" ca="1" si="56"/>
        <v>73320.236809723603</v>
      </c>
      <c r="M52" s="117">
        <f t="shared" ca="1" si="56"/>
        <v>78459.566130014427</v>
      </c>
      <c r="N52" s="117">
        <f t="shared" ca="1" si="56"/>
        <v>76608.377640690669</v>
      </c>
    </row>
    <row r="53" spans="1:14" x14ac:dyDescent="0.25">
      <c r="B53" t="s">
        <v>200</v>
      </c>
      <c r="C53" s="117"/>
      <c r="D53" s="117"/>
      <c r="E53" s="21">
        <f>E48</f>
        <v>14242</v>
      </c>
      <c r="F53" s="21">
        <f t="shared" ref="F53:N53" si="57">F48</f>
        <v>19921</v>
      </c>
      <c r="G53" s="21">
        <f t="shared" si="57"/>
        <v>61321</v>
      </c>
      <c r="H53" s="21">
        <f t="shared" si="57"/>
        <v>54351</v>
      </c>
      <c r="I53" s="21">
        <f t="shared" ca="1" si="57"/>
        <v>55202.260543979595</v>
      </c>
      <c r="J53" s="21">
        <f t="shared" ca="1" si="57"/>
        <v>56066.8537683834</v>
      </c>
      <c r="K53" s="21">
        <f t="shared" ca="1" si="57"/>
        <v>56944.98849337647</v>
      </c>
      <c r="L53" s="21">
        <f t="shared" ca="1" si="57"/>
        <v>57836.87680972361</v>
      </c>
      <c r="M53" s="21">
        <f t="shared" ca="1" si="57"/>
        <v>58742.734130014425</v>
      </c>
      <c r="N53" s="21">
        <f t="shared" ca="1" si="57"/>
        <v>59662.779240690674</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41110.962080525867</v>
      </c>
      <c r="J58" s="34">
        <f ca="1">I58*(1+Assumptions!J67)</f>
        <v>41754.853452242896</v>
      </c>
      <c r="K58" s="34">
        <f ca="1">J58*(1+Assumptions!K67)</f>
        <v>42408.829630483298</v>
      </c>
      <c r="L58" s="34">
        <f ca="1">K58*(1+Assumptions!L67)</f>
        <v>43073.048566303849</v>
      </c>
      <c r="M58" s="34">
        <f ca="1">L58*(1+Assumptions!M67)</f>
        <v>43747.670684634897</v>
      </c>
      <c r="N58" s="34">
        <f ca="1">M58*(1+Assumptions!N67)</f>
        <v>44432.858923026863</v>
      </c>
    </row>
    <row r="59" spans="1:14" x14ac:dyDescent="0.25">
      <c r="B59" s="112" t="s">
        <v>206</v>
      </c>
      <c r="C59" s="6">
        <v>26309</v>
      </c>
      <c r="D59" s="6">
        <v>43434</v>
      </c>
      <c r="E59" s="6">
        <v>12643</v>
      </c>
      <c r="F59" s="6">
        <v>20424</v>
      </c>
      <c r="G59" s="6">
        <v>29540</v>
      </c>
      <c r="H59" s="6">
        <v>36683</v>
      </c>
      <c r="I59" s="34">
        <f ca="1">I61*I58</f>
        <v>27890.535151827327</v>
      </c>
      <c r="J59" s="34">
        <f t="shared" ref="J59:N59" ca="1" si="64">J61*J58</f>
        <v>28779.511005415359</v>
      </c>
      <c r="K59" s="34">
        <f t="shared" ca="1" si="64"/>
        <v>28628.281867630314</v>
      </c>
      <c r="L59" s="34">
        <f t="shared" ca="1" si="64"/>
        <v>29825.35061825809</v>
      </c>
      <c r="M59" s="34">
        <f t="shared" ca="1" si="64"/>
        <v>31732.16995220683</v>
      </c>
      <c r="N59" s="34">
        <f t="shared" ca="1" si="64"/>
        <v>32338.047509974371</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13220.42692869854</v>
      </c>
      <c r="J60" s="8">
        <f t="shared" ca="1" si="65"/>
        <v>12975.342446827537</v>
      </c>
      <c r="K60" s="8">
        <f t="shared" ca="1" si="65"/>
        <v>13780.547762852984</v>
      </c>
      <c r="L60" s="8">
        <f t="shared" ca="1" si="65"/>
        <v>13247.697948045759</v>
      </c>
      <c r="M60" s="8">
        <f t="shared" ca="1" si="65"/>
        <v>12015.500732428067</v>
      </c>
      <c r="N60" s="8">
        <f t="shared" ca="1" si="65"/>
        <v>12094.811413052492</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-8792.4648481726726</v>
      </c>
      <c r="J62" s="181">
        <f t="shared" ref="J62:N62" ca="1" si="68">J59-I59</f>
        <v>888.9758535880319</v>
      </c>
      <c r="K62" s="181">
        <f t="shared" ca="1" si="68"/>
        <v>-151.22913778504517</v>
      </c>
      <c r="L62" s="181">
        <f t="shared" ca="1" si="68"/>
        <v>1197.0687506277754</v>
      </c>
      <c r="M62" s="181">
        <f t="shared" ca="1" si="68"/>
        <v>1906.8193339487407</v>
      </c>
      <c r="N62" s="181">
        <f t="shared" ca="1" si="68"/>
        <v>605.87755776754057</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101230.0437187522</v>
      </c>
      <c r="J65" s="34">
        <f ca="1">I65*(1+Assumptions!J67)</f>
        <v>102815.53694027713</v>
      </c>
      <c r="K65" s="34">
        <f ca="1">J65*(1+Assumptions!K67)</f>
        <v>104425.86259951675</v>
      </c>
      <c r="L65" s="34">
        <f ca="1">K65*(1+Assumptions!L67)</f>
        <v>106061.40962904706</v>
      </c>
      <c r="M65" s="34">
        <f ca="1">L65*(1+Assumptions!M67)</f>
        <v>107722.57305301467</v>
      </c>
      <c r="N65" s="34">
        <f ca="1">M65*(1+Assumptions!N67)</f>
        <v>109409.75408254475</v>
      </c>
    </row>
    <row r="66" spans="1:14" x14ac:dyDescent="0.25">
      <c r="B66" s="112" t="s">
        <v>206</v>
      </c>
      <c r="C66" s="6">
        <v>13459</v>
      </c>
      <c r="D66" s="6">
        <v>26607</v>
      </c>
      <c r="E66" s="6">
        <v>38543</v>
      </c>
      <c r="F66" s="6">
        <v>45059</v>
      </c>
      <c r="G66" s="6">
        <v>53238</v>
      </c>
      <c r="H66" s="6">
        <v>60687</v>
      </c>
      <c r="I66" s="34">
        <f ca="1">I68*I65</f>
        <v>43380.006902088695</v>
      </c>
      <c r="J66" s="34">
        <f t="shared" ref="J66:N66" ca="1" si="69">J68*J65</f>
        <v>48512.545994202788</v>
      </c>
      <c r="K66" s="34">
        <f t="shared" ca="1" si="69"/>
        <v>51681.460042473293</v>
      </c>
      <c r="L66" s="34">
        <f t="shared" ca="1" si="69"/>
        <v>52701.539554492956</v>
      </c>
      <c r="M66" s="34">
        <f t="shared" ca="1" si="69"/>
        <v>54392.897985684205</v>
      </c>
      <c r="N66" s="34">
        <f t="shared" ca="1" si="69"/>
        <v>54814.232266618623</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57850.036816663509</v>
      </c>
      <c r="J67" s="8">
        <f t="shared" ca="1" si="71"/>
        <v>54302.990946074344</v>
      </c>
      <c r="K67" s="8">
        <f t="shared" ca="1" si="71"/>
        <v>52744.402557043461</v>
      </c>
      <c r="L67" s="8">
        <f t="shared" ca="1" si="71"/>
        <v>53359.870074554106</v>
      </c>
      <c r="M67" s="8">
        <f t="shared" ca="1" si="71"/>
        <v>53329.675067330463</v>
      </c>
      <c r="N67" s="8">
        <f t="shared" ca="1" si="71"/>
        <v>54595.521815926128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-17306.993097911305</v>
      </c>
      <c r="J69" s="181">
        <f t="shared" ref="J69:N69" ca="1" si="74">J66-I66</f>
        <v>5132.5390921140934</v>
      </c>
      <c r="K69" s="181">
        <f t="shared" ca="1" si="74"/>
        <v>3168.9140482705043</v>
      </c>
      <c r="L69" s="181">
        <f t="shared" ca="1" si="74"/>
        <v>1020.0795120196635</v>
      </c>
      <c r="M69" s="181">
        <f t="shared" ca="1" si="74"/>
        <v>1691.3584311912491</v>
      </c>
      <c r="N69" s="181">
        <f t="shared" ca="1" si="74"/>
        <v>421.33428093441762</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71070.463745362053</v>
      </c>
      <c r="J71" s="115">
        <f t="shared" ca="1" si="75"/>
        <v>67278.333392901885</v>
      </c>
      <c r="K71" s="115">
        <f t="shared" ca="1" si="75"/>
        <v>66524.950319896452</v>
      </c>
      <c r="L71" s="115">
        <f t="shared" ca="1" si="75"/>
        <v>66607.568022599866</v>
      </c>
      <c r="M71" s="115">
        <f t="shared" ca="1" si="75"/>
        <v>65345.17579975853</v>
      </c>
      <c r="N71" s="115">
        <f t="shared" ca="1" si="75"/>
        <v>66690.333228978619</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172118.00153783118</v>
      </c>
      <c r="J75" s="34">
        <f ca="1">I75*(1+Assumptions!J3)</f>
        <v>174813.76175600145</v>
      </c>
      <c r="K75" s="34">
        <f ca="1">J75*(1+Assumptions!K3)</f>
        <v>180910.01420717</v>
      </c>
      <c r="L75" s="34">
        <f ca="1">K75*(1+Assumptions!L3)</f>
        <v>187128.19170736181</v>
      </c>
      <c r="M75" s="34">
        <f ca="1">L75*(1+Assumptions!M3)</f>
        <v>193470.73275755759</v>
      </c>
      <c r="N75" s="34">
        <f ca="1">M75*(1+Assumptions!N3)</f>
        <v>199940.12462875724</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3582.2408592043566</v>
      </c>
      <c r="J78" s="34">
        <f ca="1">Assumptions!J102*Schedules!J38</f>
        <v>3638.3469161761182</v>
      </c>
      <c r="K78" s="34">
        <f ca="1">Assumptions!K102*Schedules!K38</f>
        <v>3695.331721884394</v>
      </c>
      <c r="L78" s="34">
        <f ca="1">Assumptions!L102*Schedules!L38</f>
        <v>3753.2090395373589</v>
      </c>
      <c r="M78" s="34">
        <f ca="1">Assumptions!M102*Schedules!M38</f>
        <v>3811.9928479063988</v>
      </c>
      <c r="N78" s="34">
        <f ca="1">Assumptions!N102*Schedules!N38</f>
        <v>3871.6973447023188</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195738.57573036884</v>
      </c>
      <c r="J82" s="105">
        <f t="shared" ca="1" si="84"/>
        <v>201815.33089439978</v>
      </c>
      <c r="K82" s="105">
        <f t="shared" ca="1" si="84"/>
        <v>211859.93852164701</v>
      </c>
      <c r="L82" s="105">
        <f t="shared" ca="1" si="84"/>
        <v>202639.25877159051</v>
      </c>
      <c r="M82" s="105">
        <f t="shared" ca="1" si="84"/>
        <v>214834.72663427057</v>
      </c>
      <c r="N82" s="105">
        <f t="shared" ca="1" si="84"/>
        <v>221031.48984040055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240103.29105538223</v>
      </c>
      <c r="J90" s="34">
        <f ca="1">'3_Statement_Model'!I59-(('3_Statement_Model'!I71+'3_Statement_Model'!I74+'3_Statement_Model'!I75+APIC!I17+'3_Statement_Model'!I77+'3_Statement_Model'!I78))</f>
        <v>170174.64633141272</v>
      </c>
      <c r="K90" s="34">
        <f ca="1">'3_Statement_Model'!J59-(('3_Statement_Model'!J71+'3_Statement_Model'!J74+'3_Statement_Model'!J75+APIC!J17+'3_Statement_Model'!J77+'3_Statement_Model'!J78))</f>
        <v>96503.484411291778</v>
      </c>
      <c r="L90" s="34">
        <f ca="1">'3_Statement_Model'!K59-(('3_Statement_Model'!K71+'3_Statement_Model'!K74+'3_Statement_Model'!K75+APIC!K17+'3_Statement_Model'!K77+'3_Statement_Model'!K78))</f>
        <v>21284.009073913097</v>
      </c>
      <c r="M90" s="34">
        <f ca="1">'3_Statement_Model'!L59-(('3_Statement_Model'!L71+'3_Statement_Model'!L74+'3_Statement_Model'!L75+APIC!L17+'3_Statement_Model'!L77+'3_Statement_Model'!L78))</f>
        <v>-904326.47353009973</v>
      </c>
      <c r="N90" s="34">
        <f ca="1">'3_Statement_Model'!M59-(('3_Statement_Model'!M71+'3_Statement_Model'!M74+'3_Statement_Model'!M75+APIC!M17+'3_Statement_Model'!M77+'3_Statement_Model'!M78))</f>
        <v>-534502.13544556638</v>
      </c>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61" workbookViewId="0">
      <selection activeCell="B74" sqref="B74"/>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193" t="s">
        <v>233</v>
      </c>
      <c r="C1" s="193"/>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-75709.965277571275</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128046.09204075497</v>
      </c>
      <c r="I25" s="21">
        <f ca="1">H25+('3_Statement_Model'!I54-'3_Statement_Model'!H54)</f>
        <v>134602.77781684534</v>
      </c>
      <c r="J25" s="21">
        <f ca="1">I25+('3_Statement_Model'!J54-'3_Statement_Model'!I54)</f>
        <v>141262.15623705368</v>
      </c>
      <c r="K25" s="21">
        <f ca="1">J25+('3_Statement_Model'!K54-'3_Statement_Model'!J54)</f>
        <v>148025.83570225775</v>
      </c>
      <c r="L25" s="21">
        <f ca="1">K25+('3_Statement_Model'!L54-'3_Statement_Model'!K54)</f>
        <v>154895.44980455859</v>
      </c>
      <c r="M25" s="21">
        <f ca="1">L25+('3_Statement_Model'!M54-'3_Statement_Model'!L54)</f>
        <v>161872.6577218335</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573435.212840755</v>
      </c>
      <c r="I26" s="95">
        <f t="shared" ca="1" si="10"/>
        <v>575191.16781940532</v>
      </c>
      <c r="J26" s="95">
        <f t="shared" ca="1" si="10"/>
        <v>576938.43848767306</v>
      </c>
      <c r="K26" s="95">
        <f t="shared" ca="1" si="10"/>
        <v>578676.04930109158</v>
      </c>
      <c r="L26" s="95">
        <f t="shared" ca="1" si="10"/>
        <v>580402.98995888536</v>
      </c>
      <c r="M26" s="95">
        <f t="shared" ca="1" si="10"/>
        <v>161872.6577218335</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-45350.127720757053</v>
      </c>
      <c r="I28" s="34">
        <f t="shared" ref="I28:M28" ca="1" si="11">-(D55)*I26</f>
        <v>-45488.997432226635</v>
      </c>
      <c r="J28" s="34">
        <f t="shared" ca="1" si="11"/>
        <v>-45627.180344950342</v>
      </c>
      <c r="K28" s="34">
        <f t="shared" ca="1" si="11"/>
        <v>-45764.599307987373</v>
      </c>
      <c r="L28" s="34">
        <f t="shared" ca="1" si="11"/>
        <v>-45901.174421694013</v>
      </c>
      <c r="M28" s="34">
        <f t="shared" ca="1" si="11"/>
        <v>-12801.700240585236</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528085.08511999797</v>
      </c>
      <c r="I29" s="54">
        <f t="shared" ca="1" si="12"/>
        <v>529702.17038717866</v>
      </c>
      <c r="J29" s="54">
        <f t="shared" ca="1" si="12"/>
        <v>531311.25814272277</v>
      </c>
      <c r="K29" s="54">
        <f t="shared" ca="1" si="12"/>
        <v>532911.44999310421</v>
      </c>
      <c r="L29" s="54">
        <f t="shared" ca="1" si="12"/>
        <v>108994.27538286464</v>
      </c>
      <c r="M29" s="54">
        <f t="shared" ca="1" si="12"/>
        <v>149070.95748124828</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-68242.752436816256</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74439.781707347182</v>
      </c>
      <c r="I36" s="21">
        <f t="shared" ref="I36:M36" ca="1" si="20">I25*I64</f>
        <v>78251.520512624324</v>
      </c>
      <c r="J36" s="21">
        <f t="shared" ca="1" si="20"/>
        <v>82122.959835810747</v>
      </c>
      <c r="K36" s="21">
        <f t="shared" ca="1" si="20"/>
        <v>86055.034723094359</v>
      </c>
      <c r="L36" s="21">
        <f t="shared" ca="1" si="20"/>
        <v>90048.694865617304</v>
      </c>
      <c r="M36" s="21">
        <f t="shared" ca="1" si="20"/>
        <v>94104.904828849976</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84881.660907347177</v>
      </c>
      <c r="I37" s="54">
        <f t="shared" ca="1" si="21"/>
        <v>88802.251310064326</v>
      </c>
      <c r="J37" s="54">
        <f t="shared" ca="1" si="21"/>
        <v>92785.067587751357</v>
      </c>
      <c r="K37" s="54">
        <f t="shared" ca="1" si="21"/>
        <v>96831.103374879982</v>
      </c>
      <c r="L37" s="54">
        <f t="shared" ca="1" si="21"/>
        <v>100941.36831012437</v>
      </c>
      <c r="M37" s="54">
        <f t="shared" ca="1" si="21"/>
        <v>105116.8882972696</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1.5662279332111506E-2</v>
      </c>
      <c r="D50" s="80">
        <f t="shared" ca="1" si="25"/>
        <v>1.5662279332111506E-2</v>
      </c>
      <c r="E50" s="80">
        <f t="shared" ca="1" si="25"/>
        <v>1.5662279332111506E-2</v>
      </c>
      <c r="F50" s="80">
        <f t="shared" ca="1" si="25"/>
        <v>1.5662279332111506E-2</v>
      </c>
      <c r="G50" s="80">
        <f t="shared" ca="1" si="25"/>
        <v>1.5662279332111506E-2</v>
      </c>
      <c r="H50" s="81">
        <f t="shared" ca="1" si="25"/>
        <v>1.5662279332111506E-2</v>
      </c>
    </row>
    <row r="51" spans="2:13" x14ac:dyDescent="0.25">
      <c r="B51" t="s">
        <v>143</v>
      </c>
      <c r="C51" s="63">
        <f ca="1">AVERAGE(Assumptions!$I$5:$N$5)</f>
        <v>3.2230873573184291E-3</v>
      </c>
      <c r="D51" s="63">
        <f ca="1">AVERAGE(Assumptions!$I$5:$N$5)</f>
        <v>3.2230873573184291E-3</v>
      </c>
      <c r="E51" s="63">
        <f ca="1">AVERAGE(Assumptions!$I$5:$N$5)</f>
        <v>3.2230873573184291E-3</v>
      </c>
      <c r="F51" s="63">
        <f ca="1">AVERAGE(Assumptions!$I$5:$N$5)</f>
        <v>3.2230873573184291E-3</v>
      </c>
      <c r="G51" s="63">
        <f ca="1">AVERAGE(Assumptions!$I$5:$N$5)</f>
        <v>3.2230873573184291E-3</v>
      </c>
      <c r="H51" s="63">
        <f ca="1">AVERAGE(Assumptions!$I$5:$N$5)</f>
        <v>3.2230873573184291E-3</v>
      </c>
      <c r="I51" t="s">
        <v>154</v>
      </c>
    </row>
    <row r="52" spans="2:13" x14ac:dyDescent="0.25">
      <c r="B52" t="s">
        <v>145</v>
      </c>
      <c r="C52" s="63">
        <f ca="1">MIN(Assumptions!$I$5:$N$5)</f>
        <v>-5.8972872516645625E-2</v>
      </c>
      <c r="D52" s="63">
        <f ca="1">MIN(Assumptions!$I$5:$N$5)</f>
        <v>-5.8972872516645625E-2</v>
      </c>
      <c r="E52" s="63">
        <f ca="1">MIN(Assumptions!$I$5:$N$5)</f>
        <v>-5.8972872516645625E-2</v>
      </c>
      <c r="F52" s="63">
        <f ca="1">MIN(Assumptions!$I$5:$N$5)</f>
        <v>-5.8972872516645625E-2</v>
      </c>
      <c r="G52" s="63">
        <f ca="1">MIN(Assumptions!$I$5:$N$5)</f>
        <v>-5.8972872516645625E-2</v>
      </c>
      <c r="H52" s="63">
        <f ca="1">MIN(Assumptions!$I$5:$N$5)</f>
        <v>-5.8972872516645625E-2</v>
      </c>
      <c r="I52" t="s">
        <v>155</v>
      </c>
    </row>
    <row r="53" spans="2:13" x14ac:dyDescent="0.25">
      <c r="B53" t="s">
        <v>148</v>
      </c>
      <c r="C53" s="63">
        <f ca="1">MAX(Assumptions!$I$5:$N$5)</f>
        <v>1.5662279332111506E-2</v>
      </c>
      <c r="D53" s="63">
        <f ca="1">MAX(Assumptions!$I$5:$N$5)</f>
        <v>1.5662279332111506E-2</v>
      </c>
      <c r="E53" s="63">
        <f ca="1">MAX(Assumptions!$I$5:$N$5)</f>
        <v>1.5662279332111506E-2</v>
      </c>
      <c r="F53" s="63">
        <f ca="1">MAX(Assumptions!$I$5:$N$5)</f>
        <v>1.5662279332111506E-2</v>
      </c>
      <c r="G53" s="63">
        <f ca="1">MAX(Assumptions!$I$5:$N$5)</f>
        <v>1.5662279332111506E-2</v>
      </c>
      <c r="H53" s="63">
        <f ca="1">MAX(Assumptions!$I$5:$N$5)</f>
        <v>1.5662279332111506E-2</v>
      </c>
      <c r="I53" t="s">
        <v>156</v>
      </c>
    </row>
    <row r="55" spans="2:13" x14ac:dyDescent="0.25">
      <c r="B55" s="2" t="s">
        <v>246</v>
      </c>
      <c r="C55" s="91">
        <f t="shared" ref="C55:H55" ca="1" si="26">OFFSET(C55,MATCH(S,$B$56:$B$58,0),0)</f>
        <v>7.9085006824216333E-2</v>
      </c>
      <c r="D55" s="92">
        <f t="shared" ca="1" si="26"/>
        <v>7.9085006824216333E-2</v>
      </c>
      <c r="E55" s="92">
        <f t="shared" ca="1" si="26"/>
        <v>7.9085006824216333E-2</v>
      </c>
      <c r="F55" s="92">
        <f t="shared" ca="1" si="26"/>
        <v>7.9085006824216333E-2</v>
      </c>
      <c r="G55" s="92">
        <f t="shared" ca="1" si="26"/>
        <v>7.9085006824216333E-2</v>
      </c>
      <c r="H55" s="93">
        <f t="shared" ca="1" si="26"/>
        <v>7.9085006824216333E-2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0.58135145337863348</v>
      </c>
      <c r="I64" s="122">
        <f t="shared" ca="1" si="35"/>
        <v>0.58135145337863348</v>
      </c>
      <c r="J64" s="122">
        <f t="shared" ca="1" si="35"/>
        <v>0.58135145337863348</v>
      </c>
      <c r="K64" s="122">
        <f t="shared" ca="1" si="35"/>
        <v>0.58135145337863348</v>
      </c>
      <c r="L64" s="122">
        <f t="shared" ca="1" si="35"/>
        <v>0.58135145337863348</v>
      </c>
      <c r="M64" s="123">
        <f t="shared" ca="1" si="35"/>
        <v>0.58135145337863348</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5.2943797096822613E-2</v>
      </c>
      <c r="I70" s="183">
        <f t="shared" ca="1" si="39"/>
        <v>5.2943797096822613E-2</v>
      </c>
      <c r="J70" s="183">
        <f t="shared" ca="1" si="39"/>
        <v>5.2943797096822613E-2</v>
      </c>
      <c r="K70" s="183">
        <f t="shared" ca="1" si="39"/>
        <v>5.2943797096822613E-2</v>
      </c>
      <c r="L70" s="183">
        <f t="shared" ca="1" si="39"/>
        <v>5.2943797096822613E-2</v>
      </c>
      <c r="M70" s="184">
        <f t="shared" ca="1" si="39"/>
        <v>5.2943797096822613E-2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topLeftCell="D1" workbookViewId="0">
      <pane ySplit="1" topLeftCell="A2" activePane="bottomLeft" state="frozen"/>
      <selection pane="bottomLeft" activeCell="A2" sqref="A2"/>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8"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c r="N1" s="195"/>
      <c r="O1" s="195"/>
      <c r="P1" s="195"/>
      <c r="Q1" s="195"/>
      <c r="R1" s="195"/>
    </row>
    <row r="2" spans="1:18" x14ac:dyDescent="0.25">
      <c r="A2" s="137" t="s">
        <v>148</v>
      </c>
      <c r="N2" s="195"/>
      <c r="O2" s="195"/>
      <c r="P2" s="195"/>
      <c r="Q2" s="195"/>
      <c r="R2" s="195"/>
    </row>
    <row r="3" spans="1:18" x14ac:dyDescent="0.25">
      <c r="A3" s="2"/>
      <c r="N3" s="195"/>
      <c r="O3" s="195"/>
      <c r="P3" s="195"/>
      <c r="Q3" s="195"/>
      <c r="R3" s="195"/>
    </row>
    <row r="4" spans="1:18" x14ac:dyDescent="0.25">
      <c r="A4" s="25" t="s">
        <v>0</v>
      </c>
      <c r="B4" s="25"/>
      <c r="C4" s="25"/>
      <c r="D4" s="25"/>
      <c r="E4" s="25"/>
      <c r="F4" s="25"/>
      <c r="G4" s="25"/>
      <c r="H4" s="25"/>
      <c r="I4" s="25"/>
      <c r="J4" s="25"/>
      <c r="K4" s="25"/>
      <c r="L4" s="25"/>
      <c r="M4" s="25"/>
      <c r="N4" s="195"/>
      <c r="O4" s="195"/>
      <c r="P4" s="195"/>
      <c r="Q4" s="195"/>
      <c r="R4" s="195"/>
    </row>
    <row r="5" spans="1:18"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c r="N5" s="195"/>
      <c r="O5" s="195"/>
      <c r="P5" s="195"/>
      <c r="Q5" s="195"/>
      <c r="R5" s="195"/>
    </row>
    <row r="6" spans="1:18" x14ac:dyDescent="0.25">
      <c r="A6" s="21" t="s">
        <v>1</v>
      </c>
      <c r="B6" s="6">
        <v>3615960</v>
      </c>
      <c r="C6" s="6">
        <v>2364681</v>
      </c>
      <c r="D6" s="6">
        <v>3208323</v>
      </c>
      <c r="E6" s="6">
        <v>4095135</v>
      </c>
      <c r="F6" s="6">
        <v>4403589</v>
      </c>
      <c r="G6" s="6">
        <v>5786016</v>
      </c>
      <c r="H6" s="28">
        <f ca="1">(SUM(Revenue_Regression!C28:C31))*1000000</f>
        <v>5988295.5959322434</v>
      </c>
      <c r="I6" s="28">
        <f ca="1">(SUM(Revenue_Regression!C32:C35))*1000000</f>
        <v>6082085.954278986</v>
      </c>
      <c r="J6" s="28">
        <f ca="1">(SUM(Revenue_Regression!C36:C39))*1000000</f>
        <v>6294185.5683742603</v>
      </c>
      <c r="K6" s="28">
        <f ca="1">(SUM(Revenue_Regression!C40:C43))*1000000</f>
        <v>6510527.1747514363</v>
      </c>
      <c r="L6" s="28">
        <f ca="1">(SUM(Revenue_Regression!C44:C47))*1000000</f>
        <v>6731195.6132561602</v>
      </c>
      <c r="M6" s="28">
        <f ca="1">(SUM(Revenue_Regression!C48:C51))*1000000</f>
        <v>6956277.4205309777</v>
      </c>
      <c r="N6" s="195"/>
      <c r="O6" s="195"/>
      <c r="P6" s="195"/>
      <c r="Q6" s="195"/>
      <c r="R6" s="195"/>
    </row>
    <row r="7" spans="1:18" x14ac:dyDescent="0.25">
      <c r="A7" s="2" t="s">
        <v>2</v>
      </c>
      <c r="B7" s="3"/>
      <c r="C7" s="4"/>
      <c r="D7" s="4"/>
      <c r="E7" s="4"/>
      <c r="F7" s="4"/>
      <c r="G7" s="4"/>
      <c r="H7" s="71"/>
      <c r="N7" s="195"/>
      <c r="O7" s="195"/>
      <c r="P7" s="195"/>
      <c r="Q7" s="195"/>
      <c r="R7" s="195"/>
    </row>
    <row r="8" spans="1:18" x14ac:dyDescent="0.25">
      <c r="A8" s="5" t="s">
        <v>3</v>
      </c>
      <c r="B8" s="6">
        <v>2176469</v>
      </c>
      <c r="C8" s="6">
        <v>1447516</v>
      </c>
      <c r="D8" s="6">
        <v>1702317</v>
      </c>
      <c r="E8" s="6">
        <v>2435736</v>
      </c>
      <c r="F8" s="6">
        <v>2543954</v>
      </c>
      <c r="G8" s="6">
        <v>3337714</v>
      </c>
      <c r="H8" s="28">
        <f ca="1">H6*Assumptions!I7</f>
        <v>3665675.7033364996</v>
      </c>
      <c r="I8" s="28">
        <f ca="1">I6*Assumptions!J7</f>
        <v>3723088.5401430894</v>
      </c>
      <c r="J8" s="28">
        <f ca="1">J6*Assumptions!K7</f>
        <v>3852923.2134020766</v>
      </c>
      <c r="K8" s="28">
        <f ca="1">K6*Assumptions!L7</f>
        <v>3985354.5801262413</v>
      </c>
      <c r="L8" s="28">
        <f ca="1">L6*Assumptions!M7</f>
        <v>4120434.5741848918</v>
      </c>
      <c r="M8" s="28">
        <f ca="1">M6*Assumptions!N7</f>
        <v>4258216.1681247149</v>
      </c>
      <c r="N8" s="195"/>
      <c r="O8" s="195"/>
      <c r="P8" s="195"/>
      <c r="Q8" s="195"/>
      <c r="R8" s="195"/>
    </row>
    <row r="9" spans="1:18" x14ac:dyDescent="0.25">
      <c r="A9" s="5" t="s">
        <v>4</v>
      </c>
      <c r="B9" s="6">
        <v>636116</v>
      </c>
      <c r="C9" s="6">
        <v>453963</v>
      </c>
      <c r="D9" s="6">
        <v>402233</v>
      </c>
      <c r="E9" s="6">
        <v>443846</v>
      </c>
      <c r="F9" s="6">
        <v>427239</v>
      </c>
      <c r="G9" s="6">
        <v>443821</v>
      </c>
      <c r="H9" s="28">
        <f ca="1">G9*(1+Assumptions!I12)</f>
        <v>489736.48498755699</v>
      </c>
      <c r="I9" s="28">
        <f ca="1">H9*(1+Assumptions!J12)</f>
        <v>540402.15476051753</v>
      </c>
      <c r="J9" s="28">
        <f ca="1">I9*(1+Assumptions!K12)</f>
        <v>596309.43950853532</v>
      </c>
      <c r="K9" s="28">
        <f ca="1">J9*(1+Assumptions!L12)</f>
        <v>658000.61031319003</v>
      </c>
      <c r="L9" s="28">
        <f ca="1">K9*(1+Assumptions!M12)</f>
        <v>726074.03889056388</v>
      </c>
      <c r="M9" s="28">
        <f ca="1">L9*(1+Assumptions!N12)</f>
        <v>801190.00148028939</v>
      </c>
      <c r="N9" s="195"/>
      <c r="O9" s="195"/>
      <c r="P9" s="195"/>
      <c r="Q9" s="195"/>
      <c r="R9" s="195"/>
    </row>
    <row r="10" spans="1:18" x14ac:dyDescent="0.25">
      <c r="A10" s="5" t="s">
        <v>5</v>
      </c>
      <c r="B10" s="6">
        <v>1505640</v>
      </c>
      <c r="C10" s="6">
        <v>909126</v>
      </c>
      <c r="D10" s="6">
        <v>911946</v>
      </c>
      <c r="E10" s="6">
        <v>856777</v>
      </c>
      <c r="F10" s="6">
        <v>555916</v>
      </c>
      <c r="G10" s="6">
        <v>397073</v>
      </c>
      <c r="H10" s="28">
        <f ca="1">MAX(G10*(1+Assumptions!I17),250000)</f>
        <v>398304.67290342593</v>
      </c>
      <c r="I10" s="28">
        <f ca="1">MAX(H10*(1+Assumptions!J17),250000)</f>
        <v>399540.16630872688</v>
      </c>
      <c r="J10" s="28">
        <f ca="1">MAX(I10*(1+Assumptions!K17),250000)</f>
        <v>400779.49206664227</v>
      </c>
      <c r="K10" s="28">
        <f ca="1">MAX(J10*(1+Assumptions!L17),250000)</f>
        <v>402022.66206467105</v>
      </c>
      <c r="L10" s="28">
        <f ca="1">MAX(K10*(1+Assumptions!M17),250000)</f>
        <v>403269.68822718575</v>
      </c>
      <c r="M10" s="28">
        <f ca="1">MAX(L10*(1+Assumptions!N17),250000)</f>
        <v>404520.58251554694</v>
      </c>
      <c r="N10" s="195"/>
      <c r="O10" s="195"/>
      <c r="P10" s="195"/>
      <c r="Q10" s="195"/>
      <c r="R10" s="195"/>
    </row>
    <row r="11" spans="1:18" x14ac:dyDescent="0.25">
      <c r="A11" s="5" t="s">
        <v>6</v>
      </c>
      <c r="B11" s="6">
        <v>814122</v>
      </c>
      <c r="C11" s="6">
        <v>416331</v>
      </c>
      <c r="D11" s="6">
        <v>411406</v>
      </c>
      <c r="E11" s="6">
        <v>531512</v>
      </c>
      <c r="F11" s="6">
        <v>481004</v>
      </c>
      <c r="G11" s="6">
        <v>788972</v>
      </c>
      <c r="H11" s="28">
        <f ca="1">Assumptions!I22*'3_Statement_Model'!H6</f>
        <v>1348245.8841224874</v>
      </c>
      <c r="I11" s="28">
        <f ca="1">Assumptions!J22*'3_Statement_Model'!I6</f>
        <v>1369362.4877679832</v>
      </c>
      <c r="J11" s="28">
        <f ca="1">Assumptions!K22*'3_Statement_Model'!J6</f>
        <v>1417116.0475491956</v>
      </c>
      <c r="K11" s="28">
        <f ca="1">Assumptions!L22*'3_Statement_Model'!K6</f>
        <v>1465824.6785260316</v>
      </c>
      <c r="L11" s="28">
        <f ca="1">Assumptions!M22*'3_Statement_Model'!L6</f>
        <v>1515507.482122405</v>
      </c>
      <c r="M11" s="28">
        <f ca="1">Assumptions!N22*'3_Statement_Model'!M6</f>
        <v>1566183.9417907058</v>
      </c>
      <c r="N11" s="195"/>
      <c r="O11" s="195"/>
      <c r="P11" s="195"/>
      <c r="Q11" s="195"/>
      <c r="R11" s="195"/>
    </row>
    <row r="12" spans="1:18" x14ac:dyDescent="0.25">
      <c r="A12" s="5" t="s">
        <v>7</v>
      </c>
      <c r="B12" s="6">
        <v>1186093</v>
      </c>
      <c r="C12" s="6">
        <v>946127</v>
      </c>
      <c r="D12" s="6">
        <v>915638</v>
      </c>
      <c r="E12" s="6">
        <v>1286180</v>
      </c>
      <c r="F12" s="6">
        <v>871080</v>
      </c>
      <c r="G12" s="6">
        <v>937348</v>
      </c>
      <c r="H12" s="34">
        <f ca="1">G12*(1+Assumptions!I27)</f>
        <v>991537.66301030386</v>
      </c>
      <c r="I12" s="34">
        <f ca="1">H12*(1+Assumptions!J27)</f>
        <v>1048860.1215001631</v>
      </c>
      <c r="J12" s="34">
        <f ca="1">I12*(1+Assumptions!K27)</f>
        <v>1109496.4876406363</v>
      </c>
      <c r="K12" s="34">
        <f ca="1">J12*(1+Assumptions!L27)</f>
        <v>1173638.3440017335</v>
      </c>
      <c r="L12" s="34">
        <f ca="1">K12*(1+Assumptions!M27)</f>
        <v>1241488.3488637751</v>
      </c>
      <c r="M12" s="34">
        <f ca="1">L12*(1+Assumptions!N27)</f>
        <v>1313260.8765228158</v>
      </c>
      <c r="N12" s="195"/>
      <c r="O12" s="195"/>
      <c r="P12" s="195"/>
      <c r="Q12" s="195"/>
      <c r="R12" s="195"/>
    </row>
    <row r="13" spans="1:18" x14ac:dyDescent="0.25">
      <c r="A13" s="7" t="s">
        <v>8</v>
      </c>
      <c r="B13" s="8">
        <v>6318440</v>
      </c>
      <c r="C13" s="8">
        <f t="shared" ref="C13:D13" si="17">SUM(C8:C12)</f>
        <v>4173063</v>
      </c>
      <c r="D13" s="8">
        <f t="shared" si="17"/>
        <v>4343540</v>
      </c>
      <c r="E13" s="8">
        <f t="shared" ref="E13:M13" si="18">SUM(E8:E12)</f>
        <v>5554051</v>
      </c>
      <c r="F13" s="8">
        <f t="shared" si="18"/>
        <v>4879193</v>
      </c>
      <c r="G13" s="8">
        <f t="shared" si="18"/>
        <v>5904928</v>
      </c>
      <c r="H13" s="8">
        <f t="shared" ca="1" si="18"/>
        <v>6893500.4083602736</v>
      </c>
      <c r="I13" s="8">
        <f t="shared" ca="1" si="18"/>
        <v>7081253.4704804802</v>
      </c>
      <c r="J13" s="8">
        <f t="shared" ca="1" si="18"/>
        <v>7376624.6801670855</v>
      </c>
      <c r="K13" s="8">
        <f t="shared" ca="1" si="18"/>
        <v>7684840.875031868</v>
      </c>
      <c r="L13" s="8">
        <f t="shared" ca="1" si="18"/>
        <v>8006774.132288821</v>
      </c>
      <c r="M13" s="8">
        <f t="shared" ca="1" si="18"/>
        <v>8343371.570434073</v>
      </c>
      <c r="N13" s="195"/>
      <c r="O13" s="195"/>
      <c r="P13" s="195"/>
      <c r="Q13" s="195"/>
      <c r="R13" s="195"/>
    </row>
    <row r="14" spans="1:18" x14ac:dyDescent="0.25">
      <c r="A14" s="9" t="s">
        <v>9</v>
      </c>
      <c r="B14" s="10">
        <f>B6-B13</f>
        <v>-2702480</v>
      </c>
      <c r="C14" s="10">
        <f t="shared" ref="C14:M14" si="19">C6-C13</f>
        <v>-1808382</v>
      </c>
      <c r="D14" s="10">
        <f t="shared" si="19"/>
        <v>-1135217</v>
      </c>
      <c r="E14" s="10">
        <f t="shared" si="19"/>
        <v>-1458916</v>
      </c>
      <c r="F14" s="10">
        <f t="shared" si="19"/>
        <v>-475604</v>
      </c>
      <c r="G14" s="10">
        <f t="shared" si="19"/>
        <v>-118912</v>
      </c>
      <c r="H14" s="10">
        <f t="shared" ca="1" si="19"/>
        <v>-905204.81242803019</v>
      </c>
      <c r="I14" s="10">
        <f t="shared" ca="1" si="19"/>
        <v>-999167.51620149426</v>
      </c>
      <c r="J14" s="10">
        <f t="shared" ca="1" si="19"/>
        <v>-1082439.1117928252</v>
      </c>
      <c r="K14" s="10">
        <f t="shared" ca="1" si="19"/>
        <v>-1174313.7002804317</v>
      </c>
      <c r="L14" s="10">
        <f t="shared" ca="1" si="19"/>
        <v>-1275578.5190326609</v>
      </c>
      <c r="M14" s="10">
        <f t="shared" ca="1" si="19"/>
        <v>-1387094.1499030953</v>
      </c>
      <c r="N14" s="195"/>
      <c r="O14" s="195"/>
      <c r="P14" s="195"/>
      <c r="Q14" s="195"/>
      <c r="R14" s="195"/>
    </row>
    <row r="15" spans="1:18" x14ac:dyDescent="0.25">
      <c r="A15" t="s">
        <v>10</v>
      </c>
      <c r="B15" s="6">
        <v>0</v>
      </c>
      <c r="C15" s="6">
        <v>-32678</v>
      </c>
      <c r="D15" s="6">
        <v>-51635</v>
      </c>
      <c r="E15" s="6">
        <v>-19735</v>
      </c>
      <c r="F15" s="6">
        <v>-26223</v>
      </c>
      <c r="G15" s="6">
        <v>-28921</v>
      </c>
      <c r="H15" s="34">
        <f ca="1">-Debt_Schedule!H37</f>
        <v>-84881.660907347177</v>
      </c>
      <c r="I15" s="34">
        <f ca="1">-Debt_Schedule!I37</f>
        <v>-88802.251310064326</v>
      </c>
      <c r="J15" s="34">
        <f ca="1">-Debt_Schedule!J37</f>
        <v>-92785.067587751357</v>
      </c>
      <c r="K15" s="34">
        <f ca="1">-Debt_Schedule!K37</f>
        <v>-96831.103374879982</v>
      </c>
      <c r="L15" s="34">
        <f ca="1">-Debt_Schedule!L37</f>
        <v>-100941.36831012437</v>
      </c>
      <c r="M15" s="34">
        <f ca="1">-Debt_Schedule!M37</f>
        <v>-105116.8882972696</v>
      </c>
      <c r="N15" s="195"/>
      <c r="O15" s="195"/>
      <c r="P15" s="195"/>
      <c r="Q15" s="195"/>
      <c r="R15" s="195"/>
    </row>
    <row r="16" spans="1:18" x14ac:dyDescent="0.25">
      <c r="A16" t="s">
        <v>11</v>
      </c>
      <c r="B16" s="1">
        <v>102595</v>
      </c>
      <c r="C16" s="1">
        <v>43669</v>
      </c>
      <c r="D16" s="1">
        <v>135933</v>
      </c>
      <c r="E16" s="1">
        <v>-99988</v>
      </c>
      <c r="F16" s="1">
        <v>170123</v>
      </c>
      <c r="G16" s="1">
        <v>173183</v>
      </c>
      <c r="H16" s="90">
        <f ca="1">Schedules!I82</f>
        <v>195738.57573036884</v>
      </c>
      <c r="I16" s="90">
        <f ca="1">Schedules!J82</f>
        <v>201815.33089439978</v>
      </c>
      <c r="J16" s="90">
        <f ca="1">Schedules!K82</f>
        <v>211859.93852164701</v>
      </c>
      <c r="K16" s="90">
        <f ca="1">Schedules!L82</f>
        <v>202639.25877159051</v>
      </c>
      <c r="L16" s="90">
        <f ca="1">Schedules!M82</f>
        <v>214834.72663427057</v>
      </c>
      <c r="M16" s="90">
        <f ca="1">Schedules!N82</f>
        <v>221031.48984040055</v>
      </c>
      <c r="N16" s="195"/>
      <c r="O16" s="195"/>
      <c r="P16" s="195"/>
      <c r="Q16" s="195"/>
      <c r="R16" s="195"/>
    </row>
    <row r="17" spans="1:18" x14ac:dyDescent="0.25">
      <c r="A17" s="7" t="s">
        <v>12</v>
      </c>
      <c r="B17" s="8">
        <f>SUM(B14,B15,B16)</f>
        <v>-2599885</v>
      </c>
      <c r="C17" s="8">
        <f t="shared" ref="C17:G17" si="20">SUM(C14,C15,C16)</f>
        <v>-1797391</v>
      </c>
      <c r="D17" s="8">
        <f t="shared" si="20"/>
        <v>-1050919</v>
      </c>
      <c r="E17" s="8">
        <f t="shared" si="20"/>
        <v>-1578639</v>
      </c>
      <c r="F17" s="8">
        <f t="shared" si="20"/>
        <v>-331704</v>
      </c>
      <c r="G17" s="8">
        <f t="shared" si="20"/>
        <v>25350</v>
      </c>
      <c r="H17" s="8">
        <f ca="1">SUM(H14,H15,H16)</f>
        <v>-794347.89760500856</v>
      </c>
      <c r="I17" s="8">
        <f t="shared" ref="I17:M17" ca="1" si="21">SUM(I14,I15,I16)</f>
        <v>-886154.4366171587</v>
      </c>
      <c r="J17" s="8">
        <f t="shared" ca="1" si="21"/>
        <v>-963364.24085892958</v>
      </c>
      <c r="K17" s="8">
        <f t="shared" ca="1" si="21"/>
        <v>-1068505.5448837213</v>
      </c>
      <c r="L17" s="8">
        <f t="shared" ca="1" si="21"/>
        <v>-1161685.1607085147</v>
      </c>
      <c r="M17" s="8">
        <f t="shared" ca="1" si="21"/>
        <v>-1271179.5483599643</v>
      </c>
      <c r="N17" s="195"/>
      <c r="O17" s="195"/>
      <c r="P17" s="195"/>
      <c r="Q17" s="195"/>
      <c r="R17" s="195"/>
    </row>
    <row r="18" spans="1:18" x14ac:dyDescent="0.25">
      <c r="A18" t="s">
        <v>13</v>
      </c>
      <c r="B18" s="1">
        <v>2356</v>
      </c>
      <c r="C18" s="1">
        <v>-44534</v>
      </c>
      <c r="D18" s="1">
        <v>11225</v>
      </c>
      <c r="E18" s="6">
        <v>5872</v>
      </c>
      <c r="F18" s="6">
        <v>8616</v>
      </c>
      <c r="G18" s="6">
        <v>2566</v>
      </c>
      <c r="H18" s="34">
        <f ca="1">H17*Schedules!I15</f>
        <v>-91030.453023972514</v>
      </c>
      <c r="I18" s="34">
        <f ca="1">I17*Schedules!J15</f>
        <v>-112011.54543599197</v>
      </c>
      <c r="J18" s="34">
        <f ca="1">J17*Schedules!K15</f>
        <v>-133142.67293735652</v>
      </c>
      <c r="K18" s="34">
        <f ca="1">K17*Schedules!L15</f>
        <v>-160286.59426950675</v>
      </c>
      <c r="L18" s="34">
        <f ca="1">L17*Schedules!M15</f>
        <v>-187977.1457390642</v>
      </c>
      <c r="M18" s="34">
        <f ca="1">M17*Schedules!N15</f>
        <v>-220700.04700214523</v>
      </c>
      <c r="N18" s="195"/>
      <c r="O18" s="195"/>
      <c r="P18" s="195"/>
      <c r="Q18" s="195"/>
      <c r="R18" s="195"/>
    </row>
    <row r="19" spans="1:18" ht="15.75" thickBot="1" x14ac:dyDescent="0.3">
      <c r="A19" s="11" t="s">
        <v>14</v>
      </c>
      <c r="B19" s="12">
        <f>B17-B18</f>
        <v>-2602241</v>
      </c>
      <c r="C19" s="12">
        <f t="shared" ref="C19:M19" si="22">C17-C18</f>
        <v>-1752857</v>
      </c>
      <c r="D19" s="12">
        <f t="shared" si="22"/>
        <v>-1062144</v>
      </c>
      <c r="E19" s="12">
        <f t="shared" si="22"/>
        <v>-1584511</v>
      </c>
      <c r="F19" s="12">
        <f t="shared" si="22"/>
        <v>-340320</v>
      </c>
      <c r="G19" s="12">
        <f>G17-G18</f>
        <v>22784</v>
      </c>
      <c r="H19" s="12">
        <f ca="1">H17-H18</f>
        <v>-703317.44458103599</v>
      </c>
      <c r="I19" s="12">
        <f t="shared" ca="1" si="22"/>
        <v>-774142.89118116675</v>
      </c>
      <c r="J19" s="12">
        <f t="shared" ca="1" si="22"/>
        <v>-830221.56792157306</v>
      </c>
      <c r="K19" s="12">
        <f t="shared" ca="1" si="22"/>
        <v>-908218.95061421453</v>
      </c>
      <c r="L19" s="12">
        <f t="shared" ca="1" si="22"/>
        <v>-973708.01496945054</v>
      </c>
      <c r="M19" s="12">
        <f t="shared" ca="1" si="22"/>
        <v>-1050479.501357819</v>
      </c>
      <c r="N19" s="195"/>
      <c r="O19" s="195"/>
      <c r="P19" s="195"/>
      <c r="Q19" s="195"/>
      <c r="R19" s="195"/>
    </row>
    <row r="20" spans="1:18" ht="16.5" thickTop="1" thickBot="1" x14ac:dyDescent="0.3">
      <c r="A20" s="22" t="s">
        <v>15</v>
      </c>
      <c r="B20" s="23">
        <f>B19/B22</f>
        <v>-11.438522536461859</v>
      </c>
      <c r="C20" s="23">
        <f t="shared" ref="C20:M20" si="23">C19/C22</f>
        <v>-5.6149819812605113</v>
      </c>
      <c r="D20" s="23">
        <f t="shared" si="23"/>
        <v>-3.1731934369809158</v>
      </c>
      <c r="E20" s="23">
        <f t="shared" si="23"/>
        <v>-4.4667959665211106</v>
      </c>
      <c r="F20" s="23">
        <f t="shared" si="23"/>
        <v>-0.88317957102261668</v>
      </c>
      <c r="G20" s="23">
        <f t="shared" si="23"/>
        <v>5.5681959817293569E-2</v>
      </c>
      <c r="H20" s="23">
        <f t="shared" ca="1" si="23"/>
        <v>-1.5986800769690799</v>
      </c>
      <c r="I20" s="23">
        <f t="shared" ca="1" si="23"/>
        <v>-1.6737975549149906</v>
      </c>
      <c r="J20" s="23">
        <f t="shared" ca="1" si="23"/>
        <v>-1.708741350899426</v>
      </c>
      <c r="K20" s="23">
        <f t="shared" ca="1" si="23"/>
        <v>-1.7795421023043463</v>
      </c>
      <c r="L20" s="23">
        <f t="shared" ca="1" si="23"/>
        <v>-1.8141650853932056</v>
      </c>
      <c r="M20" s="23">
        <f t="shared" ca="1" si="23"/>
        <v>-1.854872553027213</v>
      </c>
      <c r="N20" s="195"/>
      <c r="O20" s="195"/>
      <c r="P20" s="195"/>
      <c r="Q20" s="195"/>
      <c r="R20" s="195"/>
    </row>
    <row r="21" spans="1:18" ht="15.75" thickTop="1" x14ac:dyDescent="0.25">
      <c r="A21" s="21"/>
      <c r="B21" s="6"/>
      <c r="C21" s="6"/>
      <c r="D21" s="6"/>
      <c r="E21" s="6"/>
      <c r="F21" s="6"/>
      <c r="G21" s="6"/>
      <c r="N21" s="195"/>
      <c r="O21" s="195"/>
      <c r="P21" s="195"/>
      <c r="Q21" s="195"/>
      <c r="R21" s="195"/>
    </row>
    <row r="22" spans="1:18"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c r="N22" s="195"/>
      <c r="O22" s="195"/>
      <c r="P22" s="195"/>
      <c r="Q22" s="195"/>
      <c r="R22" s="195"/>
    </row>
    <row r="23" spans="1:18" x14ac:dyDescent="0.25">
      <c r="A23" s="2" t="s">
        <v>16</v>
      </c>
      <c r="B23" s="6"/>
      <c r="C23" s="6"/>
      <c r="D23" s="6"/>
      <c r="E23" s="6"/>
      <c r="F23" s="6"/>
      <c r="G23" s="6"/>
      <c r="N23" s="195"/>
      <c r="O23" s="195"/>
      <c r="P23" s="195"/>
      <c r="Q23" s="195"/>
      <c r="R23" s="195"/>
    </row>
    <row r="24" spans="1:18" x14ac:dyDescent="0.25">
      <c r="A24" s="14" t="s">
        <v>3</v>
      </c>
      <c r="B24" s="6">
        <v>81321</v>
      </c>
      <c r="C24" s="6">
        <v>28743</v>
      </c>
      <c r="D24" s="6">
        <v>39491</v>
      </c>
      <c r="E24" s="6">
        <v>44132</v>
      </c>
      <c r="F24" s="6">
        <v>30170</v>
      </c>
      <c r="G24" s="6">
        <v>24895</v>
      </c>
      <c r="H24" s="34">
        <f ca="1">G24*(1+Assumptions!I32)</f>
        <v>17002.512305663393</v>
      </c>
      <c r="I24" s="34">
        <f ca="1">H24*(1+Assumptions!J32)</f>
        <v>11612.188178519184</v>
      </c>
      <c r="J24" s="34">
        <f ca="1">I24*(1+Assumptions!K32)</f>
        <v>7930.7641052802328</v>
      </c>
      <c r="K24" s="34">
        <f ca="1">J24*(1+Assumptions!L32)</f>
        <v>5416.465727790347</v>
      </c>
      <c r="L24" s="34">
        <f ca="1">K24*(1+Assumptions!M32)</f>
        <v>3699.2779750937698</v>
      </c>
      <c r="M24" s="34">
        <f ca="1">L24*(1+Assumptions!N32)</f>
        <v>2526.4920383049357</v>
      </c>
      <c r="N24" s="195"/>
      <c r="O24" s="195"/>
      <c r="P24" s="195"/>
      <c r="Q24" s="195"/>
      <c r="R24" s="195"/>
    </row>
    <row r="25" spans="1:18" x14ac:dyDescent="0.25">
      <c r="A25" s="14" t="s">
        <v>4</v>
      </c>
      <c r="B25" s="6">
        <v>75212</v>
      </c>
      <c r="C25" s="6">
        <v>15829</v>
      </c>
      <c r="D25" s="6">
        <v>24083</v>
      </c>
      <c r="E25" s="6">
        <v>25442</v>
      </c>
      <c r="F25" s="6">
        <v>15468</v>
      </c>
      <c r="G25" s="6">
        <v>8397</v>
      </c>
      <c r="H25" s="34">
        <f ca="1">G25*(1+Assumptions!I32)</f>
        <v>5734.890372791946</v>
      </c>
      <c r="I25" s="34">
        <f ca="1">H25*(1+Assumptions!J32)</f>
        <v>3916.7521243231804</v>
      </c>
      <c r="J25" s="34">
        <f ca="1">I25*(1+Assumptions!K32)</f>
        <v>2675.0201322369194</v>
      </c>
      <c r="K25" s="34">
        <f ca="1">J25*(1+Assumptions!L32)</f>
        <v>1826.9557226855006</v>
      </c>
      <c r="L25" s="34">
        <f ca="1">K25*(1+Assumptions!M32)</f>
        <v>1247.7540532983483</v>
      </c>
      <c r="M25" s="34">
        <f ca="1">L25*(1+Assumptions!N32)</f>
        <v>852.17729044573377</v>
      </c>
      <c r="N25" s="195"/>
      <c r="O25" s="195"/>
      <c r="P25" s="195"/>
      <c r="Q25" s="195"/>
      <c r="R25" s="195"/>
    </row>
    <row r="26" spans="1:18" x14ac:dyDescent="0.25">
      <c r="A26" s="14" t="s">
        <v>5</v>
      </c>
      <c r="B26" s="6">
        <v>971941</v>
      </c>
      <c r="C26" s="6">
        <v>325624</v>
      </c>
      <c r="D26" s="6">
        <v>414324</v>
      </c>
      <c r="E26" s="6">
        <v>391983</v>
      </c>
      <c r="F26" s="6">
        <v>214160</v>
      </c>
      <c r="G26" s="6">
        <v>117833</v>
      </c>
      <c r="H26" s="34">
        <f ca="1">G26*(1+Assumptions!I32)</f>
        <v>80476.281683600508</v>
      </c>
      <c r="I26" s="34">
        <f ca="1">H26*(1+Assumptions!J32)</f>
        <v>54962.802556314564</v>
      </c>
      <c r="J26" s="34">
        <f ca="1">I26*(1+Assumptions!K32)</f>
        <v>37537.888203152666</v>
      </c>
      <c r="K26" s="34">
        <f ca="1">J26*(1+Assumptions!L32)</f>
        <v>25637.2125367632</v>
      </c>
      <c r="L26" s="34">
        <f ca="1">K26*(1+Assumptions!M32)</f>
        <v>17509.420431380764</v>
      </c>
      <c r="M26" s="34">
        <f ca="1">L26*(1+Assumptions!N32)</f>
        <v>11958.390694902007</v>
      </c>
      <c r="N26" s="195"/>
      <c r="O26" s="195"/>
      <c r="P26" s="195"/>
      <c r="Q26" s="195"/>
      <c r="R26" s="195"/>
    </row>
    <row r="27" spans="1:18" x14ac:dyDescent="0.25">
      <c r="A27" s="14" t="s">
        <v>6</v>
      </c>
      <c r="B27" s="6">
        <v>72046</v>
      </c>
      <c r="C27" s="6">
        <v>23385</v>
      </c>
      <c r="D27" s="6">
        <v>38243</v>
      </c>
      <c r="E27" s="6">
        <v>49867</v>
      </c>
      <c r="F27" s="6">
        <v>29682</v>
      </c>
      <c r="G27" s="6">
        <v>17286</v>
      </c>
      <c r="H27" s="34">
        <f ca="1">G27*(1+Assumptions!I32)</f>
        <v>11805.801474822149</v>
      </c>
      <c r="I27" s="34">
        <f ca="1">H27*(1+Assumptions!J32)</f>
        <v>8062.9959772597949</v>
      </c>
      <c r="J27" s="34">
        <f ca="1">I27*(1+Assumptions!K32)</f>
        <v>5506.7759921218758</v>
      </c>
      <c r="K27" s="34">
        <f ca="1">J27*(1+Assumptions!L32)</f>
        <v>3760.9570825701517</v>
      </c>
      <c r="L27" s="34">
        <f ca="1">K27*(1+Assumptions!M32)</f>
        <v>2568.616954306925</v>
      </c>
      <c r="M27" s="34">
        <f ca="1">L27*(1+Assumptions!N32)</f>
        <v>1754.2856547153692</v>
      </c>
      <c r="N27" s="195"/>
      <c r="O27" s="195"/>
      <c r="P27" s="195"/>
      <c r="Q27" s="195"/>
      <c r="R27" s="195"/>
    </row>
    <row r="28" spans="1:18" x14ac:dyDescent="0.25">
      <c r="A28" s="14" t="s">
        <v>7</v>
      </c>
      <c r="B28" s="6">
        <v>398791</v>
      </c>
      <c r="C28" s="6">
        <v>172226</v>
      </c>
      <c r="D28" s="6">
        <v>208419</v>
      </c>
      <c r="E28" s="6">
        <v>239343</v>
      </c>
      <c r="F28" s="6">
        <v>195053</v>
      </c>
      <c r="G28" s="6">
        <v>162510</v>
      </c>
      <c r="H28" s="34">
        <f ca="1">G28*(1+Assumptions!I32)</f>
        <v>110989.28599290451</v>
      </c>
      <c r="I28" s="34">
        <f ca="1">H28*(1+Assumptions!J32)</f>
        <v>75802.237432864131</v>
      </c>
      <c r="J28" s="34">
        <f ca="1">I28*(1+Assumptions!K32)</f>
        <v>51770.575406671647</v>
      </c>
      <c r="K28" s="34">
        <f ca="1">J28*(1+Assumptions!L32)</f>
        <v>35357.696140719388</v>
      </c>
      <c r="L28" s="34">
        <f ca="1">K28*(1+Assumptions!M32)</f>
        <v>24148.209027213834</v>
      </c>
      <c r="M28" s="34">
        <f ca="1">L28*(1+Assumptions!N32)</f>
        <v>16492.477250248445</v>
      </c>
      <c r="N28" s="195"/>
      <c r="O28" s="195"/>
      <c r="P28" s="195"/>
      <c r="Q28" s="195"/>
      <c r="R28" s="195"/>
    </row>
    <row r="29" spans="1:18" x14ac:dyDescent="0.25">
      <c r="A29" s="14"/>
      <c r="B29" s="6">
        <f>SUM(B24:B28)</f>
        <v>1599311</v>
      </c>
      <c r="C29" s="6">
        <f t="shared" ref="C29:G29" si="24">SUM(C24:C28)</f>
        <v>565807</v>
      </c>
      <c r="D29" s="6">
        <f t="shared" si="24"/>
        <v>724560</v>
      </c>
      <c r="E29" s="6">
        <f t="shared" si="24"/>
        <v>750767</v>
      </c>
      <c r="F29" s="6">
        <f t="shared" si="24"/>
        <v>484533</v>
      </c>
      <c r="G29" s="6">
        <f t="shared" si="24"/>
        <v>330921</v>
      </c>
      <c r="H29" s="6"/>
      <c r="I29" s="6"/>
      <c r="J29" s="6"/>
      <c r="K29" s="6"/>
      <c r="L29" s="6"/>
      <c r="M29" s="6"/>
      <c r="N29" s="195"/>
      <c r="O29" s="195"/>
      <c r="P29" s="195"/>
      <c r="Q29" s="195"/>
      <c r="R29" s="195"/>
    </row>
    <row r="30" spans="1:18" x14ac:dyDescent="0.25">
      <c r="A30" s="2" t="s">
        <v>14</v>
      </c>
      <c r="B30" s="15">
        <f t="shared" ref="B30:M30" si="25">B19</f>
        <v>-2602241</v>
      </c>
      <c r="C30" s="15">
        <f t="shared" si="25"/>
        <v>-1752857</v>
      </c>
      <c r="D30" s="15">
        <f t="shared" si="25"/>
        <v>-1062144</v>
      </c>
      <c r="E30" s="15">
        <f t="shared" si="25"/>
        <v>-1584511</v>
      </c>
      <c r="F30" s="15">
        <f t="shared" si="25"/>
        <v>-340320</v>
      </c>
      <c r="G30" s="15">
        <f t="shared" si="25"/>
        <v>22784</v>
      </c>
      <c r="H30" s="15">
        <f t="shared" ca="1" si="25"/>
        <v>-703317.44458103599</v>
      </c>
      <c r="I30" s="15">
        <f t="shared" ca="1" si="25"/>
        <v>-774142.89118116675</v>
      </c>
      <c r="J30" s="15">
        <f t="shared" ca="1" si="25"/>
        <v>-830221.56792157306</v>
      </c>
      <c r="K30" s="15">
        <f t="shared" ca="1" si="25"/>
        <v>-908218.95061421453</v>
      </c>
      <c r="L30" s="15">
        <f t="shared" ca="1" si="25"/>
        <v>-973708.01496945054</v>
      </c>
      <c r="M30" s="15">
        <f t="shared" ca="1" si="25"/>
        <v>-1050479.501357819</v>
      </c>
      <c r="N30" s="195"/>
      <c r="O30" s="195"/>
      <c r="P30" s="195"/>
      <c r="Q30" s="195"/>
      <c r="R30" s="195"/>
    </row>
    <row r="31" spans="1:18" x14ac:dyDescent="0.25">
      <c r="N31" s="195"/>
      <c r="O31" s="195"/>
      <c r="P31" s="195"/>
      <c r="Q31" s="195"/>
      <c r="R31" s="195"/>
    </row>
    <row r="32" spans="1:18" x14ac:dyDescent="0.25">
      <c r="A32" s="20" t="s">
        <v>17</v>
      </c>
      <c r="B32" s="20">
        <v>2019</v>
      </c>
      <c r="C32" s="20">
        <f>B32+1</f>
        <v>2020</v>
      </c>
      <c r="D32" s="20">
        <f t="shared" ref="D32:G32" si="26">C32+1</f>
        <v>2021</v>
      </c>
      <c r="E32" s="20">
        <f t="shared" si="26"/>
        <v>2022</v>
      </c>
      <c r="F32" s="20">
        <f t="shared" si="26"/>
        <v>2023</v>
      </c>
      <c r="G32" s="26">
        <f t="shared" si="26"/>
        <v>2024</v>
      </c>
      <c r="H32" s="27">
        <f t="shared" ref="H32:M32" si="27">H5</f>
        <v>2025</v>
      </c>
      <c r="I32" s="27">
        <f t="shared" si="27"/>
        <v>2026</v>
      </c>
      <c r="J32" s="27">
        <f t="shared" si="27"/>
        <v>2027</v>
      </c>
      <c r="K32" s="27">
        <f t="shared" si="27"/>
        <v>2028</v>
      </c>
      <c r="L32" s="27">
        <f t="shared" si="27"/>
        <v>2029</v>
      </c>
      <c r="M32" s="27">
        <f t="shared" si="27"/>
        <v>2030</v>
      </c>
      <c r="N32" s="196"/>
      <c r="O32" s="195"/>
      <c r="P32" s="195"/>
      <c r="Q32" s="195"/>
      <c r="R32" s="195"/>
    </row>
    <row r="33" spans="1:18" x14ac:dyDescent="0.25">
      <c r="A33" t="s">
        <v>18</v>
      </c>
      <c r="B33" s="6">
        <f>B30</f>
        <v>-2602241</v>
      </c>
      <c r="C33" s="6">
        <f t="shared" ref="C33:M33" si="28">C30</f>
        <v>-1752857</v>
      </c>
      <c r="D33" s="6">
        <f t="shared" si="28"/>
        <v>-1062144</v>
      </c>
      <c r="E33" s="6">
        <f t="shared" si="28"/>
        <v>-1584511</v>
      </c>
      <c r="F33" s="6">
        <f t="shared" si="28"/>
        <v>-340320</v>
      </c>
      <c r="G33" s="6">
        <f t="shared" si="28"/>
        <v>22784</v>
      </c>
      <c r="H33" s="28">
        <f t="shared" ca="1" si="28"/>
        <v>-703317.44458103599</v>
      </c>
      <c r="I33" s="28">
        <f t="shared" ca="1" si="28"/>
        <v>-774142.89118116675</v>
      </c>
      <c r="J33" s="28">
        <f t="shared" ca="1" si="28"/>
        <v>-830221.56792157306</v>
      </c>
      <c r="K33" s="28">
        <f t="shared" ca="1" si="28"/>
        <v>-908218.95061421453</v>
      </c>
      <c r="L33" s="28">
        <f t="shared" ca="1" si="28"/>
        <v>-973708.01496945054</v>
      </c>
      <c r="M33" s="28">
        <f t="shared" ca="1" si="28"/>
        <v>-1050479.501357819</v>
      </c>
      <c r="N33" s="195"/>
      <c r="O33" s="195"/>
      <c r="P33" s="195"/>
      <c r="Q33" s="195"/>
      <c r="R33" s="195"/>
    </row>
    <row r="34" spans="1:18" x14ac:dyDescent="0.25">
      <c r="A34" s="2" t="s">
        <v>19</v>
      </c>
      <c r="B34" s="6"/>
      <c r="C34" s="6"/>
      <c r="D34" s="6"/>
      <c r="E34" s="6"/>
      <c r="F34" s="6"/>
      <c r="G34" s="6"/>
      <c r="H34" s="29"/>
      <c r="I34" s="29"/>
      <c r="J34" s="29"/>
      <c r="K34" s="29"/>
      <c r="L34" s="29"/>
      <c r="M34" s="29"/>
      <c r="N34" s="195"/>
      <c r="O34" s="195"/>
      <c r="P34" s="195"/>
      <c r="Q34" s="195"/>
      <c r="R34" s="195"/>
    </row>
    <row r="35" spans="1:18" x14ac:dyDescent="0.25">
      <c r="A35" s="14" t="s">
        <v>20</v>
      </c>
      <c r="B35" s="6">
        <v>162</v>
      </c>
      <c r="C35" s="6">
        <v>-2187</v>
      </c>
      <c r="D35" s="6">
        <v>-931</v>
      </c>
      <c r="E35" s="6">
        <v>-1154</v>
      </c>
      <c r="F35" s="6">
        <v>-2851</v>
      </c>
      <c r="G35" s="6">
        <v>-4925</v>
      </c>
      <c r="H35" s="28">
        <f ca="1">G35*(1+Assumptions!I3)</f>
        <v>-5097.1784056536135</v>
      </c>
      <c r="I35" s="28">
        <f ca="1">H35*(1+Assumptions!J3)</f>
        <v>-5177.0118376485661</v>
      </c>
      <c r="J35" s="28">
        <f ca="1">I35*(1+Assumptions!K3)</f>
        <v>-5357.548946329086</v>
      </c>
      <c r="K35" s="28">
        <f ca="1">J35*(1+Assumptions!L3)</f>
        <v>-5541.6967971832128</v>
      </c>
      <c r="L35" s="28">
        <f ca="1">K35*(1+Assumptions!M3)</f>
        <v>-5729.5276050544262</v>
      </c>
      <c r="M35" s="28">
        <f ca="1">L35*(1+Assumptions!N3)</f>
        <v>-5921.1150290830619</v>
      </c>
      <c r="N35" s="195"/>
      <c r="O35" s="195"/>
      <c r="P35" s="195"/>
      <c r="Q35" s="195"/>
      <c r="R35" s="195"/>
    </row>
    <row r="36" spans="1:18" x14ac:dyDescent="0.25">
      <c r="A36" s="14" t="s">
        <v>21</v>
      </c>
      <c r="B36" s="6">
        <v>2430</v>
      </c>
      <c r="C36" s="6">
        <v>-1011</v>
      </c>
      <c r="D36" s="6">
        <v>-1107</v>
      </c>
      <c r="E36" s="6">
        <v>-2089</v>
      </c>
      <c r="F36" s="6">
        <v>3656</v>
      </c>
      <c r="G36" s="6">
        <v>-229</v>
      </c>
      <c r="H36" s="28">
        <f ca="1">G36*(1+Assumptions!I3)</f>
        <v>-237.00585886186346</v>
      </c>
      <c r="I36" s="28">
        <f ca="1">H36*(1+Assumptions!J3)</f>
        <v>-240.71791082670489</v>
      </c>
      <c r="J36" s="28">
        <f ca="1">I36*(1+Assumptions!K3)</f>
        <v>-249.11242816433719</v>
      </c>
      <c r="K36" s="28">
        <f ca="1">J36*(1+Assumptions!L3)</f>
        <v>-257.67483584872195</v>
      </c>
      <c r="L36" s="28">
        <f ca="1">K36*(1+Assumptions!M3)</f>
        <v>-266.4084916867946</v>
      </c>
      <c r="M36" s="28">
        <f ca="1">L36*(1+Assumptions!N3)</f>
        <v>-275.31682064162862</v>
      </c>
      <c r="N36" s="195"/>
      <c r="O36" s="195"/>
      <c r="P36" s="195"/>
      <c r="Q36" s="195"/>
      <c r="R36" s="195"/>
    </row>
    <row r="37" spans="1:18" ht="15.75" thickBot="1" x14ac:dyDescent="0.3">
      <c r="A37" s="16" t="s">
        <v>19</v>
      </c>
      <c r="B37" s="17">
        <f>SUM(B35:B36)</f>
        <v>2592</v>
      </c>
      <c r="C37" s="17">
        <f t="shared" ref="C37:F37" si="29">SUM(C35:C36)</f>
        <v>-3198</v>
      </c>
      <c r="D37" s="17">
        <f t="shared" si="29"/>
        <v>-2038</v>
      </c>
      <c r="E37" s="17">
        <f t="shared" si="29"/>
        <v>-3243</v>
      </c>
      <c r="F37" s="17">
        <f t="shared" si="29"/>
        <v>805</v>
      </c>
      <c r="G37" s="17">
        <f>SUM(G35:G36)</f>
        <v>-5154</v>
      </c>
      <c r="H37" s="17">
        <f t="shared" ref="H37:M37" ca="1" si="30">SUM(H35:H36)</f>
        <v>-5334.1842645154766</v>
      </c>
      <c r="I37" s="17">
        <f t="shared" ca="1" si="30"/>
        <v>-5417.7297484752708</v>
      </c>
      <c r="J37" s="17">
        <f t="shared" ca="1" si="30"/>
        <v>-5606.661374493423</v>
      </c>
      <c r="K37" s="17">
        <f t="shared" ca="1" si="30"/>
        <v>-5799.3716330319348</v>
      </c>
      <c r="L37" s="17">
        <f t="shared" ca="1" si="30"/>
        <v>-5995.9360967412213</v>
      </c>
      <c r="M37" s="17">
        <f t="shared" ca="1" si="30"/>
        <v>-6196.4318497246904</v>
      </c>
      <c r="N37" s="195"/>
      <c r="O37" s="195"/>
      <c r="P37" s="195"/>
      <c r="Q37" s="195"/>
      <c r="R37" s="195"/>
    </row>
    <row r="38" spans="1:18" ht="15.75" thickBot="1" x14ac:dyDescent="0.3">
      <c r="A38" s="18" t="s">
        <v>17</v>
      </c>
      <c r="B38" s="19">
        <f>SUM(B37,B33)</f>
        <v>-2599649</v>
      </c>
      <c r="C38" s="19">
        <f t="shared" ref="C38:M38" si="31">SUM(C37,C33)</f>
        <v>-1756055</v>
      </c>
      <c r="D38" s="19">
        <f t="shared" si="31"/>
        <v>-1064182</v>
      </c>
      <c r="E38" s="19">
        <f t="shared" si="31"/>
        <v>-1587754</v>
      </c>
      <c r="F38" s="19">
        <f t="shared" si="31"/>
        <v>-339515</v>
      </c>
      <c r="G38" s="19">
        <f t="shared" si="31"/>
        <v>17630</v>
      </c>
      <c r="H38" s="19">
        <f t="shared" ca="1" si="31"/>
        <v>-708651.62884555152</v>
      </c>
      <c r="I38" s="19">
        <f t="shared" ca="1" si="31"/>
        <v>-779560.620929642</v>
      </c>
      <c r="J38" s="19">
        <f t="shared" ca="1" si="31"/>
        <v>-835828.22929606645</v>
      </c>
      <c r="K38" s="19">
        <f t="shared" ca="1" si="31"/>
        <v>-914018.32224724651</v>
      </c>
      <c r="L38" s="19">
        <f t="shared" ca="1" si="31"/>
        <v>-979703.95106619177</v>
      </c>
      <c r="M38" s="19">
        <f t="shared" ca="1" si="31"/>
        <v>-1056675.9332075436</v>
      </c>
      <c r="N38" s="195"/>
      <c r="O38" s="195"/>
      <c r="P38" s="195"/>
      <c r="Q38" s="195"/>
      <c r="R38" s="195"/>
    </row>
    <row r="39" spans="1:18" ht="15.75" thickTop="1" x14ac:dyDescent="0.25">
      <c r="N39" s="195"/>
      <c r="O39" s="195"/>
      <c r="P39" s="195"/>
      <c r="Q39" s="195"/>
      <c r="R39" s="195"/>
    </row>
    <row r="40" spans="1:18" x14ac:dyDescent="0.25">
      <c r="N40" s="195"/>
      <c r="O40" s="195"/>
      <c r="P40" s="195"/>
      <c r="Q40" s="195"/>
      <c r="R40" s="195"/>
    </row>
    <row r="41" spans="1:18" x14ac:dyDescent="0.25">
      <c r="N41" s="195"/>
      <c r="O41" s="195"/>
      <c r="P41" s="195"/>
      <c r="Q41" s="195"/>
      <c r="R41" s="195"/>
    </row>
    <row r="42" spans="1:18" x14ac:dyDescent="0.25">
      <c r="N42" s="195"/>
      <c r="O42" s="195"/>
      <c r="P42" s="195"/>
      <c r="Q42" s="195"/>
      <c r="R42" s="195"/>
    </row>
    <row r="43" spans="1:18" x14ac:dyDescent="0.25">
      <c r="N43" s="195"/>
      <c r="O43" s="195"/>
      <c r="P43" s="195"/>
      <c r="Q43" s="195"/>
      <c r="R43" s="195"/>
    </row>
    <row r="44" spans="1:18" x14ac:dyDescent="0.25">
      <c r="A44" s="25" t="s">
        <v>24</v>
      </c>
      <c r="B44" s="25"/>
      <c r="C44" s="25"/>
      <c r="D44" s="25"/>
      <c r="E44" s="25"/>
      <c r="F44" s="25"/>
      <c r="G44" s="25"/>
      <c r="H44" s="25"/>
      <c r="I44" s="25"/>
      <c r="J44" s="25"/>
      <c r="K44" s="25"/>
      <c r="L44" s="25"/>
      <c r="M44" s="25"/>
      <c r="N44" s="195"/>
      <c r="O44" s="195"/>
      <c r="P44" s="195"/>
      <c r="Q44" s="195"/>
      <c r="R44" s="195"/>
    </row>
    <row r="45" spans="1:18" x14ac:dyDescent="0.25">
      <c r="A45" s="24"/>
      <c r="B45" s="20">
        <v>2019</v>
      </c>
      <c r="C45" s="20">
        <f>B45+1</f>
        <v>2020</v>
      </c>
      <c r="D45" s="20">
        <f t="shared" ref="D45" si="32">C45+1</f>
        <v>2021</v>
      </c>
      <c r="E45" s="20">
        <f t="shared" ref="E45" si="33">D45+1</f>
        <v>2022</v>
      </c>
      <c r="F45" s="20">
        <f t="shared" ref="F45" si="34">E45+1</f>
        <v>2023</v>
      </c>
      <c r="G45" s="20">
        <f t="shared" ref="G45" si="35">F45+1</f>
        <v>2024</v>
      </c>
      <c r="H45" s="27">
        <v>2025</v>
      </c>
      <c r="I45" s="27">
        <v>2026</v>
      </c>
      <c r="J45" s="27">
        <v>2027</v>
      </c>
      <c r="K45" s="27">
        <v>2028</v>
      </c>
      <c r="L45" s="27">
        <v>2029</v>
      </c>
      <c r="M45" s="27">
        <v>2030</v>
      </c>
      <c r="N45" s="195"/>
      <c r="O45" s="195"/>
      <c r="P45" s="195"/>
      <c r="Q45" s="195"/>
      <c r="R45" s="195"/>
    </row>
    <row r="46" spans="1:18" x14ac:dyDescent="0.25">
      <c r="A46" s="24" t="s">
        <v>25</v>
      </c>
      <c r="B46" s="24"/>
      <c r="C46" s="24"/>
      <c r="D46" s="24"/>
      <c r="E46" s="24"/>
      <c r="F46" s="24"/>
      <c r="G46" s="24"/>
      <c r="H46" s="24"/>
      <c r="I46" s="24"/>
      <c r="J46" s="24"/>
      <c r="K46" s="24"/>
      <c r="L46" s="24"/>
      <c r="M46" s="24"/>
      <c r="N46" s="195"/>
      <c r="O46" s="195"/>
      <c r="P46" s="195"/>
      <c r="Q46" s="195"/>
      <c r="R46" s="195"/>
    </row>
    <row r="47" spans="1:18" x14ac:dyDescent="0.25">
      <c r="A47" s="2"/>
      <c r="B47" s="31"/>
      <c r="C47" s="31"/>
      <c r="D47" s="31"/>
      <c r="E47" s="31"/>
      <c r="F47" s="31"/>
      <c r="G47" s="31"/>
      <c r="N47" s="195"/>
      <c r="O47" s="195"/>
      <c r="P47" s="195"/>
      <c r="Q47" s="195"/>
      <c r="R47" s="195"/>
    </row>
    <row r="48" spans="1:18" x14ac:dyDescent="0.25">
      <c r="A48" s="14" t="s">
        <v>26</v>
      </c>
      <c r="B48" s="6">
        <v>358319</v>
      </c>
      <c r="C48" s="6">
        <v>319734</v>
      </c>
      <c r="D48" s="6">
        <v>457325</v>
      </c>
      <c r="E48" s="6">
        <v>281090</v>
      </c>
      <c r="F48" s="6">
        <v>558636</v>
      </c>
      <c r="G48" s="6">
        <v>759319</v>
      </c>
      <c r="H48" s="90">
        <f ca="1">H123</f>
        <v>167505.08561341956</v>
      </c>
      <c r="I48" s="90">
        <f t="shared" ref="I48:M48" ca="1" si="36">I123</f>
        <v>-519589.18322692317</v>
      </c>
      <c r="J48" s="90">
        <f t="shared" ca="1" si="36"/>
        <v>-1210200.8434602632</v>
      </c>
      <c r="K48" s="90">
        <f t="shared" ca="1" si="36"/>
        <v>-1823488.8223499819</v>
      </c>
      <c r="L48" s="90">
        <f t="shared" ca="1" si="36"/>
        <v>-3008836.0052139424</v>
      </c>
      <c r="M48" s="90">
        <f t="shared" ca="1" si="36"/>
        <v>-3340853.0586498477</v>
      </c>
      <c r="N48" s="195"/>
      <c r="O48" s="195"/>
      <c r="P48" s="195"/>
      <c r="Q48" s="195"/>
      <c r="R48" s="195"/>
    </row>
    <row r="49" spans="1:18" x14ac:dyDescent="0.25">
      <c r="A49" s="14" t="s">
        <v>27</v>
      </c>
      <c r="B49" s="6">
        <v>2491805</v>
      </c>
      <c r="C49" s="6">
        <v>1931334</v>
      </c>
      <c r="D49" s="6">
        <v>1796533</v>
      </c>
      <c r="E49" s="6">
        <v>1515702</v>
      </c>
      <c r="F49" s="6">
        <v>1126548</v>
      </c>
      <c r="G49" s="6">
        <v>1225124</v>
      </c>
      <c r="H49" s="34">
        <f ca="1">Mark_Secs!I2</f>
        <v>1549281.9620881649</v>
      </c>
      <c r="I49" s="34">
        <f ca="1">Mark_Secs!J2</f>
        <v>1873580.1285728901</v>
      </c>
      <c r="J49" s="34">
        <f ca="1">Mark_Secs!K2</f>
        <v>2204182.0451664347</v>
      </c>
      <c r="K49" s="34">
        <f ca="1">Mark_Secs!L2</f>
        <v>2540551.443429112</v>
      </c>
      <c r="L49" s="34">
        <f ca="1">Mark_Secs!M2</f>
        <v>2885286.4646235346</v>
      </c>
      <c r="M49" s="34">
        <f ca="1">Mark_Secs!N2</f>
        <v>3240251.6520543601</v>
      </c>
      <c r="N49" s="195"/>
      <c r="O49" s="195"/>
      <c r="P49" s="197"/>
      <c r="Q49" s="197"/>
      <c r="R49" s="197"/>
    </row>
    <row r="50" spans="1:18" x14ac:dyDescent="0.25">
      <c r="A50" s="14" t="s">
        <v>28</v>
      </c>
      <c r="B50" s="6">
        <v>397239</v>
      </c>
      <c r="C50" s="6">
        <v>343070</v>
      </c>
      <c r="D50" s="6">
        <v>522212</v>
      </c>
      <c r="E50" s="6">
        <v>786067</v>
      </c>
      <c r="F50" s="6">
        <v>892235</v>
      </c>
      <c r="G50" s="6">
        <v>966090</v>
      </c>
      <c r="H50" s="34">
        <f ca="1">G50*(1+Assumptions!I42)</f>
        <v>981221.17143995943</v>
      </c>
      <c r="I50" s="34">
        <f ca="1">H50*(1+Assumptions!J42)</f>
        <v>996589.33151363349</v>
      </c>
      <c r="J50" s="34">
        <f ca="1">I50*(1+Assumptions!K42)</f>
        <v>1012198.192003202</v>
      </c>
      <c r="K50" s="34">
        <f ca="1">J50*(1+Assumptions!L42)</f>
        <v>1028051.5228258142</v>
      </c>
      <c r="L50" s="34">
        <f ca="1">K50*(1+Assumptions!M42)</f>
        <v>1044153.1529441145</v>
      </c>
      <c r="M50" s="34">
        <f ca="1">L50*(1+Assumptions!N42)</f>
        <v>1060506.9712910301</v>
      </c>
      <c r="N50" s="195"/>
      <c r="O50" s="195"/>
      <c r="P50" s="197"/>
      <c r="Q50" s="197"/>
      <c r="R50" s="197"/>
    </row>
    <row r="51" spans="1:18" x14ac:dyDescent="0.25">
      <c r="A51" s="14" t="s">
        <v>29</v>
      </c>
      <c r="B51" s="6">
        <v>204976</v>
      </c>
      <c r="C51" s="6">
        <v>118559</v>
      </c>
      <c r="D51" s="6">
        <v>73205</v>
      </c>
      <c r="E51" s="6">
        <v>109368</v>
      </c>
      <c r="F51" s="6">
        <v>211786</v>
      </c>
      <c r="G51" s="6">
        <v>186721</v>
      </c>
      <c r="H51" s="90">
        <f ca="1">H124+H125</f>
        <v>57396.562711405524</v>
      </c>
      <c r="I51" s="90">
        <f t="shared" ref="I51:M51" ca="1" si="37">I124+I125</f>
        <v>-161280.52981327992</v>
      </c>
      <c r="J51" s="90">
        <f t="shared" ca="1" si="37"/>
        <v>-363975.52610082569</v>
      </c>
      <c r="K51" s="90">
        <f t="shared" ca="1" si="37"/>
        <v>-596779.64256260183</v>
      </c>
      <c r="L51" s="90">
        <f t="shared" ca="1" si="37"/>
        <v>-953132.56855269498</v>
      </c>
      <c r="M51" s="90">
        <f t="shared" ca="1" si="37"/>
        <v>-1024197.7455677518</v>
      </c>
      <c r="N51" s="195"/>
      <c r="O51" s="195"/>
      <c r="P51" s="197"/>
      <c r="Q51" s="197"/>
      <c r="R51" s="197"/>
    </row>
    <row r="52" spans="1:18" x14ac:dyDescent="0.25">
      <c r="A52" s="14" t="s">
        <v>30</v>
      </c>
      <c r="B52" s="6">
        <v>1361045</v>
      </c>
      <c r="C52" s="6">
        <v>1101712</v>
      </c>
      <c r="D52" s="6">
        <v>1044855</v>
      </c>
      <c r="E52" s="6">
        <v>1027506</v>
      </c>
      <c r="F52" s="6">
        <v>837291</v>
      </c>
      <c r="G52" s="6">
        <v>1355451</v>
      </c>
      <c r="H52" s="34">
        <f ca="1">Mark_Secs!I3</f>
        <v>1447275.9271493363</v>
      </c>
      <c r="I52" s="34">
        <f ca="1">Mark_Secs!J3</f>
        <v>1779850.1429280734</v>
      </c>
      <c r="J52" s="34">
        <f ca="1">Mark_Secs!K3</f>
        <v>2117194.3249973124</v>
      </c>
      <c r="K52" s="34">
        <f ca="1">Mark_Secs!L3</f>
        <v>2461765.5209289226</v>
      </c>
      <c r="L52" s="34">
        <f ca="1">Mark_Secs!M3</f>
        <v>2809900.7924871971</v>
      </c>
      <c r="M52" s="34">
        <f ca="1">Mark_Secs!N3</f>
        <v>3164939.7735971082</v>
      </c>
      <c r="N52" s="195"/>
      <c r="O52" s="195"/>
      <c r="P52" s="197"/>
      <c r="Q52" s="197"/>
      <c r="R52" s="197"/>
    </row>
    <row r="53" spans="1:18" x14ac:dyDescent="0.25">
      <c r="A53" s="14" t="s">
        <v>31</v>
      </c>
      <c r="B53" s="6">
        <v>0</v>
      </c>
      <c r="C53" s="6">
        <v>10000</v>
      </c>
      <c r="D53" s="6">
        <v>80411</v>
      </c>
      <c r="E53" s="6">
        <v>26390</v>
      </c>
      <c r="F53" s="6">
        <v>39870</v>
      </c>
      <c r="G53" s="6">
        <v>42516</v>
      </c>
      <c r="H53" s="34">
        <f ca="1">Assumptions!I47</f>
        <v>26390</v>
      </c>
      <c r="I53" s="34">
        <f ca="1">Assumptions!J47</f>
        <v>26390</v>
      </c>
      <c r="J53" s="34">
        <f ca="1">Assumptions!K47</f>
        <v>26390</v>
      </c>
      <c r="K53" s="34">
        <f ca="1">Assumptions!L47</f>
        <v>26390</v>
      </c>
      <c r="L53" s="34">
        <f ca="1">Assumptions!M47</f>
        <v>26390</v>
      </c>
      <c r="M53" s="34">
        <f ca="1">Assumptions!N47</f>
        <v>26390</v>
      </c>
      <c r="N53" s="195"/>
      <c r="O53" s="195"/>
      <c r="P53" s="197"/>
      <c r="Q53" s="197"/>
      <c r="R53" s="197"/>
    </row>
    <row r="54" spans="1:18" x14ac:dyDescent="0.25">
      <c r="A54" s="14" t="s">
        <v>32</v>
      </c>
      <c r="B54" s="6">
        <v>188603</v>
      </c>
      <c r="C54" s="6">
        <v>313297</v>
      </c>
      <c r="D54" s="6">
        <v>298195</v>
      </c>
      <c r="E54" s="6">
        <v>313402</v>
      </c>
      <c r="F54" s="6">
        <v>465844</v>
      </c>
      <c r="G54" s="6">
        <v>444864</v>
      </c>
      <c r="H54" s="34">
        <f ca="1">Schedules!I27</f>
        <v>418629.09204075497</v>
      </c>
      <c r="I54" s="34">
        <f ca="1">Schedules!J27</f>
        <v>425185.77781684534</v>
      </c>
      <c r="J54" s="34">
        <f ca="1">Schedules!K27</f>
        <v>431845.15623705368</v>
      </c>
      <c r="K54" s="34">
        <f ca="1">Schedules!L27</f>
        <v>438608.83570225775</v>
      </c>
      <c r="L54" s="34">
        <f ca="1">Schedules!M27</f>
        <v>445478.44980455859</v>
      </c>
      <c r="M54" s="34">
        <f ca="1">Schedules!N27</f>
        <v>452455.6577218335</v>
      </c>
      <c r="N54" s="195"/>
      <c r="O54" s="195"/>
      <c r="P54" s="197"/>
      <c r="Q54" s="197"/>
      <c r="R54" s="197"/>
    </row>
    <row r="55" spans="1:18" x14ac:dyDescent="0.25">
      <c r="A55" s="14" t="s">
        <v>33</v>
      </c>
      <c r="B55" s="6">
        <v>441258</v>
      </c>
      <c r="C55" s="6">
        <v>275756</v>
      </c>
      <c r="D55" s="6">
        <v>223412</v>
      </c>
      <c r="E55" s="6">
        <v>135213</v>
      </c>
      <c r="F55" s="6">
        <v>98202</v>
      </c>
      <c r="G55" s="6">
        <v>148397</v>
      </c>
      <c r="H55" s="34">
        <f ca="1">Schedules!I32</f>
        <v>150721.23526604733</v>
      </c>
      <c r="I55" s="34">
        <f ca="1">Schedules!J32</f>
        <v>153081.87335406503</v>
      </c>
      <c r="J55" s="34">
        <f ca="1">Schedules!K32</f>
        <v>155479.48441521928</v>
      </c>
      <c r="K55" s="34">
        <f ca="1">Schedules!L32</f>
        <v>157914.64753054309</v>
      </c>
      <c r="L55" s="34">
        <f ca="1">Schedules!M32</f>
        <v>160387.95085079837</v>
      </c>
      <c r="M55" s="34">
        <f ca="1">Schedules!N32</f>
        <v>162899.99173852851</v>
      </c>
      <c r="N55" s="195"/>
      <c r="O55" s="195"/>
      <c r="P55" s="197"/>
      <c r="Q55" s="197"/>
      <c r="R55" s="197"/>
    </row>
    <row r="56" spans="1:18" x14ac:dyDescent="0.25">
      <c r="A56" s="14" t="s">
        <v>34</v>
      </c>
      <c r="B56" s="6">
        <v>82919</v>
      </c>
      <c r="C56" s="6">
        <v>65845</v>
      </c>
      <c r="D56" s="6">
        <v>50765</v>
      </c>
      <c r="E56" s="6">
        <v>76208</v>
      </c>
      <c r="F56" s="6">
        <v>59515</v>
      </c>
      <c r="G56" s="6">
        <v>42776</v>
      </c>
      <c r="H56" s="34">
        <f ca="1">Schedules!I71</f>
        <v>71070.463745362053</v>
      </c>
      <c r="I56" s="34">
        <f ca="1">Schedules!J71</f>
        <v>67278.333392901885</v>
      </c>
      <c r="J56" s="34">
        <f ca="1">Schedules!K71</f>
        <v>66524.950319896452</v>
      </c>
      <c r="K56" s="34">
        <f ca="1">Schedules!L71</f>
        <v>66607.568022599866</v>
      </c>
      <c r="L56" s="34">
        <f ca="1">Schedules!M71</f>
        <v>65345.17579975853</v>
      </c>
      <c r="M56" s="34">
        <f ca="1">Schedules!N71</f>
        <v>66690.333228978619</v>
      </c>
      <c r="N56" s="195"/>
      <c r="O56" s="195"/>
      <c r="P56" s="197"/>
      <c r="Q56" s="197"/>
      <c r="R56" s="197"/>
    </row>
    <row r="57" spans="1:18" x14ac:dyDescent="0.25">
      <c r="A57" s="14" t="s">
        <v>35</v>
      </c>
      <c r="B57" s="6">
        <v>158725</v>
      </c>
      <c r="C57" s="6">
        <v>182687</v>
      </c>
      <c r="D57" s="6">
        <v>180516</v>
      </c>
      <c r="E57" s="6">
        <v>261582</v>
      </c>
      <c r="F57" s="6">
        <v>257791</v>
      </c>
      <c r="G57" s="6">
        <v>251376</v>
      </c>
      <c r="H57" s="34">
        <f ca="1">G57*(1+Assumptions!I72)</f>
        <v>255313.1211293888</v>
      </c>
      <c r="I57" s="34">
        <f ca="1">H57*(1+Assumptions!J72)</f>
        <v>259311.90654967044</v>
      </c>
      <c r="J57" s="34">
        <f ca="1">I57*(1+Assumptions!K72)</f>
        <v>263373.32206419372</v>
      </c>
      <c r="K57" s="34">
        <f ca="1">J57*(1+Assumptions!L72)</f>
        <v>267498.34860298922</v>
      </c>
      <c r="L57" s="34">
        <f ca="1">K57*(1+Assumptions!M72)</f>
        <v>271687.98245968774</v>
      </c>
      <c r="M57" s="34">
        <f ca="1">L57*(1+Assumptions!N72)</f>
        <v>275943.23553214915</v>
      </c>
      <c r="N57" s="195"/>
      <c r="O57" s="195"/>
      <c r="P57" s="197"/>
      <c r="Q57" s="197"/>
      <c r="R57" s="197"/>
    </row>
    <row r="58" spans="1:18" x14ac:dyDescent="0.25">
      <c r="A58" s="14" t="s">
        <v>36</v>
      </c>
      <c r="B58" s="6">
        <v>6494</v>
      </c>
      <c r="C58" s="6">
        <v>16970</v>
      </c>
      <c r="D58" s="6">
        <v>46455</v>
      </c>
      <c r="E58" s="6">
        <v>23903</v>
      </c>
      <c r="F58" s="6">
        <v>16749</v>
      </c>
      <c r="G58" s="6">
        <v>12435</v>
      </c>
      <c r="H58" s="34">
        <f ca="1">Assumptions!I97</f>
        <v>6494</v>
      </c>
      <c r="I58" s="34">
        <f ca="1">Assumptions!J97</f>
        <v>6494</v>
      </c>
      <c r="J58" s="34">
        <f ca="1">Assumptions!K97</f>
        <v>6494</v>
      </c>
      <c r="K58" s="34">
        <f ca="1">Assumptions!L97</f>
        <v>6494</v>
      </c>
      <c r="L58" s="34">
        <f ca="1">Assumptions!M97</f>
        <v>6494</v>
      </c>
      <c r="M58" s="34">
        <f ca="1">Assumptions!N97</f>
        <v>6494</v>
      </c>
      <c r="N58" s="195"/>
      <c r="O58" s="195"/>
      <c r="P58" s="197"/>
      <c r="Q58" s="197"/>
      <c r="R58" s="197"/>
    </row>
    <row r="59" spans="1:18" ht="15.75" thickBot="1" x14ac:dyDescent="0.3">
      <c r="A59" s="32" t="s">
        <v>37</v>
      </c>
      <c r="B59" s="41">
        <f>SUM(B48:B58)</f>
        <v>5691383</v>
      </c>
      <c r="C59" s="41">
        <f>SUM(C48:C58)</f>
        <v>4678964</v>
      </c>
      <c r="D59" s="41">
        <f t="shared" ref="D59:M59" si="38">SUM(D48:D58)</f>
        <v>4773884</v>
      </c>
      <c r="E59" s="41">
        <f t="shared" si="38"/>
        <v>4556431</v>
      </c>
      <c r="F59" s="41">
        <f t="shared" si="38"/>
        <v>4564467</v>
      </c>
      <c r="G59" s="41">
        <f t="shared" si="38"/>
        <v>5435069</v>
      </c>
      <c r="H59" s="41">
        <f t="shared" ca="1" si="38"/>
        <v>5131298.6211838396</v>
      </c>
      <c r="I59" s="41">
        <f t="shared" ca="1" si="38"/>
        <v>4906891.7810878772</v>
      </c>
      <c r="J59" s="41">
        <f t="shared" ca="1" si="38"/>
        <v>4709505.1056422237</v>
      </c>
      <c r="K59" s="41">
        <f t="shared" ca="1" si="38"/>
        <v>4573613.4221296553</v>
      </c>
      <c r="L59" s="41">
        <f t="shared" ca="1" si="38"/>
        <v>3753155.395203012</v>
      </c>
      <c r="M59" s="41">
        <f t="shared" ca="1" si="38"/>
        <v>4091520.8109463886</v>
      </c>
      <c r="N59" s="195"/>
      <c r="O59" s="195"/>
      <c r="P59" s="195"/>
      <c r="Q59" s="195"/>
      <c r="R59" s="195"/>
    </row>
    <row r="60" spans="1:18" ht="15.75" thickTop="1" x14ac:dyDescent="0.25">
      <c r="B60" s="21"/>
      <c r="C60" s="21"/>
      <c r="D60" s="21"/>
      <c r="E60" s="21"/>
      <c r="F60" s="21"/>
      <c r="G60" s="21"/>
      <c r="H60" s="34"/>
      <c r="N60" s="195"/>
      <c r="O60" s="195"/>
      <c r="P60" s="195"/>
      <c r="Q60" s="195"/>
      <c r="R60" s="195"/>
    </row>
    <row r="61" spans="1:18" x14ac:dyDescent="0.25">
      <c r="A61" s="30" t="s">
        <v>38</v>
      </c>
      <c r="B61" s="35"/>
      <c r="C61" s="35"/>
      <c r="D61" s="35"/>
      <c r="E61" s="35"/>
      <c r="F61" s="35"/>
      <c r="G61" s="35"/>
      <c r="H61" s="35"/>
      <c r="I61" s="35"/>
      <c r="J61" s="35"/>
      <c r="K61" s="35"/>
      <c r="L61" s="35"/>
      <c r="M61" s="35"/>
      <c r="N61" s="195"/>
      <c r="O61" s="195"/>
      <c r="P61" s="195"/>
      <c r="Q61" s="195"/>
      <c r="R61" s="195"/>
    </row>
    <row r="62" spans="1:18" x14ac:dyDescent="0.25">
      <c r="A62" s="2"/>
      <c r="B62" s="34"/>
      <c r="C62" s="34"/>
      <c r="D62" s="34"/>
      <c r="E62" s="34"/>
      <c r="F62" s="34"/>
      <c r="G62" s="34"/>
      <c r="H62" s="42"/>
      <c r="N62" s="195"/>
      <c r="O62" s="195"/>
      <c r="P62" s="195"/>
      <c r="Q62" s="195"/>
      <c r="R62" s="195"/>
    </row>
    <row r="63" spans="1:18" x14ac:dyDescent="0.25">
      <c r="A63" s="36" t="s">
        <v>39</v>
      </c>
      <c r="B63" s="6">
        <v>38839</v>
      </c>
      <c r="C63" s="6">
        <v>84108</v>
      </c>
      <c r="D63" s="6">
        <v>129542</v>
      </c>
      <c r="E63" s="6">
        <v>107801</v>
      </c>
      <c r="F63" s="6">
        <v>72282</v>
      </c>
      <c r="G63" s="6">
        <v>97704</v>
      </c>
      <c r="H63" s="34">
        <f ca="1">G63*(1+Assumptions!I77)</f>
        <v>107304.33431947415</v>
      </c>
      <c r="I63" s="34">
        <f ca="1">H63*(1+Assumptions!J77)</f>
        <v>117847.99152281869</v>
      </c>
      <c r="J63" s="34">
        <f ca="1">I63*(1+Assumptions!K77)</f>
        <v>129427.66193035179</v>
      </c>
      <c r="K63" s="34">
        <f ca="1">J63*(1+Assumptions!L77)</f>
        <v>142145.14355566143</v>
      </c>
      <c r="L63" s="34">
        <f ca="1">K63*(1+Assumptions!M77)</f>
        <v>156112.2370218859</v>
      </c>
      <c r="M63" s="34">
        <f ca="1">L63*(1+Assumptions!N77)</f>
        <v>171451.72841191184</v>
      </c>
      <c r="N63" s="195"/>
      <c r="O63" s="195"/>
      <c r="P63" s="197"/>
      <c r="Q63" s="197"/>
      <c r="R63" s="197"/>
    </row>
    <row r="64" spans="1:18" x14ac:dyDescent="0.25">
      <c r="A64" s="36" t="s">
        <v>40</v>
      </c>
      <c r="B64" s="6">
        <v>1378462</v>
      </c>
      <c r="C64" s="6">
        <v>987064</v>
      </c>
      <c r="D64" s="6">
        <v>1068628</v>
      </c>
      <c r="E64" s="6">
        <v>1417350</v>
      </c>
      <c r="F64" s="6">
        <v>1337868</v>
      </c>
      <c r="G64" s="6">
        <v>1701393</v>
      </c>
      <c r="H64" s="34">
        <f ca="1">G64*(1+Sheet1!I64)</f>
        <v>1905545.8306418627</v>
      </c>
      <c r="I64" s="34">
        <f ca="1">H64*(1+Sheet1!J64)</f>
        <v>2195941.1074879407</v>
      </c>
      <c r="J64" s="34">
        <f ca="1">I64*(1+Sheet1!K64)</f>
        <v>2601746.6833950398</v>
      </c>
      <c r="K64" s="34">
        <f ca="1">J64*(1+Sheet1!L64)</f>
        <v>3167080.2773171621</v>
      </c>
      <c r="L64" s="34">
        <f ca="1">K64*(1+Sheet1!M64)</f>
        <v>3957878.8278252911</v>
      </c>
      <c r="M64" s="34">
        <f ca="1">L64*(1+Sheet1!N64)</f>
        <v>5074382.4633807642</v>
      </c>
      <c r="N64" s="195"/>
      <c r="O64" s="195"/>
      <c r="P64" s="197"/>
      <c r="Q64" s="197"/>
      <c r="R64" s="197"/>
    </row>
    <row r="65" spans="1:18" x14ac:dyDescent="0.25">
      <c r="A65" s="36" t="s">
        <v>41</v>
      </c>
      <c r="B65" s="6">
        <v>939865</v>
      </c>
      <c r="C65" s="6">
        <v>954008</v>
      </c>
      <c r="D65" s="6">
        <v>1264426</v>
      </c>
      <c r="E65" s="6">
        <v>1561609</v>
      </c>
      <c r="F65" s="6">
        <v>1508855</v>
      </c>
      <c r="G65" s="6">
        <v>1666278</v>
      </c>
      <c r="H65" s="34">
        <f ca="1">G65*(1+Assumptions!I87)</f>
        <v>1830005.4407310318</v>
      </c>
      <c r="I65" s="34">
        <f ca="1">H65*(1+Assumptions!J87)</f>
        <v>2009820.6380358969</v>
      </c>
      <c r="J65" s="34">
        <f ca="1">I65*(1+Assumptions!K87)</f>
        <v>2207304.3648774126</v>
      </c>
      <c r="K65" s="34">
        <f ca="1">J65*(1+Assumptions!L87)</f>
        <v>2424192.7199873128</v>
      </c>
      <c r="L65" s="34">
        <f ca="1">K65*(1+Assumptions!M87)</f>
        <v>2662392.3900797716</v>
      </c>
      <c r="M65" s="34">
        <f ca="1">L65*(1+Assumptions!N87)</f>
        <v>2923997.4117205399</v>
      </c>
      <c r="N65" s="195"/>
      <c r="O65" s="195"/>
      <c r="P65" s="197"/>
      <c r="Q65" s="197"/>
      <c r="R65" s="197"/>
    </row>
    <row r="66" spans="1:18" x14ac:dyDescent="0.25">
      <c r="A66" s="36" t="s">
        <v>42</v>
      </c>
      <c r="B66" s="6">
        <v>94199</v>
      </c>
      <c r="C66" s="6">
        <v>49291</v>
      </c>
      <c r="D66" s="6">
        <v>53765</v>
      </c>
      <c r="E66" s="6">
        <v>45803</v>
      </c>
      <c r="F66" s="6">
        <v>42556</v>
      </c>
      <c r="G66" s="6">
        <v>25192</v>
      </c>
      <c r="H66" s="34">
        <f ca="1">Schedules!I35</f>
        <v>25586.564140934548</v>
      </c>
      <c r="I66" s="34">
        <f ca="1">Schedules!J35</f>
        <v>25987.308055658847</v>
      </c>
      <c r="J66" s="34">
        <f ca="1">Schedules!K35</f>
        <v>26394.3285335162</v>
      </c>
      <c r="K66" s="34">
        <f ca="1">Schedules!L35</f>
        <v>26807.723879791647</v>
      </c>
      <c r="L66" s="34">
        <f ca="1">Schedules!M35</f>
        <v>27227.593939455055</v>
      </c>
      <c r="M66" s="34">
        <f ca="1">Schedules!N35</f>
        <v>27654.040121276099</v>
      </c>
      <c r="N66" s="195"/>
      <c r="O66" s="195"/>
      <c r="P66" s="197"/>
      <c r="Q66" s="197"/>
      <c r="R66" s="197"/>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N67" s="195"/>
      <c r="O67" s="195"/>
      <c r="P67" s="197"/>
      <c r="Q67" s="197"/>
      <c r="R67" s="197"/>
    </row>
    <row r="68" spans="1:18" x14ac:dyDescent="0.25">
      <c r="A68" t="s">
        <v>44</v>
      </c>
      <c r="B68" s="6">
        <v>382077</v>
      </c>
      <c r="C68" s="6">
        <v>265803</v>
      </c>
      <c r="D68" s="6">
        <v>210232</v>
      </c>
      <c r="E68" s="6">
        <v>176356</v>
      </c>
      <c r="F68" s="6">
        <v>134102</v>
      </c>
      <c r="G68" s="6">
        <v>152074</v>
      </c>
      <c r="H68" s="34">
        <f ca="1">Schedules!I36</f>
        <v>154455.8254671515</v>
      </c>
      <c r="I68" s="34">
        <f ca="1">Schedules!J36</f>
        <v>156874.95575008987</v>
      </c>
      <c r="J68" s="34">
        <f ca="1">Schedules!K36</f>
        <v>159331.97512726038</v>
      </c>
      <c r="K68" s="34">
        <f ca="1">Schedules!L36</f>
        <v>161827.47702824054</v>
      </c>
      <c r="L68" s="34">
        <f ca="1">Schedules!M36</f>
        <v>164362.06417706766</v>
      </c>
      <c r="M68" s="34">
        <f ca="1">Schedules!N36</f>
        <v>166936.34873781129</v>
      </c>
      <c r="N68" s="195"/>
      <c r="O68" s="195"/>
      <c r="P68" s="197"/>
      <c r="Q68" s="197"/>
      <c r="R68" s="197"/>
    </row>
    <row r="69" spans="1:18" x14ac:dyDescent="0.25">
      <c r="A69" t="s">
        <v>45</v>
      </c>
      <c r="B69" s="6">
        <v>0</v>
      </c>
      <c r="C69" s="6">
        <v>644236</v>
      </c>
      <c r="D69" s="6">
        <v>655173</v>
      </c>
      <c r="E69" s="6">
        <v>803207</v>
      </c>
      <c r="F69" s="6">
        <v>839362</v>
      </c>
      <c r="G69" s="6">
        <v>565968</v>
      </c>
      <c r="H69" s="34">
        <f ca="1">Debt_Schedule!H29</f>
        <v>528085.08511999797</v>
      </c>
      <c r="I69" s="34">
        <f ca="1">Debt_Schedule!I29</f>
        <v>529702.17038717866</v>
      </c>
      <c r="J69" s="34">
        <f ca="1">Debt_Schedule!J29</f>
        <v>531311.25814272277</v>
      </c>
      <c r="K69" s="34">
        <f ca="1">Debt_Schedule!K29</f>
        <v>532911.44999310421</v>
      </c>
      <c r="L69" s="34">
        <f ca="1">Debt_Schedule!L29</f>
        <v>108994.27538286464</v>
      </c>
      <c r="M69" s="34">
        <f ca="1">Debt_Schedule!M29</f>
        <v>149070.95748124828</v>
      </c>
      <c r="N69" s="195"/>
      <c r="O69" s="195"/>
      <c r="P69" s="197"/>
      <c r="Q69" s="197"/>
      <c r="R69" s="197"/>
    </row>
    <row r="70" spans="1:18" x14ac:dyDescent="0.25">
      <c r="A70" t="s">
        <v>46</v>
      </c>
      <c r="B70" s="6">
        <v>3857</v>
      </c>
      <c r="C70" s="6">
        <v>18291</v>
      </c>
      <c r="D70" s="6">
        <v>50905</v>
      </c>
      <c r="E70" s="6">
        <v>55637</v>
      </c>
      <c r="F70" s="6">
        <v>87924</v>
      </c>
      <c r="G70" s="6">
        <v>69269</v>
      </c>
      <c r="H70" s="34">
        <f ca="1">Schedules!I52</f>
        <v>70932.760543979588</v>
      </c>
      <c r="I70" s="34">
        <f ca="1">Schedules!J52</f>
        <v>71797.3537683834</v>
      </c>
      <c r="J70" s="34">
        <f ca="1">Schedules!K52</f>
        <v>75011.788493376473</v>
      </c>
      <c r="K70" s="34">
        <f ca="1">Schedules!L52</f>
        <v>73320.236809723603</v>
      </c>
      <c r="L70" s="34">
        <f ca="1">Schedules!M52</f>
        <v>78459.566130014427</v>
      </c>
      <c r="M70" s="34">
        <f ca="1">Schedules!N52</f>
        <v>76608.377640690669</v>
      </c>
      <c r="P70" s="34"/>
      <c r="Q70" s="34"/>
      <c r="R70" s="34"/>
    </row>
    <row r="71" spans="1:18" ht="15.75" thickBot="1" x14ac:dyDescent="0.3">
      <c r="A71" s="32" t="s">
        <v>47</v>
      </c>
      <c r="B71" s="33">
        <f>SUM(B63:B70)</f>
        <v>2837299</v>
      </c>
      <c r="C71" s="33">
        <f t="shared" ref="C71:M71" si="39">SUM(C63:C70)</f>
        <v>3002801</v>
      </c>
      <c r="D71" s="33">
        <f t="shared" si="39"/>
        <v>3432671</v>
      </c>
      <c r="E71" s="33">
        <f t="shared" si="39"/>
        <v>4167763</v>
      </c>
      <c r="F71" s="33">
        <f t="shared" si="39"/>
        <v>4022949</v>
      </c>
      <c r="G71" s="33">
        <f t="shared" si="39"/>
        <v>4668053</v>
      </c>
      <c r="H71" s="33">
        <f t="shared" ca="1" si="39"/>
        <v>4621915.8409644328</v>
      </c>
      <c r="I71" s="33">
        <f t="shared" ca="1" si="39"/>
        <v>5107971.5250079669</v>
      </c>
      <c r="J71" s="33">
        <f t="shared" ca="1" si="39"/>
        <v>5730528.0604996793</v>
      </c>
      <c r="K71" s="33">
        <f t="shared" ca="1" si="39"/>
        <v>6528285.0285709975</v>
      </c>
      <c r="L71" s="33">
        <f t="shared" ca="1" si="39"/>
        <v>7580934.4947106773</v>
      </c>
      <c r="M71" s="33">
        <f t="shared" ca="1" si="39"/>
        <v>8590101.3274942432</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11486027.003842805</v>
      </c>
      <c r="I76" s="34">
        <f ca="1">APIC!I17+Schedules!J90</f>
        <v>11554884.157016577</v>
      </c>
      <c r="J76" s="34">
        <f ca="1">APIC!J17+Schedules!K90</f>
        <v>11570519.829342829</v>
      </c>
      <c r="K76" s="34">
        <f ca="1">APIC!K17+Schedules!L90</f>
        <v>11550631.580176907</v>
      </c>
      <c r="L76" s="34">
        <f ca="1">APIC!L17+Schedules!M90</f>
        <v>10656961.366100214</v>
      </c>
      <c r="M76" s="34">
        <f ca="1">APIC!M17+Schedules!N90</f>
        <v>11042560.269346988</v>
      </c>
    </row>
    <row r="77" spans="1:18" x14ac:dyDescent="0.25">
      <c r="A77" s="36" t="s">
        <v>52</v>
      </c>
      <c r="B77" s="28">
        <v>2725</v>
      </c>
      <c r="C77" s="28">
        <f>B77+C37</f>
        <v>-473</v>
      </c>
      <c r="D77" s="28">
        <f t="shared" ref="D77:G77" si="40">C77+D37</f>
        <v>-2511</v>
      </c>
      <c r="E77" s="28">
        <f t="shared" si="40"/>
        <v>-5754</v>
      </c>
      <c r="F77" s="28">
        <f t="shared" si="40"/>
        <v>-4949</v>
      </c>
      <c r="G77" s="28">
        <f t="shared" si="40"/>
        <v>-10103</v>
      </c>
      <c r="H77" s="90">
        <f ca="1">G77+H35</f>
        <v>-15200.178405653613</v>
      </c>
      <c r="I77" s="90">
        <f t="shared" ref="I77:M77" ca="1" si="41">H77+I35</f>
        <v>-20377.190243302179</v>
      </c>
      <c r="J77" s="90">
        <f t="shared" ca="1" si="41"/>
        <v>-25734.739189631266</v>
      </c>
      <c r="K77" s="90">
        <f t="shared" ca="1" si="41"/>
        <v>-31276.435986814478</v>
      </c>
      <c r="L77" s="90">
        <f t="shared" ca="1" si="41"/>
        <v>-37005.963591868902</v>
      </c>
      <c r="M77" s="90">
        <f t="shared" ca="1" si="41"/>
        <v>-42927.078620951965</v>
      </c>
    </row>
    <row r="78" spans="1:18" x14ac:dyDescent="0.25">
      <c r="A78" s="36" t="s">
        <v>53</v>
      </c>
      <c r="B78" s="6">
        <v>-5547571</v>
      </c>
      <c r="C78" s="6">
        <v>-7300428</v>
      </c>
      <c r="D78" s="6">
        <v>-8362572</v>
      </c>
      <c r="E78" s="6">
        <v>-9940595</v>
      </c>
      <c r="F78" s="6">
        <v>-10280915</v>
      </c>
      <c r="G78" s="6">
        <v>-10258131</v>
      </c>
      <c r="H78" s="34">
        <f ca="1">G78+H19</f>
        <v>-10961448.444581036</v>
      </c>
      <c r="I78" s="34">
        <f t="shared" ref="I78:M78" ca="1" si="42">H78+I19</f>
        <v>-11735591.335762203</v>
      </c>
      <c r="J78" s="34">
        <f t="shared" ca="1" si="42"/>
        <v>-12565812.903683776</v>
      </c>
      <c r="K78" s="34">
        <f t="shared" ca="1" si="42"/>
        <v>-13474031.85429799</v>
      </c>
      <c r="L78" s="34">
        <f t="shared" ca="1" si="42"/>
        <v>-14447739.869267441</v>
      </c>
      <c r="M78" s="34">
        <f t="shared" ca="1" si="42"/>
        <v>-15498219.370625261</v>
      </c>
    </row>
    <row r="79" spans="1:18" ht="15.75" thickBot="1" x14ac:dyDescent="0.3">
      <c r="A79" s="37" t="s">
        <v>54</v>
      </c>
      <c r="B79" s="38">
        <f>SUM(B74:B78)</f>
        <v>2854084</v>
      </c>
      <c r="C79" s="38">
        <f>SUM(C74:C78)</f>
        <v>1676163</v>
      </c>
      <c r="D79" s="38">
        <f t="shared" ref="D79:M79" si="43">SUM(D74:D78)</f>
        <v>1341213</v>
      </c>
      <c r="E79" s="38">
        <f t="shared" si="43"/>
        <v>388668</v>
      </c>
      <c r="F79" s="38">
        <f t="shared" si="43"/>
        <v>541518</v>
      </c>
      <c r="G79" s="38">
        <f>SUM(G74:G78)</f>
        <v>767016</v>
      </c>
      <c r="H79" s="38">
        <f t="shared" ca="1" si="43"/>
        <v>509382.78021940775</v>
      </c>
      <c r="I79" s="38">
        <f t="shared" ca="1" si="43"/>
        <v>-201079.74392008968</v>
      </c>
      <c r="J79" s="38">
        <f t="shared" ca="1" si="43"/>
        <v>-1021022.9548574518</v>
      </c>
      <c r="K79" s="38">
        <f t="shared" ca="1" si="43"/>
        <v>-1954671.6064413451</v>
      </c>
      <c r="L79" s="38">
        <f t="shared" ca="1" si="43"/>
        <v>-3827779.0995076653</v>
      </c>
      <c r="M79" s="38">
        <f t="shared" ca="1" si="43"/>
        <v>-4498580.516547855</v>
      </c>
    </row>
    <row r="80" spans="1:18" x14ac:dyDescent="0.25">
      <c r="A80" s="11"/>
      <c r="B80" s="31"/>
      <c r="C80" s="31"/>
      <c r="D80" s="31"/>
      <c r="E80" s="31"/>
      <c r="F80" s="31"/>
      <c r="G80" s="31"/>
    </row>
    <row r="81" spans="1:15" ht="15.75" thickBot="1" x14ac:dyDescent="0.3">
      <c r="A81" s="39" t="s">
        <v>55</v>
      </c>
      <c r="B81" s="40">
        <f t="shared" ref="B81:M81" si="44">SUM(B79,B71)</f>
        <v>5691383</v>
      </c>
      <c r="C81" s="40">
        <f t="shared" si="44"/>
        <v>4678964</v>
      </c>
      <c r="D81" s="40">
        <f t="shared" si="44"/>
        <v>4773884</v>
      </c>
      <c r="E81" s="40">
        <f t="shared" si="44"/>
        <v>4556431</v>
      </c>
      <c r="F81" s="40">
        <f t="shared" si="44"/>
        <v>4564467</v>
      </c>
      <c r="G81" s="40">
        <f t="shared" si="44"/>
        <v>5435069</v>
      </c>
      <c r="H81" s="40">
        <f t="shared" ca="1" si="44"/>
        <v>5131298.6211838406</v>
      </c>
      <c r="I81" s="40">
        <f t="shared" ca="1" si="44"/>
        <v>4906891.7810878772</v>
      </c>
      <c r="J81" s="40">
        <f t="shared" ca="1" si="44"/>
        <v>4709505.1056422275</v>
      </c>
      <c r="K81" s="40">
        <f t="shared" ca="1" si="44"/>
        <v>4573613.4221296525</v>
      </c>
      <c r="L81" s="40">
        <f t="shared" ca="1" si="44"/>
        <v>3753155.395203012</v>
      </c>
      <c r="M81" s="40">
        <f t="shared" ca="1" si="44"/>
        <v>4091520.8109463882</v>
      </c>
    </row>
    <row r="82" spans="1:15" ht="15.75" thickTop="1" x14ac:dyDescent="0.25">
      <c r="A82" s="192" t="s">
        <v>318</v>
      </c>
      <c r="B82" s="191">
        <f>B59-(B71+B79)</f>
        <v>0</v>
      </c>
      <c r="C82" s="191">
        <f t="shared" ref="C82:M82" si="45">C59-(C71+C79)</f>
        <v>0</v>
      </c>
      <c r="D82" s="191">
        <f t="shared" si="45"/>
        <v>0</v>
      </c>
      <c r="E82" s="191">
        <f t="shared" si="45"/>
        <v>0</v>
      </c>
      <c r="F82" s="191">
        <f t="shared" si="45"/>
        <v>0</v>
      </c>
      <c r="G82" s="191">
        <f t="shared" si="45"/>
        <v>0</v>
      </c>
      <c r="H82" s="191">
        <f ca="1">H59-(H71+H79)</f>
        <v>0</v>
      </c>
      <c r="I82" s="191">
        <f t="shared" ca="1" si="45"/>
        <v>0</v>
      </c>
      <c r="J82" s="191">
        <f t="shared" ca="1" si="45"/>
        <v>0</v>
      </c>
      <c r="K82" s="191">
        <f t="shared" ca="1" si="45"/>
        <v>0</v>
      </c>
      <c r="L82" s="191">
        <f t="shared" ca="1" si="45"/>
        <v>0</v>
      </c>
      <c r="M82" s="191">
        <f t="shared" ca="1" si="45"/>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46">C87+1</f>
        <v>2021</v>
      </c>
      <c r="E87" s="135">
        <f t="shared" ref="E87" si="47">D87+1</f>
        <v>2022</v>
      </c>
      <c r="F87" s="135">
        <f t="shared" ref="F87" si="48">E87+1</f>
        <v>2023</v>
      </c>
      <c r="G87" s="135">
        <f t="shared" ref="G87" si="49">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t="shared" ref="H89:M89" ca="1" si="50">H19</f>
        <v>-703317.44458103599</v>
      </c>
      <c r="I89" s="34">
        <f t="shared" ca="1" si="50"/>
        <v>-774142.89118116675</v>
      </c>
      <c r="J89" s="34">
        <f t="shared" ca="1" si="50"/>
        <v>-830221.56792157306</v>
      </c>
      <c r="K89" s="34">
        <f t="shared" ca="1" si="50"/>
        <v>-908218.95061421453</v>
      </c>
      <c r="L89" s="34">
        <f t="shared" ca="1" si="50"/>
        <v>-973708.01496945054</v>
      </c>
      <c r="M89" s="34">
        <f t="shared" ca="1" si="50"/>
        <v>-1050479.501357819</v>
      </c>
      <c r="O89" s="42"/>
    </row>
    <row r="90" spans="1:15" x14ac:dyDescent="0.25">
      <c r="A90" t="s">
        <v>294</v>
      </c>
      <c r="B90" s="6">
        <v>1704718</v>
      </c>
      <c r="C90" s="6">
        <v>710006</v>
      </c>
      <c r="D90" s="6">
        <v>791644</v>
      </c>
      <c r="E90" s="6">
        <v>986749</v>
      </c>
      <c r="F90" s="6">
        <v>520376</v>
      </c>
      <c r="G90" s="6">
        <v>375099</v>
      </c>
      <c r="H90" s="185">
        <f ca="1">SUM(H24:H28)+Schedules!I69+Schedules!I62+Schedules!I28</f>
        <v>162606.10805464035</v>
      </c>
      <c r="I90" s="185">
        <f ca="1">SUM(I24:I28)+Schedules!J69+Schedules!J62+Schedules!J28</f>
        <v>155693.52434829233</v>
      </c>
      <c r="J90" s="185">
        <f ca="1">SUM(J24:J28)+Schedules!K69+Schedules!K62+Schedules!K28</f>
        <v>103680.36462353043</v>
      </c>
      <c r="K90" s="185">
        <f ca="1">SUM(K24:K28)+Schedules!L69+Schedules!L62+Schedules!L28</f>
        <v>69383.564831891243</v>
      </c>
      <c r="L90" s="185">
        <f ca="1">SUM(L24:L28)+Schedules!M69+Schedules!M62+Schedules!M28</f>
        <v>47862.891795189164</v>
      </c>
      <c r="M90" s="185">
        <f ca="1">SUM(M24:M28)+Schedules!N69+Schedules!N62+Schedules!N28</f>
        <v>29625.591049145369</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ca="1">(G50+G58)-(H50+H58)</f>
        <v>-9190.1714399594348</v>
      </c>
      <c r="I92" s="34">
        <f t="shared" ref="I92:M92" ca="1" si="51">(H50+H58)-(I50+I58)</f>
        <v>-15368.160073674051</v>
      </c>
      <c r="J92" s="34">
        <f t="shared" ca="1" si="51"/>
        <v>-15608.860489568557</v>
      </c>
      <c r="K92" s="34">
        <f t="shared" ca="1" si="51"/>
        <v>-15853.330822612159</v>
      </c>
      <c r="L92" s="34">
        <f t="shared" ca="1" si="51"/>
        <v>-16101.630118300323</v>
      </c>
      <c r="M92" s="34">
        <f t="shared" ca="1" si="51"/>
        <v>-16353.818346915534</v>
      </c>
      <c r="O92" s="42"/>
    </row>
    <row r="93" spans="1:15" x14ac:dyDescent="0.25">
      <c r="A93" s="36" t="s">
        <v>69</v>
      </c>
      <c r="B93" s="6">
        <v>108600</v>
      </c>
      <c r="C93" s="6">
        <v>61201</v>
      </c>
      <c r="D93" s="6">
        <v>61301</v>
      </c>
      <c r="E93" s="6">
        <v>96317</v>
      </c>
      <c r="F93" s="6">
        <v>20046</v>
      </c>
      <c r="G93" s="6">
        <v>26276</v>
      </c>
      <c r="H93" s="34">
        <f ca="1">Schedules!H32-Schedules!I32</f>
        <v>-2324.2352660473261</v>
      </c>
      <c r="I93" s="34">
        <f ca="1">Schedules!I32-Schedules!J32</f>
        <v>-2360.6380880177021</v>
      </c>
      <c r="J93" s="34">
        <f ca="1">Schedules!J32-Schedules!K32</f>
        <v>-2397.6110611542535</v>
      </c>
      <c r="K93" s="34">
        <f ca="1">Schedules!K32-Schedules!L32</f>
        <v>-2435.1631153238122</v>
      </c>
      <c r="L93" s="34">
        <f ca="1">Schedules!L32-Schedules!M32</f>
        <v>-2473.303320255276</v>
      </c>
      <c r="M93" s="34">
        <f ca="1">Schedules!M32-Schedules!N32</f>
        <v>-2512.0408877301379</v>
      </c>
      <c r="O93" s="42"/>
    </row>
    <row r="94" spans="1:15" x14ac:dyDescent="0.25">
      <c r="A94" s="180" t="s">
        <v>39</v>
      </c>
      <c r="B94" s="6">
        <v>5067</v>
      </c>
      <c r="C94" s="6">
        <v>44489</v>
      </c>
      <c r="D94" s="6">
        <v>47080</v>
      </c>
      <c r="E94" s="6">
        <v>-27215</v>
      </c>
      <c r="F94" s="6">
        <v>-41079</v>
      </c>
      <c r="G94" s="6">
        <v>21712</v>
      </c>
      <c r="H94" s="34">
        <f ca="1">H63-G63</f>
        <v>9600.3343194741465</v>
      </c>
      <c r="I94" s="34">
        <f t="shared" ref="I94:M94" ca="1" si="52">I63-H63</f>
        <v>10543.657203344541</v>
      </c>
      <c r="J94" s="34">
        <f t="shared" ca="1" si="52"/>
        <v>11579.670407533107</v>
      </c>
      <c r="K94" s="34">
        <f t="shared" ca="1" si="52"/>
        <v>12717.481625309636</v>
      </c>
      <c r="L94" s="34">
        <f t="shared" ca="1" si="52"/>
        <v>13967.093466224469</v>
      </c>
      <c r="M94" s="34">
        <f t="shared" ca="1" si="52"/>
        <v>15339.491390025942</v>
      </c>
      <c r="O94" s="42"/>
    </row>
    <row r="95" spans="1:15" x14ac:dyDescent="0.25">
      <c r="A95" s="36" t="s">
        <v>40</v>
      </c>
      <c r="B95" s="6">
        <v>568190</v>
      </c>
      <c r="C95" s="6">
        <v>-391398</v>
      </c>
      <c r="D95" s="6">
        <v>81564</v>
      </c>
      <c r="E95" s="6">
        <v>348721</v>
      </c>
      <c r="F95" s="6">
        <v>-79482</v>
      </c>
      <c r="G95" s="6">
        <v>363524</v>
      </c>
      <c r="H95" s="90">
        <f ca="1">H64-G64</f>
        <v>204152.8306418627</v>
      </c>
      <c r="I95" s="90">
        <f t="shared" ref="I95:M95" ca="1" si="53">I64-H64</f>
        <v>290395.27684607799</v>
      </c>
      <c r="J95" s="90">
        <f t="shared" ca="1" si="53"/>
        <v>405805.57590709906</v>
      </c>
      <c r="K95" s="90">
        <f t="shared" ca="1" si="53"/>
        <v>565333.59392212238</v>
      </c>
      <c r="L95" s="90">
        <f t="shared" ca="1" si="53"/>
        <v>790798.55050812894</v>
      </c>
      <c r="M95" s="90">
        <f t="shared" ca="1" si="53"/>
        <v>1116503.6355554732</v>
      </c>
      <c r="O95" s="42"/>
    </row>
    <row r="96" spans="1:15" x14ac:dyDescent="0.25">
      <c r="A96" s="180" t="s">
        <v>70</v>
      </c>
      <c r="B96" s="6">
        <v>332363</v>
      </c>
      <c r="C96" s="6">
        <v>-36679</v>
      </c>
      <c r="D96" s="6">
        <v>234212</v>
      </c>
      <c r="E96" s="6">
        <v>262358</v>
      </c>
      <c r="F96" s="6">
        <v>-75571</v>
      </c>
      <c r="G96" s="6">
        <v>164057</v>
      </c>
      <c r="H96" s="34">
        <f ca="1">(H65+H70)-(G65+G70)</f>
        <v>165391.20127501152</v>
      </c>
      <c r="I96" s="34">
        <f t="shared" ref="I96:M96" ca="1" si="54">(I65+I70)-(H65+H70)</f>
        <v>180679.79052926879</v>
      </c>
      <c r="J96" s="34">
        <f t="shared" ca="1" si="54"/>
        <v>200698.16156650893</v>
      </c>
      <c r="K96" s="34">
        <f t="shared" ca="1" si="54"/>
        <v>215196.80342624709</v>
      </c>
      <c r="L96" s="34">
        <f t="shared" ca="1" si="54"/>
        <v>243338.99941274989</v>
      </c>
      <c r="M96" s="34">
        <f t="shared" ca="1" si="54"/>
        <v>259753.83315144433</v>
      </c>
      <c r="O96" s="42"/>
    </row>
    <row r="97" spans="1:16" x14ac:dyDescent="0.25">
      <c r="A97" s="36" t="s">
        <v>71</v>
      </c>
      <c r="B97" s="6">
        <v>-102946</v>
      </c>
      <c r="C97" s="6">
        <v>-53234</v>
      </c>
      <c r="D97" s="6">
        <v>-48332</v>
      </c>
      <c r="E97" s="6">
        <v>-43759</v>
      </c>
      <c r="F97" s="6">
        <v>-15292</v>
      </c>
      <c r="G97" s="6">
        <v>-47356</v>
      </c>
      <c r="H97" s="34">
        <f ca="1">(H68+H66)-(G68+G66)</f>
        <v>2776.3896080860577</v>
      </c>
      <c r="I97" s="34">
        <f t="shared" ref="I97:M97" ca="1" si="55">(I68+I66)-(H68+H66)</f>
        <v>2819.8741976626625</v>
      </c>
      <c r="J97" s="34">
        <f t="shared" ca="1" si="55"/>
        <v>2864.0398550278624</v>
      </c>
      <c r="K97" s="34">
        <f t="shared" ca="1" si="55"/>
        <v>2908.8972472556052</v>
      </c>
      <c r="L97" s="34">
        <f t="shared" ca="1" si="55"/>
        <v>2954.457208490523</v>
      </c>
      <c r="M97" s="34">
        <f t="shared" ca="1" si="55"/>
        <v>3000.7307425646868</v>
      </c>
      <c r="O97" s="42"/>
    </row>
    <row r="98" spans="1:16" ht="15.75" thickBot="1" x14ac:dyDescent="0.3">
      <c r="A98" s="45" t="s">
        <v>72</v>
      </c>
      <c r="B98" s="38">
        <f t="shared" ref="B98:M98" si="56">SUM(B89:B97)</f>
        <v>-105702</v>
      </c>
      <c r="C98" s="38">
        <f t="shared" si="56"/>
        <v>-1378899</v>
      </c>
      <c r="D98" s="38">
        <f t="shared" si="56"/>
        <v>-101721</v>
      </c>
      <c r="E98" s="38">
        <f t="shared" si="56"/>
        <v>-237285</v>
      </c>
      <c r="F98" s="38">
        <f t="shared" si="56"/>
        <v>-98244</v>
      </c>
      <c r="G98" s="38">
        <f t="shared" si="56"/>
        <v>849737</v>
      </c>
      <c r="H98" s="38">
        <f ca="1">SUM(H89:H97)</f>
        <v>-170304.98738796791</v>
      </c>
      <c r="I98" s="38">
        <f t="shared" ca="1" si="56"/>
        <v>-151739.56621821228</v>
      </c>
      <c r="J98" s="38">
        <f t="shared" ca="1" si="56"/>
        <v>-123600.22711259656</v>
      </c>
      <c r="K98" s="38">
        <f t="shared" ca="1" si="56"/>
        <v>-60967.103499324468</v>
      </c>
      <c r="L98" s="38">
        <f t="shared" ca="1" si="56"/>
        <v>106639.04398277687</v>
      </c>
      <c r="M98" s="38">
        <f t="shared" ca="1" si="56"/>
        <v>354877.92129618884</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ca="1">G49-H49</f>
        <v>-324157.96208816487</v>
      </c>
      <c r="I101" s="28">
        <f t="shared" ref="I101:M101" ca="1" si="57">H49-I49</f>
        <v>-324298.1664847252</v>
      </c>
      <c r="J101" s="28">
        <f t="shared" ca="1" si="57"/>
        <v>-330601.91659354465</v>
      </c>
      <c r="K101" s="28">
        <f t="shared" ca="1" si="57"/>
        <v>-336369.39826267725</v>
      </c>
      <c r="L101" s="28">
        <f t="shared" ca="1" si="57"/>
        <v>-344735.02119442262</v>
      </c>
      <c r="M101" s="28">
        <f t="shared" ca="1" si="57"/>
        <v>-354965.18743082555</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ca="1">G52-H52</f>
        <v>-91824.927149336319</v>
      </c>
      <c r="I102" s="28">
        <f t="shared" ref="I102:M102" ca="1" si="58">H52-I52</f>
        <v>-332574.2157787371</v>
      </c>
      <c r="J102" s="28">
        <f t="shared" ca="1" si="58"/>
        <v>-337344.18206923897</v>
      </c>
      <c r="K102" s="28">
        <f t="shared" ca="1" si="58"/>
        <v>-344571.19593161019</v>
      </c>
      <c r="L102" s="28">
        <f t="shared" ca="1" si="58"/>
        <v>-348135.27155827451</v>
      </c>
      <c r="M102" s="28">
        <f t="shared" ca="1" si="58"/>
        <v>-355038.98110991111</v>
      </c>
      <c r="P102" s="42"/>
    </row>
    <row r="103" spans="1:16" x14ac:dyDescent="0.25">
      <c r="A103" t="s">
        <v>178</v>
      </c>
      <c r="B103" s="6">
        <v>-170957</v>
      </c>
      <c r="C103" s="6">
        <v>-62745</v>
      </c>
      <c r="D103" s="6">
        <v>-36633</v>
      </c>
      <c r="E103" s="6">
        <v>14870</v>
      </c>
      <c r="F103" s="6">
        <v>-57225</v>
      </c>
      <c r="G103" s="6">
        <v>8575</v>
      </c>
      <c r="H103" s="28">
        <f ca="1">G54-H54</f>
        <v>26234.907959245029</v>
      </c>
      <c r="I103" s="28">
        <f t="shared" ref="I103:M103" ca="1" si="59">H54-I54</f>
        <v>-6556.6857760903658</v>
      </c>
      <c r="J103" s="28">
        <f t="shared" ca="1" si="59"/>
        <v>-6659.378420208348</v>
      </c>
      <c r="K103" s="28">
        <f t="shared" ca="1" si="59"/>
        <v>-6763.6794652040699</v>
      </c>
      <c r="L103" s="28">
        <f t="shared" ca="1" si="59"/>
        <v>-6869.6141023008386</v>
      </c>
      <c r="M103" s="28">
        <f t="shared" ca="1" si="59"/>
        <v>-6977.2079172749072</v>
      </c>
      <c r="P103" s="42"/>
    </row>
    <row r="104" spans="1:16" x14ac:dyDescent="0.25">
      <c r="A104" t="s">
        <v>301</v>
      </c>
      <c r="B104" s="6">
        <v>-12323</v>
      </c>
      <c r="C104" s="6">
        <v>-12342</v>
      </c>
      <c r="D104" s="6">
        <v>120691</v>
      </c>
      <c r="E104" s="6">
        <v>-146334</v>
      </c>
      <c r="F104" s="6">
        <v>7130</v>
      </c>
      <c r="G104" s="6">
        <v>1303</v>
      </c>
      <c r="H104" s="28">
        <f t="shared" ref="H104:M104" ca="1" si="60">(G56+G57)-(H56+H57)</f>
        <v>-32231.584874750872</v>
      </c>
      <c r="I104" s="28">
        <f t="shared" ca="1" si="60"/>
        <v>-206.65506782144075</v>
      </c>
      <c r="J104" s="28">
        <f t="shared" ca="1" si="60"/>
        <v>-3308.032441517862</v>
      </c>
      <c r="K104" s="28">
        <f t="shared" ca="1" si="60"/>
        <v>-4207.6442414988996</v>
      </c>
      <c r="L104" s="28">
        <f t="shared" ca="1" si="60"/>
        <v>-2927.2416338571929</v>
      </c>
      <c r="M104" s="28">
        <f t="shared" ca="1" si="60"/>
        <v>-5600.410501681501</v>
      </c>
      <c r="P104" s="42"/>
    </row>
    <row r="105" spans="1:16" ht="15.75" thickBot="1" x14ac:dyDescent="0.3">
      <c r="A105" s="45" t="s">
        <v>74</v>
      </c>
      <c r="B105" s="38">
        <f t="shared" ref="B105:M105" si="61">SUM(B101:B104)</f>
        <v>-1610843</v>
      </c>
      <c r="C105" s="38">
        <f t="shared" si="61"/>
        <v>740427</v>
      </c>
      <c r="D105" s="38">
        <f t="shared" si="61"/>
        <v>267012</v>
      </c>
      <c r="E105" s="38">
        <f t="shared" si="61"/>
        <v>186045</v>
      </c>
      <c r="F105" s="38">
        <f t="shared" si="61"/>
        <v>599753</v>
      </c>
      <c r="G105" s="38">
        <f t="shared" si="61"/>
        <v>-517978</v>
      </c>
      <c r="H105" s="38">
        <f t="shared" ca="1" si="61"/>
        <v>-421979.56615300704</v>
      </c>
      <c r="I105" s="38">
        <f t="shared" ca="1" si="61"/>
        <v>-663635.72310737404</v>
      </c>
      <c r="J105" s="38">
        <f t="shared" ca="1" si="61"/>
        <v>-677913.50952450978</v>
      </c>
      <c r="K105" s="38">
        <f t="shared" ca="1" si="61"/>
        <v>-691911.91790099035</v>
      </c>
      <c r="L105" s="38">
        <f t="shared" ca="1" si="61"/>
        <v>-702667.14848885522</v>
      </c>
      <c r="M105" s="38">
        <f t="shared" ca="1" si="61"/>
        <v>-722581.78695969307</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-68242.752436816256</v>
      </c>
      <c r="I109" s="90">
        <f ca="1">(-Debt_Schedule!I70*Debt_Schedule!I26)+(Debt_Schedule!I27)+(Debt_Schedule!I29-Debt_Schedule!H29)</f>
        <v>-28835.719213734348</v>
      </c>
      <c r="J109" s="90">
        <f ca="1">(-Debt_Schedule!J70*Debt_Schedule!J26)+(Debt_Schedule!J27)+(Debt_Schedule!J29-Debt_Schedule!I29)</f>
        <v>-28936.223869104924</v>
      </c>
      <c r="K109" s="90">
        <f ca="1">(-Debt_Schedule!K70*Debt_Schedule!K26)+(Debt_Schedule!K27)+(Debt_Schedule!K29-Debt_Schedule!J29)</f>
        <v>-29037.115488606476</v>
      </c>
      <c r="L109" s="90">
        <f ca="1">(-Debt_Schedule!L70*Debt_Schedule!L26)+(Debt_Schedule!L27)+(Debt_Schedule!L29-Debt_Schedule!K29)</f>
        <v>-880153.45289933868</v>
      </c>
      <c r="M109" s="90">
        <f ca="1">(-Debt_Schedule!M70*Debt_Schedule!M26)+(Debt_Schedule!M27)+(Debt_Schedule!M29-Debt_Schedule!L29)</f>
        <v>31506.528952435467</v>
      </c>
    </row>
    <row r="110" spans="1:16" x14ac:dyDescent="0.25">
      <c r="A110" t="s">
        <v>312</v>
      </c>
      <c r="B110" s="34">
        <v>-909833</v>
      </c>
      <c r="C110" s="34">
        <v>-37355</v>
      </c>
      <c r="D110" s="34">
        <v>-28024</v>
      </c>
      <c r="E110" s="34">
        <v>-19861</v>
      </c>
      <c r="F110" s="34">
        <v>-49594</v>
      </c>
      <c r="G110" s="34">
        <v>-72025</v>
      </c>
      <c r="H110" s="90">
        <f ca="1">Mark_Secs!I42</f>
        <v>-58917.851002632538</v>
      </c>
      <c r="I110" s="90">
        <f ca="1">Mark_Secs!J42</f>
        <v>-59840.638842683504</v>
      </c>
      <c r="J110" s="90">
        <f ca="1">Mark_Secs!K42</f>
        <v>-61077.010720015569</v>
      </c>
      <c r="K110" s="90">
        <f ca="1">Mark_Secs!L42</f>
        <v>-62335.10243004738</v>
      </c>
      <c r="L110" s="90">
        <f ca="1">Mark_Secs!M42</f>
        <v>-63615.30126348573</v>
      </c>
      <c r="M110" s="90">
        <f ca="1">Mark_Secs!N42</f>
        <v>-64918.001519065001</v>
      </c>
    </row>
    <row r="111" spans="1:16" ht="15.75" thickBot="1" x14ac:dyDescent="0.3">
      <c r="A111" s="48" t="s">
        <v>80</v>
      </c>
      <c r="B111" s="38">
        <f t="shared" ref="B111:M111" si="62">SUM(B108:B110)</f>
        <v>1574196</v>
      </c>
      <c r="C111" s="38">
        <f t="shared" si="62"/>
        <v>512566</v>
      </c>
      <c r="D111" s="38">
        <f t="shared" si="62"/>
        <v>-72470</v>
      </c>
      <c r="E111" s="38">
        <f t="shared" si="62"/>
        <v>-87500</v>
      </c>
      <c r="F111" s="38">
        <f t="shared" si="62"/>
        <v>-122078</v>
      </c>
      <c r="G111" s="38">
        <f t="shared" si="62"/>
        <v>-155869</v>
      </c>
      <c r="H111" s="38">
        <f t="shared" ca="1" si="62"/>
        <v>-127160.60343944879</v>
      </c>
      <c r="I111" s="38">
        <f t="shared" ca="1" si="62"/>
        <v>-88676.358056417856</v>
      </c>
      <c r="J111" s="38">
        <f t="shared" ca="1" si="62"/>
        <v>-90013.23458912049</v>
      </c>
      <c r="K111" s="38">
        <f t="shared" ca="1" si="62"/>
        <v>-91372.217918653856</v>
      </c>
      <c r="L111" s="38">
        <f t="shared" ca="1" si="62"/>
        <v>-943768.75416282436</v>
      </c>
      <c r="M111" s="38">
        <f t="shared" ca="1" si="62"/>
        <v>-33411.472566629534</v>
      </c>
    </row>
    <row r="112" spans="1:16" x14ac:dyDescent="0.25">
      <c r="A112" s="46"/>
      <c r="B112" s="46"/>
      <c r="C112" s="6"/>
      <c r="D112" s="6"/>
      <c r="E112" s="6"/>
      <c r="F112" s="6"/>
      <c r="G112" s="6"/>
      <c r="H112" s="42">
        <f ca="1">H69-G69</f>
        <v>-37882.914880002034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-1693.1946947511292</v>
      </c>
      <c r="I114" s="34">
        <f ca="1">H114*(1+Assumptions!J3)</f>
        <v>-1719.7139830239703</v>
      </c>
      <c r="J114" s="34">
        <f ca="1">I114*(1+Assumptions!K3)</f>
        <v>-1779.685294658758</v>
      </c>
      <c r="K114" s="34">
        <f ca="1">J114*(1+Assumptions!L3)</f>
        <v>-1840.8560325262404</v>
      </c>
      <c r="L114" s="34">
        <f ca="1">K114*(1+Assumptions!M3)</f>
        <v>-1903.250185151074</v>
      </c>
      <c r="M114" s="34">
        <f ca="1">L114*(1+Assumptions!N3)</f>
        <v>-1966.8922208284037</v>
      </c>
    </row>
    <row r="115" spans="1:13" x14ac:dyDescent="0.25">
      <c r="A115" s="14" t="s">
        <v>82</v>
      </c>
      <c r="B115" s="28">
        <f t="shared" ref="B115:M115" si="63">B98+B105+B111+B114</f>
        <v>-142021</v>
      </c>
      <c r="C115" s="28">
        <f t="shared" si="63"/>
        <v>-125980</v>
      </c>
      <c r="D115" s="28">
        <f t="shared" si="63"/>
        <v>92708</v>
      </c>
      <c r="E115" s="28">
        <f t="shared" si="63"/>
        <v>-139371</v>
      </c>
      <c r="F115" s="28">
        <f t="shared" si="63"/>
        <v>379964</v>
      </c>
      <c r="G115" s="28">
        <f t="shared" si="63"/>
        <v>174254</v>
      </c>
      <c r="H115" s="28">
        <f t="shared" ca="1" si="63"/>
        <v>-721138.3516751749</v>
      </c>
      <c r="I115" s="28">
        <f t="shared" ca="1" si="63"/>
        <v>-905771.36136502819</v>
      </c>
      <c r="J115" s="28">
        <f t="shared" ca="1" si="63"/>
        <v>-893306.65652088565</v>
      </c>
      <c r="K115" s="28">
        <f t="shared" ca="1" si="63"/>
        <v>-846092.09535149485</v>
      </c>
      <c r="L115" s="28">
        <f t="shared" ca="1" si="63"/>
        <v>-1541700.108854054</v>
      </c>
      <c r="M115" s="28">
        <f t="shared" ca="1" si="63"/>
        <v>-403082.23045096215</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M118" si="64">C119</f>
        <v>438485</v>
      </c>
      <c r="E118" s="6">
        <f t="shared" si="64"/>
        <v>531193</v>
      </c>
      <c r="F118" s="6">
        <f t="shared" si="64"/>
        <v>391822</v>
      </c>
      <c r="G118" s="6">
        <f t="shared" si="64"/>
        <v>771786</v>
      </c>
      <c r="H118" s="6">
        <f t="shared" si="64"/>
        <v>946040</v>
      </c>
      <c r="I118" s="6">
        <f t="shared" ca="1" si="64"/>
        <v>224901.6483248251</v>
      </c>
      <c r="J118" s="6">
        <f t="shared" ca="1" si="64"/>
        <v>-680869.71304020309</v>
      </c>
      <c r="K118" s="6">
        <f t="shared" ca="1" si="64"/>
        <v>-1574176.3695610887</v>
      </c>
      <c r="L118" s="6">
        <f t="shared" ca="1" si="64"/>
        <v>-2420268.4649125836</v>
      </c>
      <c r="M118" s="6">
        <f t="shared" ca="1" si="64"/>
        <v>-3961968.5737666376</v>
      </c>
    </row>
    <row r="119" spans="1:13" ht="15.75" thickBot="1" x14ac:dyDescent="0.3">
      <c r="A119" s="96" t="s">
        <v>85</v>
      </c>
      <c r="B119" s="132">
        <f>B118+B115</f>
        <v>564465</v>
      </c>
      <c r="C119" s="132">
        <f t="shared" ref="C119:M119" si="65">C118+C115</f>
        <v>438485</v>
      </c>
      <c r="D119" s="132">
        <f t="shared" si="65"/>
        <v>531193</v>
      </c>
      <c r="E119" s="132">
        <f t="shared" si="65"/>
        <v>391822</v>
      </c>
      <c r="F119" s="132">
        <f t="shared" si="65"/>
        <v>771786</v>
      </c>
      <c r="G119" s="132">
        <f t="shared" si="65"/>
        <v>946040</v>
      </c>
      <c r="H119" s="132">
        <f t="shared" ca="1" si="65"/>
        <v>224901.6483248251</v>
      </c>
      <c r="I119" s="132">
        <f t="shared" ca="1" si="65"/>
        <v>-680869.71304020309</v>
      </c>
      <c r="J119" s="132">
        <f t="shared" ca="1" si="65"/>
        <v>-1574176.3695610887</v>
      </c>
      <c r="K119" s="132">
        <f t="shared" ca="1" si="65"/>
        <v>-2420268.4649125836</v>
      </c>
      <c r="L119" s="132">
        <f t="shared" ca="1" si="65"/>
        <v>-3961968.5737666376</v>
      </c>
      <c r="M119" s="132">
        <f t="shared" ca="1" si="65"/>
        <v>-4365050.8042175993</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ca="1">H119*H128</f>
        <v>167505.08561341956</v>
      </c>
      <c r="I123" s="34">
        <f t="shared" ref="I123:M123" ca="1" si="66">I119*I128</f>
        <v>-519589.18322692317</v>
      </c>
      <c r="J123" s="34">
        <f t="shared" ca="1" si="66"/>
        <v>-1210200.8434602632</v>
      </c>
      <c r="K123" s="34">
        <f t="shared" ca="1" si="66"/>
        <v>-1823488.8223499819</v>
      </c>
      <c r="L123" s="34">
        <f t="shared" ca="1" si="66"/>
        <v>-3008836.0052139424</v>
      </c>
      <c r="M123" s="34">
        <f t="shared" ca="1" si="66"/>
        <v>-3340853.0586498477</v>
      </c>
    </row>
    <row r="124" spans="1:13" x14ac:dyDescent="0.25">
      <c r="A124" t="s">
        <v>29</v>
      </c>
      <c r="B124" s="52">
        <v>204976</v>
      </c>
      <c r="C124" s="52">
        <v>118559</v>
      </c>
      <c r="D124" s="52">
        <v>73205</v>
      </c>
      <c r="E124" s="52">
        <v>109368</v>
      </c>
      <c r="F124" s="52">
        <v>211786</v>
      </c>
      <c r="G124" s="52">
        <v>186721</v>
      </c>
      <c r="H124" s="34">
        <f ca="1">H129*H119</f>
        <v>57058.937873858071</v>
      </c>
      <c r="I124" s="34">
        <f t="shared" ref="I124:M124" ca="1" si="67">I129*I119</f>
        <v>-160323.25898356191</v>
      </c>
      <c r="J124" s="34">
        <f t="shared" ca="1" si="67"/>
        <v>-361508.31951940351</v>
      </c>
      <c r="K124" s="34">
        <f t="shared" ca="1" si="67"/>
        <v>-592857.61127315427</v>
      </c>
      <c r="L124" s="34">
        <f t="shared" ca="1" si="67"/>
        <v>-947940.87913110026</v>
      </c>
      <c r="M124" s="34">
        <f t="shared" ca="1" si="67"/>
        <v>-1018810.2982886744</v>
      </c>
    </row>
    <row r="125" spans="1:13" x14ac:dyDescent="0.25">
      <c r="A125" t="s">
        <v>87</v>
      </c>
      <c r="B125" s="52">
        <v>1170</v>
      </c>
      <c r="C125" s="52">
        <v>192</v>
      </c>
      <c r="D125" s="52">
        <v>663</v>
      </c>
      <c r="E125" s="52">
        <v>1364</v>
      </c>
      <c r="F125" s="52">
        <v>1364</v>
      </c>
      <c r="G125" s="52">
        <v>0</v>
      </c>
      <c r="H125" s="34">
        <f ca="1">H130*H119</f>
        <v>337.62483754745688</v>
      </c>
      <c r="I125" s="34">
        <f t="shared" ref="I125:M125" ca="1" si="68">I130*I119</f>
        <v>-957.27082971799405</v>
      </c>
      <c r="J125" s="34">
        <f t="shared" ca="1" si="68"/>
        <v>-2467.2065814221824</v>
      </c>
      <c r="K125" s="34">
        <f t="shared" ca="1" si="68"/>
        <v>-3922.0312894476192</v>
      </c>
      <c r="L125" s="34">
        <f t="shared" ca="1" si="68"/>
        <v>-5191.6894215947741</v>
      </c>
      <c r="M125" s="34">
        <f t="shared" ca="1" si="68"/>
        <v>-5387.4472790773152</v>
      </c>
    </row>
    <row r="126" spans="1:13" ht="15.75" thickBot="1" x14ac:dyDescent="0.3">
      <c r="A126" s="53" t="s">
        <v>88</v>
      </c>
      <c r="B126" s="54">
        <f>SUM(B123:B125)</f>
        <v>564465</v>
      </c>
      <c r="C126" s="54">
        <f t="shared" ref="C126:M126" si="69">SUM(C123:C125)</f>
        <v>438485</v>
      </c>
      <c r="D126" s="54">
        <f t="shared" si="69"/>
        <v>531193</v>
      </c>
      <c r="E126" s="54">
        <f t="shared" si="69"/>
        <v>391822</v>
      </c>
      <c r="F126" s="54">
        <f t="shared" si="69"/>
        <v>771786</v>
      </c>
      <c r="G126" s="54">
        <f t="shared" si="69"/>
        <v>946040</v>
      </c>
      <c r="H126" s="54">
        <f t="shared" ca="1" si="69"/>
        <v>224901.64832482507</v>
      </c>
      <c r="I126" s="54">
        <f t="shared" ca="1" si="69"/>
        <v>-680869.71304020309</v>
      </c>
      <c r="J126" s="54">
        <f t="shared" ca="1" si="69"/>
        <v>-1574176.3695610887</v>
      </c>
      <c r="K126" s="54">
        <f t="shared" ca="1" si="69"/>
        <v>-2420268.4649125836</v>
      </c>
      <c r="L126" s="54">
        <f t="shared" ca="1" si="69"/>
        <v>-3961968.5737666371</v>
      </c>
      <c r="M126" s="54">
        <f t="shared" ca="1" si="69"/>
        <v>-4365050.8042175993</v>
      </c>
    </row>
    <row r="127" spans="1:13" ht="15.75" thickTop="1" x14ac:dyDescent="0.25"/>
    <row r="128" spans="1:13" x14ac:dyDescent="0.25">
      <c r="A128" t="s">
        <v>260</v>
      </c>
      <c r="B128" s="63">
        <f>B123/B119</f>
        <v>0.63479400848591139</v>
      </c>
      <c r="C128" s="63">
        <f t="shared" ref="C128:G128" si="70">C123/C119</f>
        <v>0.72917887727060215</v>
      </c>
      <c r="D128" s="63">
        <f t="shared" si="70"/>
        <v>0.86093943256029348</v>
      </c>
      <c r="E128" s="63">
        <f t="shared" si="70"/>
        <v>0.71739208109804964</v>
      </c>
      <c r="F128" s="63">
        <f t="shared" si="70"/>
        <v>0.72382240672932652</v>
      </c>
      <c r="G128" s="63">
        <f t="shared" si="70"/>
        <v>0.80262885290262564</v>
      </c>
      <c r="H128" s="138">
        <f>AVERAGE(B128:G128)</f>
        <v>0.74479260984113482</v>
      </c>
      <c r="I128" s="139">
        <f t="shared" ref="I128:M130" si="71">AVERAGE(C128:H128)</f>
        <v>0.76312571006700536</v>
      </c>
      <c r="J128" s="139">
        <f t="shared" si="71"/>
        <v>0.76878351553307267</v>
      </c>
      <c r="K128" s="139">
        <f t="shared" si="71"/>
        <v>0.75342419602853583</v>
      </c>
      <c r="L128" s="139">
        <f t="shared" si="71"/>
        <v>0.7594295485169501</v>
      </c>
      <c r="M128" s="140">
        <f t="shared" si="71"/>
        <v>0.76536407214822078</v>
      </c>
    </row>
    <row r="129" spans="1:13" x14ac:dyDescent="0.25">
      <c r="A129" t="s">
        <v>261</v>
      </c>
      <c r="B129" s="63">
        <f>B124/B119</f>
        <v>0.36313323235275879</v>
      </c>
      <c r="C129" s="63">
        <f t="shared" ref="C129:G129" si="72">C124/C119</f>
        <v>0.27038325142251163</v>
      </c>
      <c r="D129" s="63">
        <f t="shared" si="72"/>
        <v>0.13781243352227909</v>
      </c>
      <c r="E129" s="63">
        <f t="shared" si="72"/>
        <v>0.27912674632869006</v>
      </c>
      <c r="F129" s="63">
        <f t="shared" si="72"/>
        <v>0.27441026398509433</v>
      </c>
      <c r="G129" s="63">
        <f t="shared" si="72"/>
        <v>0.19737114709737433</v>
      </c>
      <c r="H129" s="141">
        <f t="shared" ref="H129:H130" si="73">AVERAGE(B129:G129)</f>
        <v>0.25370617911811805</v>
      </c>
      <c r="I129" s="63">
        <f t="shared" si="71"/>
        <v>0.23546833691234459</v>
      </c>
      <c r="J129" s="63">
        <f t="shared" si="71"/>
        <v>0.22964918449398342</v>
      </c>
      <c r="K129" s="63">
        <f t="shared" si="71"/>
        <v>0.24495530965593412</v>
      </c>
      <c r="L129" s="63">
        <f t="shared" si="71"/>
        <v>0.23926007021047477</v>
      </c>
      <c r="M129" s="142">
        <f t="shared" si="71"/>
        <v>0.23340170458137155</v>
      </c>
    </row>
    <row r="130" spans="1:13" x14ac:dyDescent="0.25">
      <c r="A130" t="s">
        <v>262</v>
      </c>
      <c r="B130" s="63">
        <f>B125/B119</f>
        <v>2.0727591613297546E-3</v>
      </c>
      <c r="C130" s="63">
        <f t="shared" ref="C130:G130" si="74">C125/C119</f>
        <v>4.3787130688621045E-4</v>
      </c>
      <c r="D130" s="63">
        <f t="shared" si="74"/>
        <v>1.2481339174273758E-3</v>
      </c>
      <c r="E130" s="63">
        <f t="shared" si="74"/>
        <v>3.4811725732603071E-3</v>
      </c>
      <c r="F130" s="63">
        <f t="shared" si="74"/>
        <v>1.7673292855791632E-3</v>
      </c>
      <c r="G130" s="63">
        <f t="shared" si="74"/>
        <v>0</v>
      </c>
      <c r="H130" s="143">
        <f t="shared" si="73"/>
        <v>1.5012110407471352E-3</v>
      </c>
      <c r="I130" s="68">
        <f t="shared" si="71"/>
        <v>1.405953020650032E-3</v>
      </c>
      <c r="J130" s="68">
        <f t="shared" si="71"/>
        <v>1.5672999729440024E-3</v>
      </c>
      <c r="K130" s="68">
        <f t="shared" si="71"/>
        <v>1.6204943155301067E-3</v>
      </c>
      <c r="L130" s="68">
        <f t="shared" si="71"/>
        <v>1.3103812725750732E-3</v>
      </c>
      <c r="M130" s="144">
        <f t="shared" si="71"/>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A1"/>
  <sheetViews>
    <sheetView tabSelected="1" workbookViewId="0">
      <selection activeCell="L13" sqref="L13"/>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workbookViewId="0">
      <pane ySplit="1" topLeftCell="A2" activePane="bottomLeft" state="frozen"/>
      <selection pane="bottomLeft" activeCell="I129" sqref="I129"/>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3.496008236621595E-2</v>
      </c>
      <c r="J3" s="104">
        <f ca="1">('3_Statement_Model'!I6/'3_Statement_Model'!H6)-1</f>
        <v>1.5662279332111284E-2</v>
      </c>
      <c r="K3" s="104">
        <f ca="1">('3_Statement_Model'!J6/'3_Statement_Model'!I6)-1</f>
        <v>3.4872840615817635E-2</v>
      </c>
      <c r="L3" s="104">
        <f ca="1">('3_Statement_Model'!K6/'3_Statement_Model'!J6)-1</f>
        <v>3.4371660007007865E-2</v>
      </c>
      <c r="M3" s="104">
        <f ca="1">('3_Statement_Model'!L6/'3_Statement_Model'!K6)-1</f>
        <v>3.3894096834508503E-2</v>
      </c>
      <c r="N3" s="104">
        <f ca="1">('3_Statement_Model'!M6/'3_Statement_Model'!L6)-1</f>
        <v>3.3438607374824958E-2</v>
      </c>
    </row>
    <row r="4" spans="2:14" s="29" customFormat="1" x14ac:dyDescent="0.25">
      <c r="B4" s="29" t="s">
        <v>212</v>
      </c>
      <c r="C4" s="102"/>
      <c r="D4" s="102"/>
      <c r="E4" s="102"/>
      <c r="F4" s="102"/>
      <c r="G4" s="102"/>
      <c r="H4" s="102"/>
      <c r="I4" s="104">
        <f ca="1">('3_Statement_Model'!H8/'3_Statement_Model'!G8)-1</f>
        <v>9.8259378525691332E-2</v>
      </c>
      <c r="J4" s="104">
        <f ca="1">('3_Statement_Model'!I8/'3_Statement_Model'!H8)-1</f>
        <v>1.5662279332111284E-2</v>
      </c>
      <c r="K4" s="104">
        <f ca="1">('3_Statement_Model'!J8/'3_Statement_Model'!I8)-1</f>
        <v>3.4872840615817635E-2</v>
      </c>
      <c r="L4" s="104">
        <f ca="1">('3_Statement_Model'!K8/'3_Statement_Model'!J8)-1</f>
        <v>3.4371660007007865E-2</v>
      </c>
      <c r="M4" s="104">
        <f ca="1">('3_Statement_Model'!L8/'3_Statement_Model'!K8)-1</f>
        <v>3.3894096834508503E-2</v>
      </c>
      <c r="N4" s="104">
        <f ca="1">('3_Statement_Model'!M8/'3_Statement_Model'!L8)-1</f>
        <v>3.3438607374824958E-2</v>
      </c>
    </row>
    <row r="5" spans="2:14" s="29" customFormat="1" x14ac:dyDescent="0.25">
      <c r="B5" s="29" t="s">
        <v>213</v>
      </c>
      <c r="C5" s="102"/>
      <c r="D5" s="102"/>
      <c r="E5" s="102"/>
      <c r="F5" s="102"/>
      <c r="G5" s="102"/>
      <c r="H5" s="102"/>
      <c r="I5" s="104">
        <f ca="1">('3_Statement_Model'!H54/'3_Statement_Model'!G54)-1</f>
        <v>-5.8972872516645625E-2</v>
      </c>
      <c r="J5" s="104">
        <f ca="1">('3_Statement_Model'!I54/'3_Statement_Model'!H54)-1</f>
        <v>1.5662279332111062E-2</v>
      </c>
      <c r="K5" s="104">
        <f ca="1">('3_Statement_Model'!J54/'3_Statement_Model'!I54)-1</f>
        <v>1.5662279332111062E-2</v>
      </c>
      <c r="L5" s="104">
        <f ca="1">('3_Statement_Model'!K54/'3_Statement_Model'!J54)-1</f>
        <v>1.5662279332111506E-2</v>
      </c>
      <c r="M5" s="104">
        <f ca="1">('3_Statement_Model'!L54/'3_Statement_Model'!K54)-1</f>
        <v>1.5662279332111284E-2</v>
      </c>
      <c r="N5" s="104">
        <f ca="1">('3_Statement_Model'!M54/'3_Statement_Model'!L54)-1</f>
        <v>1.5662279332111284E-2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0.61214007301619122</v>
      </c>
      <c r="J7" s="80">
        <f t="shared" ca="1" si="11"/>
        <v>0.61214007301619122</v>
      </c>
      <c r="K7" s="80">
        <f t="shared" ca="1" si="11"/>
        <v>0.61214007301619122</v>
      </c>
      <c r="L7" s="80">
        <f t="shared" ca="1" si="11"/>
        <v>0.61214007301619122</v>
      </c>
      <c r="M7" s="80">
        <f t="shared" ca="1" si="11"/>
        <v>0.61214007301619122</v>
      </c>
      <c r="N7" s="81">
        <f t="shared" ca="1" si="11"/>
        <v>0.61214007301619122</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0.10345496267088983</v>
      </c>
      <c r="J12" s="80">
        <f t="shared" ca="1" si="15"/>
        <v>0.10345496267088983</v>
      </c>
      <c r="K12" s="80">
        <f t="shared" ca="1" si="15"/>
        <v>0.10345496267088983</v>
      </c>
      <c r="L12" s="80">
        <f t="shared" ca="1" si="15"/>
        <v>0.10345496267088983</v>
      </c>
      <c r="M12" s="80">
        <f t="shared" ca="1" si="15"/>
        <v>0.10345496267088983</v>
      </c>
      <c r="N12" s="81">
        <f t="shared" ca="1" si="15"/>
        <v>0.10345496267088983</v>
      </c>
    </row>
    <row r="13" spans="2:14" x14ac:dyDescent="0.25">
      <c r="B13" t="s">
        <v>143</v>
      </c>
      <c r="H13" t="s">
        <v>154</v>
      </c>
      <c r="I13" s="63">
        <f t="shared" ref="I13:N13" si="16">AVERAGE(C12:H12)</f>
        <v>-5.9090609355389859E-2</v>
      </c>
      <c r="J13" s="63">
        <f t="shared" ca="1" si="16"/>
        <v>-3.1999680684343244E-2</v>
      </c>
      <c r="K13" s="63">
        <f t="shared" ca="1" si="16"/>
        <v>3.2968123152890792E-2</v>
      </c>
      <c r="L13" s="63">
        <f t="shared" ca="1" si="16"/>
        <v>6.9202619950708075E-2</v>
      </c>
      <c r="M13" s="63">
        <f t="shared" ca="1" si="16"/>
        <v>6.9202619950708075E-2</v>
      </c>
      <c r="N13" s="63">
        <f t="shared" ca="1" si="16"/>
        <v>9.2681135532547934E-2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3.1018802674216417E-3</v>
      </c>
      <c r="J17" s="80">
        <f t="shared" ca="1" si="19"/>
        <v>3.1018802674216417E-3</v>
      </c>
      <c r="K17" s="80">
        <f t="shared" ca="1" si="19"/>
        <v>3.1018802674216417E-3</v>
      </c>
      <c r="L17" s="80">
        <f t="shared" ca="1" si="19"/>
        <v>3.1018802674216417E-3</v>
      </c>
      <c r="M17" s="80">
        <f t="shared" ca="1" si="19"/>
        <v>3.1018802674216417E-3</v>
      </c>
      <c r="N17" s="81">
        <f t="shared" ca="1" si="19"/>
        <v>3.1018802674216417E-3</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0.22514684896956824</v>
      </c>
      <c r="J22" s="80">
        <f t="shared" ca="1" si="23"/>
        <v>0.22514684896956824</v>
      </c>
      <c r="K22" s="80">
        <f t="shared" ca="1" si="23"/>
        <v>0.22514684896956824</v>
      </c>
      <c r="L22" s="80">
        <f t="shared" ca="1" si="23"/>
        <v>0.22514684896956824</v>
      </c>
      <c r="M22" s="80">
        <f t="shared" ca="1" si="23"/>
        <v>0.22514684896956824</v>
      </c>
      <c r="N22" s="81">
        <f t="shared" ca="1" si="23"/>
        <v>0.22514684896956824</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5.7811680411441434E-2</v>
      </c>
      <c r="J27" s="80">
        <f t="shared" ca="1" si="27"/>
        <v>5.7811680411441434E-2</v>
      </c>
      <c r="K27" s="80">
        <f t="shared" ca="1" si="27"/>
        <v>5.7811680411441434E-2</v>
      </c>
      <c r="L27" s="80">
        <f t="shared" ca="1" si="27"/>
        <v>5.7811680411441434E-2</v>
      </c>
      <c r="M27" s="80">
        <f t="shared" ca="1" si="27"/>
        <v>5.7811680411441434E-2</v>
      </c>
      <c r="N27" s="81">
        <f t="shared" ca="1" si="27"/>
        <v>5.7811680411441434E-2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-0.31703103813362554</v>
      </c>
      <c r="J32" s="92">
        <f t="shared" ca="1" si="31"/>
        <v>-0.31703103813362554</v>
      </c>
      <c r="K32" s="92">
        <f t="shared" ca="1" si="31"/>
        <v>-0.31703103813362554</v>
      </c>
      <c r="L32" s="92">
        <f t="shared" ca="1" si="31"/>
        <v>-0.31703103813362554</v>
      </c>
      <c r="M32" s="92">
        <f t="shared" ca="1" si="31"/>
        <v>-0.31703103813362554</v>
      </c>
      <c r="N32" s="93">
        <f t="shared" ca="1" si="31"/>
        <v>-0.31703103813362554</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3.496008236621595E-2</v>
      </c>
      <c r="D42" s="63">
        <f ca="1">('3_Statement_Model'!I6/'3_Statement_Model'!H6)-1</f>
        <v>1.5662279332111284E-2</v>
      </c>
      <c r="E42" s="63">
        <f ca="1">('3_Statement_Model'!J6/'3_Statement_Model'!I6)-1</f>
        <v>3.4872840615817635E-2</v>
      </c>
      <c r="F42" s="63">
        <f ca="1">('3_Statement_Model'!K6/'3_Statement_Model'!J6)-1</f>
        <v>3.4371660007007865E-2</v>
      </c>
      <c r="G42" s="63">
        <f ca="1">('3_Statement_Model'!L6/'3_Statement_Model'!K6)-1</f>
        <v>3.3894096834508503E-2</v>
      </c>
      <c r="H42" s="63">
        <f ca="1">('3_Statement_Model'!M6/'3_Statement_Model'!L6)-1</f>
        <v>3.3438607374824958E-2</v>
      </c>
      <c r="I42" s="79">
        <f t="shared" ref="I42:N42" ca="1" si="45">OFFSET(I42,MATCH(S,$B$43:$B$45,0),0)</f>
        <v>1.5662279332111284E-2</v>
      </c>
      <c r="J42" s="80">
        <f t="shared" ca="1" si="45"/>
        <v>1.5662279332111284E-2</v>
      </c>
      <c r="K42" s="80">
        <f t="shared" ca="1" si="45"/>
        <v>1.5662279332111284E-2</v>
      </c>
      <c r="L42" s="80">
        <f t="shared" ca="1" si="45"/>
        <v>1.5662279332111284E-2</v>
      </c>
      <c r="M42" s="80">
        <f t="shared" ca="1" si="45"/>
        <v>1.5662279332111284E-2</v>
      </c>
      <c r="N42" s="81">
        <f t="shared" ca="1" si="45"/>
        <v>1.5662279332111284E-2</v>
      </c>
    </row>
    <row r="43" spans="2:14" x14ac:dyDescent="0.25">
      <c r="B43" t="s">
        <v>143</v>
      </c>
      <c r="H43" t="s">
        <v>154</v>
      </c>
      <c r="I43" s="63">
        <f t="shared" ref="I43:N43" ca="1" si="46">AVERAGE($C$42:$H$42)</f>
        <v>3.1199927755081031E-2</v>
      </c>
      <c r="J43" s="63">
        <f t="shared" ca="1" si="46"/>
        <v>3.1199927755081031E-2</v>
      </c>
      <c r="K43" s="63">
        <f t="shared" ca="1" si="46"/>
        <v>3.1199927755081031E-2</v>
      </c>
      <c r="L43" s="63">
        <f t="shared" ca="1" si="46"/>
        <v>3.1199927755081031E-2</v>
      </c>
      <c r="M43" s="63">
        <f t="shared" ca="1" si="46"/>
        <v>3.1199927755081031E-2</v>
      </c>
      <c r="N43" s="63">
        <f t="shared" ca="1" si="46"/>
        <v>3.1199927755081031E-2</v>
      </c>
    </row>
    <row r="44" spans="2:14" x14ac:dyDescent="0.25">
      <c r="B44" t="s">
        <v>145</v>
      </c>
      <c r="H44" t="s">
        <v>156</v>
      </c>
      <c r="I44" s="63">
        <f t="shared" ref="I44:N44" ca="1" si="47">MAX($C$42:$H$42)</f>
        <v>3.496008236621595E-2</v>
      </c>
      <c r="J44" s="63">
        <f t="shared" ca="1" si="47"/>
        <v>3.496008236621595E-2</v>
      </c>
      <c r="K44" s="63">
        <f t="shared" ca="1" si="47"/>
        <v>3.496008236621595E-2</v>
      </c>
      <c r="L44" s="63">
        <f t="shared" ca="1" si="47"/>
        <v>3.496008236621595E-2</v>
      </c>
      <c r="M44" s="63">
        <f t="shared" ca="1" si="47"/>
        <v>3.496008236621595E-2</v>
      </c>
      <c r="N44" s="63">
        <f t="shared" ca="1" si="47"/>
        <v>3.496008236621595E-2</v>
      </c>
    </row>
    <row r="45" spans="2:14" x14ac:dyDescent="0.25">
      <c r="B45" t="s">
        <v>148</v>
      </c>
      <c r="H45" t="s">
        <v>155</v>
      </c>
      <c r="I45" s="63">
        <f t="shared" ref="I45:N45" ca="1" si="48">MIN($C$42:$H$42)</f>
        <v>1.5662279332111284E-2</v>
      </c>
      <c r="J45" s="63">
        <f t="shared" ca="1" si="48"/>
        <v>1.5662279332111284E-2</v>
      </c>
      <c r="K45" s="63">
        <f t="shared" ca="1" si="48"/>
        <v>1.5662279332111284E-2</v>
      </c>
      <c r="L45" s="63">
        <f t="shared" ca="1" si="48"/>
        <v>1.5662279332111284E-2</v>
      </c>
      <c r="M45" s="63">
        <f t="shared" ca="1" si="48"/>
        <v>1.5662279332111284E-2</v>
      </c>
      <c r="N45" s="63">
        <f t="shared" ca="1" si="48"/>
        <v>1.5662279332111284E-2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26390</v>
      </c>
      <c r="J47" s="98">
        <f t="shared" ca="1" si="49"/>
        <v>26390</v>
      </c>
      <c r="K47" s="98">
        <f t="shared" ca="1" si="49"/>
        <v>26390</v>
      </c>
      <c r="L47" s="98">
        <f t="shared" ca="1" si="49"/>
        <v>26390</v>
      </c>
      <c r="M47" s="98">
        <f t="shared" ca="1" si="49"/>
        <v>26390</v>
      </c>
      <c r="N47" s="99">
        <f t="shared" ca="1" si="49"/>
        <v>26390</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1.5662279332111284E-2</v>
      </c>
      <c r="J52" s="80">
        <f t="shared" ca="1" si="53"/>
        <v>1.5662279332111284E-2</v>
      </c>
      <c r="K52" s="80">
        <f t="shared" ca="1" si="53"/>
        <v>1.5662279332111284E-2</v>
      </c>
      <c r="L52" s="80">
        <f t="shared" ca="1" si="53"/>
        <v>1.5662279332111284E-2</v>
      </c>
      <c r="M52" s="80">
        <f t="shared" ca="1" si="53"/>
        <v>1.5662279332111284E-2</v>
      </c>
      <c r="N52" s="81">
        <f t="shared" ca="1" si="53"/>
        <v>1.5662279332111284E-2</v>
      </c>
    </row>
    <row r="53" spans="2:14" x14ac:dyDescent="0.25">
      <c r="B53" t="s">
        <v>143</v>
      </c>
      <c r="H53" t="s">
        <v>154</v>
      </c>
      <c r="I53" s="63">
        <f t="shared" ref="I53:N53" ca="1" si="54">AVERAGE($I$3:$N$3)</f>
        <v>3.1199927755081031E-2</v>
      </c>
      <c r="J53" s="63">
        <f t="shared" ca="1" si="54"/>
        <v>3.1199927755081031E-2</v>
      </c>
      <c r="K53" s="63">
        <f t="shared" ca="1" si="54"/>
        <v>3.1199927755081031E-2</v>
      </c>
      <c r="L53" s="63">
        <f t="shared" ca="1" si="54"/>
        <v>3.1199927755081031E-2</v>
      </c>
      <c r="M53" s="63">
        <f t="shared" ca="1" si="54"/>
        <v>3.1199927755081031E-2</v>
      </c>
      <c r="N53" s="63">
        <f t="shared" ca="1" si="54"/>
        <v>3.1199927755081031E-2</v>
      </c>
    </row>
    <row r="54" spans="2:14" x14ac:dyDescent="0.25">
      <c r="B54" t="s">
        <v>145</v>
      </c>
      <c r="H54" t="s">
        <v>156</v>
      </c>
      <c r="I54" s="63">
        <f t="shared" ref="I54:N54" ca="1" si="55">MAX($I$3:$N$3)</f>
        <v>3.496008236621595E-2</v>
      </c>
      <c r="J54" s="63">
        <f t="shared" ca="1" si="55"/>
        <v>3.496008236621595E-2</v>
      </c>
      <c r="K54" s="63">
        <f t="shared" ca="1" si="55"/>
        <v>3.496008236621595E-2</v>
      </c>
      <c r="L54" s="63">
        <f t="shared" ca="1" si="55"/>
        <v>3.496008236621595E-2</v>
      </c>
      <c r="M54" s="63">
        <f t="shared" ca="1" si="55"/>
        <v>3.496008236621595E-2</v>
      </c>
      <c r="N54" s="63">
        <f t="shared" ca="1" si="55"/>
        <v>3.496008236621595E-2</v>
      </c>
    </row>
    <row r="55" spans="2:14" x14ac:dyDescent="0.25">
      <c r="B55" t="s">
        <v>148</v>
      </c>
      <c r="H55" t="s">
        <v>155</v>
      </c>
      <c r="I55" s="63">
        <f t="shared" ref="I55:N55" ca="1" si="56">MIN($I$3:$N$3)</f>
        <v>1.5662279332111284E-2</v>
      </c>
      <c r="J55" s="63">
        <f t="shared" ca="1" si="56"/>
        <v>1.5662279332111284E-2</v>
      </c>
      <c r="K55" s="63">
        <f t="shared" ca="1" si="56"/>
        <v>1.5662279332111284E-2</v>
      </c>
      <c r="L55" s="63">
        <f t="shared" ca="1" si="56"/>
        <v>1.5662279332111284E-2</v>
      </c>
      <c r="M55" s="63">
        <f t="shared" ca="1" si="56"/>
        <v>1.5662279332111284E-2</v>
      </c>
      <c r="N55" s="63">
        <f t="shared" ca="1" si="56"/>
        <v>1.5662279332111284E-2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0.4167507230086091</v>
      </c>
      <c r="J57" s="80">
        <f t="shared" ca="1" si="57"/>
        <v>0.4167507230086091</v>
      </c>
      <c r="K57" s="80">
        <f t="shared" ca="1" si="57"/>
        <v>0.4167507230086091</v>
      </c>
      <c r="L57" s="80">
        <f t="shared" ca="1" si="57"/>
        <v>0.4167507230086091</v>
      </c>
      <c r="M57" s="80">
        <f t="shared" ca="1" si="57"/>
        <v>0.4167507230086091</v>
      </c>
      <c r="N57" s="81">
        <f t="shared" ca="1" si="57"/>
        <v>0.4167507230086091</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1.5662279332111284E-2</v>
      </c>
      <c r="J62" s="80">
        <f t="shared" ca="1" si="61"/>
        <v>1.5662279332111284E-2</v>
      </c>
      <c r="K62" s="80">
        <f t="shared" ca="1" si="61"/>
        <v>1.5662279332111284E-2</v>
      </c>
      <c r="L62" s="80">
        <f t="shared" ca="1" si="61"/>
        <v>1.5662279332111284E-2</v>
      </c>
      <c r="M62" s="80">
        <f t="shared" ca="1" si="61"/>
        <v>1.5662279332111284E-2</v>
      </c>
      <c r="N62" s="81">
        <f t="shared" ca="1" si="61"/>
        <v>1.5662279332111284E-2</v>
      </c>
    </row>
    <row r="63" spans="2:14" x14ac:dyDescent="0.25">
      <c r="B63" t="s">
        <v>143</v>
      </c>
      <c r="H63" t="s">
        <v>154</v>
      </c>
      <c r="I63" s="63">
        <f t="shared" ref="I63:N63" ca="1" si="62">AVERAGE($I$3:$N$3)</f>
        <v>3.1199927755081031E-2</v>
      </c>
      <c r="J63" s="63">
        <f t="shared" ca="1" si="62"/>
        <v>3.1199927755081031E-2</v>
      </c>
      <c r="K63" s="63">
        <f t="shared" ca="1" si="62"/>
        <v>3.1199927755081031E-2</v>
      </c>
      <c r="L63" s="63">
        <f t="shared" ca="1" si="62"/>
        <v>3.1199927755081031E-2</v>
      </c>
      <c r="M63" s="63">
        <f t="shared" ca="1" si="62"/>
        <v>3.1199927755081031E-2</v>
      </c>
      <c r="N63" s="63">
        <f t="shared" ca="1" si="62"/>
        <v>3.1199927755081031E-2</v>
      </c>
    </row>
    <row r="64" spans="2:14" x14ac:dyDescent="0.25">
      <c r="B64" t="s">
        <v>145</v>
      </c>
      <c r="H64" t="s">
        <v>156</v>
      </c>
      <c r="I64" s="63">
        <f t="shared" ref="I64:N64" ca="1" si="63">MAX($I$3:$N$3)</f>
        <v>3.496008236621595E-2</v>
      </c>
      <c r="J64" s="63">
        <f t="shared" ca="1" si="63"/>
        <v>3.496008236621595E-2</v>
      </c>
      <c r="K64" s="63">
        <f t="shared" ca="1" si="63"/>
        <v>3.496008236621595E-2</v>
      </c>
      <c r="L64" s="63">
        <f t="shared" ca="1" si="63"/>
        <v>3.496008236621595E-2</v>
      </c>
      <c r="M64" s="63">
        <f t="shared" ca="1" si="63"/>
        <v>3.496008236621595E-2</v>
      </c>
      <c r="N64" s="63">
        <f t="shared" ca="1" si="63"/>
        <v>3.496008236621595E-2</v>
      </c>
    </row>
    <row r="65" spans="2:14" x14ac:dyDescent="0.25">
      <c r="B65" t="s">
        <v>148</v>
      </c>
      <c r="H65" t="s">
        <v>155</v>
      </c>
      <c r="I65" s="63">
        <f t="shared" ref="I65:N65" ca="1" si="64">MIN($I$3:$N$3)</f>
        <v>1.5662279332111284E-2</v>
      </c>
      <c r="J65" s="63">
        <f t="shared" ca="1" si="64"/>
        <v>1.5662279332111284E-2</v>
      </c>
      <c r="K65" s="63">
        <f t="shared" ca="1" si="64"/>
        <v>1.5662279332111284E-2</v>
      </c>
      <c r="L65" s="63">
        <f t="shared" ca="1" si="64"/>
        <v>1.5662279332111284E-2</v>
      </c>
      <c r="M65" s="63">
        <f t="shared" ca="1" si="64"/>
        <v>1.5662279332111284E-2</v>
      </c>
      <c r="N65" s="63">
        <f t="shared" ca="1" si="64"/>
        <v>1.5662279332111284E-2</v>
      </c>
    </row>
    <row r="67" spans="2:14" x14ac:dyDescent="0.25">
      <c r="B67" s="2" t="s">
        <v>210</v>
      </c>
      <c r="I67" s="79">
        <f t="shared" ref="I67:N67" ca="1" si="65">OFFSET(I67,MATCH(S,$B$68:$B$70,0),0)</f>
        <v>1.5662279332111284E-2</v>
      </c>
      <c r="J67" s="80">
        <f t="shared" ca="1" si="65"/>
        <v>1.5662279332111284E-2</v>
      </c>
      <c r="K67" s="80">
        <f t="shared" ca="1" si="65"/>
        <v>1.5662279332111284E-2</v>
      </c>
      <c r="L67" s="80">
        <f t="shared" ca="1" si="65"/>
        <v>1.5662279332111284E-2</v>
      </c>
      <c r="M67" s="80">
        <f t="shared" ca="1" si="65"/>
        <v>1.5662279332111284E-2</v>
      </c>
      <c r="N67" s="81">
        <f t="shared" ca="1" si="65"/>
        <v>1.5662279332111284E-2</v>
      </c>
    </row>
    <row r="68" spans="2:14" x14ac:dyDescent="0.25">
      <c r="B68" t="s">
        <v>143</v>
      </c>
      <c r="H68" t="s">
        <v>154</v>
      </c>
      <c r="I68" s="63">
        <f t="shared" ref="I68:N68" ca="1" si="66">AVERAGE($I$3:$N$3)</f>
        <v>3.1199927755081031E-2</v>
      </c>
      <c r="J68" s="63">
        <f t="shared" ca="1" si="66"/>
        <v>3.1199927755081031E-2</v>
      </c>
      <c r="K68" s="63">
        <f t="shared" ca="1" si="66"/>
        <v>3.1199927755081031E-2</v>
      </c>
      <c r="L68" s="63">
        <f t="shared" ca="1" si="66"/>
        <v>3.1199927755081031E-2</v>
      </c>
      <c r="M68" s="63">
        <f t="shared" ca="1" si="66"/>
        <v>3.1199927755081031E-2</v>
      </c>
      <c r="N68" s="63">
        <f t="shared" ca="1" si="66"/>
        <v>3.1199927755081031E-2</v>
      </c>
    </row>
    <row r="69" spans="2:14" x14ac:dyDescent="0.25">
      <c r="B69" t="s">
        <v>145</v>
      </c>
      <c r="H69" t="s">
        <v>156</v>
      </c>
      <c r="I69" s="63">
        <f t="shared" ref="I69:N69" ca="1" si="67">MAX($I$3:$N$3)</f>
        <v>3.496008236621595E-2</v>
      </c>
      <c r="J69" s="63">
        <f t="shared" ca="1" si="67"/>
        <v>3.496008236621595E-2</v>
      </c>
      <c r="K69" s="63">
        <f t="shared" ca="1" si="67"/>
        <v>3.496008236621595E-2</v>
      </c>
      <c r="L69" s="63">
        <f t="shared" ca="1" si="67"/>
        <v>3.496008236621595E-2</v>
      </c>
      <c r="M69" s="63">
        <f t="shared" ca="1" si="67"/>
        <v>3.496008236621595E-2</v>
      </c>
      <c r="N69" s="63">
        <f t="shared" ca="1" si="67"/>
        <v>3.496008236621595E-2</v>
      </c>
    </row>
    <row r="70" spans="2:14" x14ac:dyDescent="0.25">
      <c r="B70" t="s">
        <v>148</v>
      </c>
      <c r="H70" t="s">
        <v>155</v>
      </c>
      <c r="I70" s="63">
        <f t="shared" ref="I70:N70" ca="1" si="68">MIN($I$3:$N$3)</f>
        <v>1.5662279332111284E-2</v>
      </c>
      <c r="J70" s="63">
        <f t="shared" ca="1" si="68"/>
        <v>1.5662279332111284E-2</v>
      </c>
      <c r="K70" s="63">
        <f t="shared" ca="1" si="68"/>
        <v>1.5662279332111284E-2</v>
      </c>
      <c r="L70" s="63">
        <f t="shared" ca="1" si="68"/>
        <v>1.5662279332111284E-2</v>
      </c>
      <c r="M70" s="63">
        <f t="shared" ca="1" si="68"/>
        <v>1.5662279332111284E-2</v>
      </c>
      <c r="N70" s="63">
        <f t="shared" ca="1" si="68"/>
        <v>1.5662279332111284E-2</v>
      </c>
    </row>
    <row r="72" spans="2:14" x14ac:dyDescent="0.25">
      <c r="B72" s="2" t="s">
        <v>35</v>
      </c>
      <c r="I72" s="79">
        <f t="shared" ref="I72:N72" ca="1" si="69">OFFSET(I72,MATCH(S,$B$73:$B$75,0),0)</f>
        <v>1.5662279332111284E-2</v>
      </c>
      <c r="J72" s="80">
        <f t="shared" ca="1" si="69"/>
        <v>1.5662279332111284E-2</v>
      </c>
      <c r="K72" s="80">
        <f t="shared" ca="1" si="69"/>
        <v>1.5662279332111284E-2</v>
      </c>
      <c r="L72" s="80">
        <f t="shared" ca="1" si="69"/>
        <v>1.5662279332111284E-2</v>
      </c>
      <c r="M72" s="80">
        <f t="shared" ca="1" si="69"/>
        <v>1.5662279332111284E-2</v>
      </c>
      <c r="N72" s="81">
        <f t="shared" ca="1" si="69"/>
        <v>1.5662279332111284E-2</v>
      </c>
    </row>
    <row r="73" spans="2:14" x14ac:dyDescent="0.25">
      <c r="B73" t="s">
        <v>143</v>
      </c>
      <c r="H73" t="s">
        <v>154</v>
      </c>
      <c r="I73" s="63">
        <f t="shared" ref="I73:N73" ca="1" si="70">AVERAGE($I$3:$N$3)</f>
        <v>3.1199927755081031E-2</v>
      </c>
      <c r="J73" s="63">
        <f t="shared" ca="1" si="70"/>
        <v>3.1199927755081031E-2</v>
      </c>
      <c r="K73" s="63">
        <f t="shared" ca="1" si="70"/>
        <v>3.1199927755081031E-2</v>
      </c>
      <c r="L73" s="63">
        <f t="shared" ca="1" si="70"/>
        <v>3.1199927755081031E-2</v>
      </c>
      <c r="M73" s="63">
        <f t="shared" ca="1" si="70"/>
        <v>3.1199927755081031E-2</v>
      </c>
      <c r="N73" s="63">
        <f t="shared" ca="1" si="70"/>
        <v>3.1199927755081031E-2</v>
      </c>
    </row>
    <row r="74" spans="2:14" x14ac:dyDescent="0.25">
      <c r="B74" t="s">
        <v>145</v>
      </c>
      <c r="H74" t="s">
        <v>156</v>
      </c>
      <c r="I74" s="63">
        <f t="shared" ref="I74:N74" ca="1" si="71">MAX($I$3:$N$3)</f>
        <v>3.496008236621595E-2</v>
      </c>
      <c r="J74" s="63">
        <f t="shared" ca="1" si="71"/>
        <v>3.496008236621595E-2</v>
      </c>
      <c r="K74" s="63">
        <f t="shared" ca="1" si="71"/>
        <v>3.496008236621595E-2</v>
      </c>
      <c r="L74" s="63">
        <f t="shared" ca="1" si="71"/>
        <v>3.496008236621595E-2</v>
      </c>
      <c r="M74" s="63">
        <f t="shared" ca="1" si="71"/>
        <v>3.496008236621595E-2</v>
      </c>
      <c r="N74" s="63">
        <f t="shared" ca="1" si="71"/>
        <v>3.496008236621595E-2</v>
      </c>
    </row>
    <row r="75" spans="2:14" x14ac:dyDescent="0.25">
      <c r="B75" t="s">
        <v>148</v>
      </c>
      <c r="H75" t="s">
        <v>155</v>
      </c>
      <c r="I75" s="63">
        <f t="shared" ref="I75:N75" ca="1" si="72">MIN($I$3:$N$3)</f>
        <v>1.5662279332111284E-2</v>
      </c>
      <c r="J75" s="63">
        <f t="shared" ca="1" si="72"/>
        <v>1.5662279332111284E-2</v>
      </c>
      <c r="K75" s="63">
        <f t="shared" ca="1" si="72"/>
        <v>1.5662279332111284E-2</v>
      </c>
      <c r="L75" s="63">
        <f t="shared" ca="1" si="72"/>
        <v>1.5662279332111284E-2</v>
      </c>
      <c r="M75" s="63">
        <f t="shared" ca="1" si="72"/>
        <v>1.5662279332111284E-2</v>
      </c>
      <c r="N75" s="63">
        <f t="shared" ca="1" si="72"/>
        <v>1.5662279332111284E-2</v>
      </c>
    </row>
    <row r="77" spans="2:14" x14ac:dyDescent="0.25">
      <c r="B77" s="2" t="s">
        <v>39</v>
      </c>
      <c r="I77" s="79">
        <f t="shared" ref="I77:N77" ca="1" si="73">OFFSET(I77,MATCH(S,$B$78:$B$80,0),0)</f>
        <v>9.8259378525691332E-2</v>
      </c>
      <c r="J77" s="80">
        <f t="shared" ca="1" si="73"/>
        <v>9.8259378525691332E-2</v>
      </c>
      <c r="K77" s="80">
        <f t="shared" ca="1" si="73"/>
        <v>9.8259378525691332E-2</v>
      </c>
      <c r="L77" s="80">
        <f t="shared" ca="1" si="73"/>
        <v>9.8259378525691332E-2</v>
      </c>
      <c r="M77" s="80">
        <f t="shared" ca="1" si="73"/>
        <v>9.8259378525691332E-2</v>
      </c>
      <c r="N77" s="81">
        <f t="shared" ca="1" si="73"/>
        <v>9.8259378525691332E-2</v>
      </c>
    </row>
    <row r="78" spans="2:14" x14ac:dyDescent="0.25">
      <c r="B78" t="s">
        <v>143</v>
      </c>
      <c r="H78" t="s">
        <v>154</v>
      </c>
      <c r="I78" s="63">
        <f t="shared" ref="I78:N78" ca="1" si="74">AVERAGE($I$4:$N$4)</f>
        <v>4.1749810448326929E-2</v>
      </c>
      <c r="J78" s="63">
        <f t="shared" ca="1" si="74"/>
        <v>4.1749810448326929E-2</v>
      </c>
      <c r="K78" s="63">
        <f t="shared" ca="1" si="74"/>
        <v>4.1749810448326929E-2</v>
      </c>
      <c r="L78" s="63">
        <f t="shared" ca="1" si="74"/>
        <v>4.1749810448326929E-2</v>
      </c>
      <c r="M78" s="63">
        <f t="shared" ca="1" si="74"/>
        <v>4.1749810448326929E-2</v>
      </c>
      <c r="N78" s="63">
        <f t="shared" ca="1" si="74"/>
        <v>4.1749810448326929E-2</v>
      </c>
    </row>
    <row r="79" spans="2:14" x14ac:dyDescent="0.25">
      <c r="B79" t="s">
        <v>145</v>
      </c>
      <c r="H79" t="s">
        <v>155</v>
      </c>
      <c r="I79" s="63">
        <f t="shared" ref="I79:N79" ca="1" si="75">MIN($I$4:$N$4)</f>
        <v>1.5662279332111284E-2</v>
      </c>
      <c r="J79" s="63">
        <f t="shared" ca="1" si="75"/>
        <v>1.5662279332111284E-2</v>
      </c>
      <c r="K79" s="63">
        <f t="shared" ca="1" si="75"/>
        <v>1.5662279332111284E-2</v>
      </c>
      <c r="L79" s="63">
        <f t="shared" ca="1" si="75"/>
        <v>1.5662279332111284E-2</v>
      </c>
      <c r="M79" s="63">
        <f t="shared" ca="1" si="75"/>
        <v>1.5662279332111284E-2</v>
      </c>
      <c r="N79" s="63">
        <f t="shared" ca="1" si="75"/>
        <v>1.5662279332111284E-2</v>
      </c>
    </row>
    <row r="80" spans="2:14" x14ac:dyDescent="0.25">
      <c r="B80" t="s">
        <v>148</v>
      </c>
      <c r="H80" t="s">
        <v>156</v>
      </c>
      <c r="I80" s="63">
        <f t="shared" ref="I80:N80" ca="1" si="76">MAX($I$4:$N$4)</f>
        <v>9.8259378525691332E-2</v>
      </c>
      <c r="J80" s="63">
        <f t="shared" ca="1" si="76"/>
        <v>9.8259378525691332E-2</v>
      </c>
      <c r="K80" s="63">
        <f t="shared" ca="1" si="76"/>
        <v>9.8259378525691332E-2</v>
      </c>
      <c r="L80" s="63">
        <f t="shared" ca="1" si="76"/>
        <v>9.8259378525691332E-2</v>
      </c>
      <c r="M80" s="63">
        <f t="shared" ca="1" si="76"/>
        <v>9.8259378525691332E-2</v>
      </c>
      <c r="N80" s="63">
        <f t="shared" ca="1" si="76"/>
        <v>9.8259378525691332E-2</v>
      </c>
    </row>
    <row r="82" spans="2:14" x14ac:dyDescent="0.25">
      <c r="B82" s="2" t="s">
        <v>40</v>
      </c>
      <c r="I82" s="79">
        <f t="shared" ref="I82:N82" ca="1" si="77">OFFSET(I82,MATCH(S,$B$83:$B$85,0),0)</f>
        <v>9.8259378525691332E-2</v>
      </c>
      <c r="J82" s="80">
        <f t="shared" ca="1" si="77"/>
        <v>9.8259378525691332E-2</v>
      </c>
      <c r="K82" s="80">
        <f t="shared" ca="1" si="77"/>
        <v>9.8259378525691332E-2</v>
      </c>
      <c r="L82" s="80">
        <f t="shared" ca="1" si="77"/>
        <v>9.8259378525691332E-2</v>
      </c>
      <c r="M82" s="80">
        <f t="shared" ca="1" si="77"/>
        <v>9.8259378525691332E-2</v>
      </c>
      <c r="N82" s="81">
        <f t="shared" ca="1" si="77"/>
        <v>9.8259378525691332E-2</v>
      </c>
    </row>
    <row r="83" spans="2:14" x14ac:dyDescent="0.25">
      <c r="B83" t="s">
        <v>143</v>
      </c>
      <c r="H83" t="s">
        <v>154</v>
      </c>
      <c r="I83" s="63">
        <f t="shared" ref="I83:N83" ca="1" si="78">AVERAGE($I$4:$N$4)</f>
        <v>4.1749810448326929E-2</v>
      </c>
      <c r="J83" s="63">
        <f t="shared" ca="1" si="78"/>
        <v>4.1749810448326929E-2</v>
      </c>
      <c r="K83" s="63">
        <f t="shared" ca="1" si="78"/>
        <v>4.1749810448326929E-2</v>
      </c>
      <c r="L83" s="63">
        <f t="shared" ca="1" si="78"/>
        <v>4.1749810448326929E-2</v>
      </c>
      <c r="M83" s="63">
        <f t="shared" ca="1" si="78"/>
        <v>4.1749810448326929E-2</v>
      </c>
      <c r="N83" s="63">
        <f t="shared" ca="1" si="78"/>
        <v>4.1749810448326929E-2</v>
      </c>
    </row>
    <row r="84" spans="2:14" x14ac:dyDescent="0.25">
      <c r="B84" t="s">
        <v>145</v>
      </c>
      <c r="H84" t="s">
        <v>155</v>
      </c>
      <c r="I84" s="63">
        <f t="shared" ref="I84:N84" ca="1" si="79">MIN($I$4:$N$4)</f>
        <v>1.5662279332111284E-2</v>
      </c>
      <c r="J84" s="63">
        <f t="shared" ca="1" si="79"/>
        <v>1.5662279332111284E-2</v>
      </c>
      <c r="K84" s="63">
        <f t="shared" ca="1" si="79"/>
        <v>1.5662279332111284E-2</v>
      </c>
      <c r="L84" s="63">
        <f t="shared" ca="1" si="79"/>
        <v>1.5662279332111284E-2</v>
      </c>
      <c r="M84" s="63">
        <f t="shared" ca="1" si="79"/>
        <v>1.5662279332111284E-2</v>
      </c>
      <c r="N84" s="63">
        <f t="shared" ca="1" si="79"/>
        <v>1.5662279332111284E-2</v>
      </c>
    </row>
    <row r="85" spans="2:14" x14ac:dyDescent="0.25">
      <c r="B85" t="s">
        <v>148</v>
      </c>
      <c r="H85" t="s">
        <v>156</v>
      </c>
      <c r="I85" s="63">
        <f t="shared" ref="I85:N85" ca="1" si="80">MAX($I$4:$N$4)</f>
        <v>9.8259378525691332E-2</v>
      </c>
      <c r="J85" s="63">
        <f t="shared" ca="1" si="80"/>
        <v>9.8259378525691332E-2</v>
      </c>
      <c r="K85" s="63">
        <f t="shared" ca="1" si="80"/>
        <v>9.8259378525691332E-2</v>
      </c>
      <c r="L85" s="63">
        <f t="shared" ca="1" si="80"/>
        <v>9.8259378525691332E-2</v>
      </c>
      <c r="M85" s="63">
        <f t="shared" ca="1" si="80"/>
        <v>9.8259378525691332E-2</v>
      </c>
      <c r="N85" s="63">
        <f t="shared" ca="1" si="80"/>
        <v>9.8259378525691332E-2</v>
      </c>
    </row>
    <row r="87" spans="2:14" x14ac:dyDescent="0.25">
      <c r="B87" s="2" t="s">
        <v>41</v>
      </c>
      <c r="I87" s="79">
        <f t="shared" ref="I87:N87" ca="1" si="81">OFFSET(I87,MATCH(S,$B$88:$B$90,0),0)</f>
        <v>9.8259378525691332E-2</v>
      </c>
      <c r="J87" s="80">
        <f t="shared" ca="1" si="81"/>
        <v>9.8259378525691332E-2</v>
      </c>
      <c r="K87" s="80">
        <f t="shared" ca="1" si="81"/>
        <v>9.8259378525691332E-2</v>
      </c>
      <c r="L87" s="80">
        <f t="shared" ca="1" si="81"/>
        <v>9.8259378525691332E-2</v>
      </c>
      <c r="M87" s="80">
        <f t="shared" ca="1" si="81"/>
        <v>9.8259378525691332E-2</v>
      </c>
      <c r="N87" s="81">
        <f t="shared" ca="1" si="81"/>
        <v>9.8259378525691332E-2</v>
      </c>
    </row>
    <row r="88" spans="2:14" x14ac:dyDescent="0.25">
      <c r="B88" t="s">
        <v>143</v>
      </c>
      <c r="H88" t="s">
        <v>154</v>
      </c>
      <c r="I88" s="63">
        <f t="shared" ref="I88:N88" ca="1" si="82">AVERAGE($I$4:$N$4)</f>
        <v>4.1749810448326929E-2</v>
      </c>
      <c r="J88" s="63">
        <f t="shared" ca="1" si="82"/>
        <v>4.1749810448326929E-2</v>
      </c>
      <c r="K88" s="63">
        <f t="shared" ca="1" si="82"/>
        <v>4.1749810448326929E-2</v>
      </c>
      <c r="L88" s="63">
        <f t="shared" ca="1" si="82"/>
        <v>4.1749810448326929E-2</v>
      </c>
      <c r="M88" s="63">
        <f t="shared" ca="1" si="82"/>
        <v>4.1749810448326929E-2</v>
      </c>
      <c r="N88" s="63">
        <f t="shared" ca="1" si="82"/>
        <v>4.1749810448326929E-2</v>
      </c>
    </row>
    <row r="89" spans="2:14" x14ac:dyDescent="0.25">
      <c r="B89" t="s">
        <v>145</v>
      </c>
      <c r="H89" t="s">
        <v>155</v>
      </c>
      <c r="I89" s="63">
        <f t="shared" ref="I89:N89" ca="1" si="83">MIN(I4:N4)</f>
        <v>1.5662279332111284E-2</v>
      </c>
      <c r="J89" s="63">
        <f t="shared" ca="1" si="83"/>
        <v>1.5662279332111284E-2</v>
      </c>
      <c r="K89" s="63">
        <f t="shared" ca="1" si="83"/>
        <v>3.3438607374824958E-2</v>
      </c>
      <c r="L89" s="63">
        <f t="shared" ca="1" si="83"/>
        <v>3.3438607374824958E-2</v>
      </c>
      <c r="M89" s="63">
        <f t="shared" ca="1" si="83"/>
        <v>3.3438607374824958E-2</v>
      </c>
      <c r="N89" s="63">
        <f t="shared" ca="1" si="83"/>
        <v>3.3438607374824958E-2</v>
      </c>
    </row>
    <row r="90" spans="2:14" x14ac:dyDescent="0.25">
      <c r="B90" t="s">
        <v>148</v>
      </c>
      <c r="H90" t="s">
        <v>156</v>
      </c>
      <c r="I90" s="63">
        <f t="shared" ref="I90:N90" ca="1" si="84">MAX($I$4:$N$4)</f>
        <v>9.8259378525691332E-2</v>
      </c>
      <c r="J90" s="63">
        <f t="shared" ca="1" si="84"/>
        <v>9.8259378525691332E-2</v>
      </c>
      <c r="K90" s="63">
        <f t="shared" ca="1" si="84"/>
        <v>9.8259378525691332E-2</v>
      </c>
      <c r="L90" s="63">
        <f t="shared" ca="1" si="84"/>
        <v>9.8259378525691332E-2</v>
      </c>
      <c r="M90" s="63">
        <f t="shared" ca="1" si="84"/>
        <v>9.8259378525691332E-2</v>
      </c>
      <c r="N90" s="63">
        <f t="shared" ca="1" si="84"/>
        <v>9.8259378525691332E-2</v>
      </c>
    </row>
    <row r="92" spans="2:14" x14ac:dyDescent="0.25">
      <c r="B92" s="2" t="s">
        <v>196</v>
      </c>
      <c r="I92" s="79">
        <f t="shared" ref="I92:N92" ca="1" si="85">OFFSET(I92,MATCH(S,$B$93:$B$95,0),0)</f>
        <v>1.5662279332111506E-2</v>
      </c>
      <c r="J92" s="80">
        <f t="shared" ca="1" si="85"/>
        <v>1.5662279332111506E-2</v>
      </c>
      <c r="K92" s="80">
        <f t="shared" ca="1" si="85"/>
        <v>1.5662279332111506E-2</v>
      </c>
      <c r="L92" s="80">
        <f t="shared" ca="1" si="85"/>
        <v>1.5662279332111506E-2</v>
      </c>
      <c r="M92" s="80">
        <f t="shared" ca="1" si="85"/>
        <v>1.5662279332111506E-2</v>
      </c>
      <c r="N92" s="81">
        <f t="shared" ca="1" si="85"/>
        <v>1.5662279332111506E-2</v>
      </c>
    </row>
    <row r="93" spans="2:14" x14ac:dyDescent="0.25">
      <c r="B93" t="s">
        <v>143</v>
      </c>
      <c r="H93" t="s">
        <v>154</v>
      </c>
      <c r="I93" s="63">
        <f t="shared" ref="I93:N93" ca="1" si="86">AVERAGE($I$5:$N$5)</f>
        <v>3.2230873573184291E-3</v>
      </c>
      <c r="J93" s="63">
        <f t="shared" ca="1" si="86"/>
        <v>3.2230873573184291E-3</v>
      </c>
      <c r="K93" s="63">
        <f t="shared" ca="1" si="86"/>
        <v>3.2230873573184291E-3</v>
      </c>
      <c r="L93" s="63">
        <f t="shared" ca="1" si="86"/>
        <v>3.2230873573184291E-3</v>
      </c>
      <c r="M93" s="63">
        <f t="shared" ca="1" si="86"/>
        <v>3.2230873573184291E-3</v>
      </c>
      <c r="N93" s="63">
        <f t="shared" ca="1" si="86"/>
        <v>3.2230873573184291E-3</v>
      </c>
    </row>
    <row r="94" spans="2:14" x14ac:dyDescent="0.25">
      <c r="B94" t="s">
        <v>145</v>
      </c>
      <c r="H94" t="s">
        <v>155</v>
      </c>
      <c r="I94" s="63">
        <f t="shared" ref="I94:N94" ca="1" si="87">MIN($I$5:$N$5)</f>
        <v>-5.8972872516645625E-2</v>
      </c>
      <c r="J94" s="63">
        <f t="shared" ca="1" si="87"/>
        <v>-5.8972872516645625E-2</v>
      </c>
      <c r="K94" s="63">
        <f t="shared" ca="1" si="87"/>
        <v>-5.8972872516645625E-2</v>
      </c>
      <c r="L94" s="63">
        <f t="shared" ca="1" si="87"/>
        <v>-5.8972872516645625E-2</v>
      </c>
      <c r="M94" s="63">
        <f t="shared" ca="1" si="87"/>
        <v>-5.8972872516645625E-2</v>
      </c>
      <c r="N94" s="63">
        <f t="shared" ca="1" si="87"/>
        <v>-5.8972872516645625E-2</v>
      </c>
    </row>
    <row r="95" spans="2:14" x14ac:dyDescent="0.25">
      <c r="B95" t="s">
        <v>148</v>
      </c>
      <c r="H95" t="s">
        <v>156</v>
      </c>
      <c r="I95" s="63">
        <f t="shared" ref="I95:N95" ca="1" si="88">MAX($I$5:$N$5)</f>
        <v>1.5662279332111506E-2</v>
      </c>
      <c r="J95" s="63">
        <f t="shared" ca="1" si="88"/>
        <v>1.5662279332111506E-2</v>
      </c>
      <c r="K95" s="63">
        <f t="shared" ca="1" si="88"/>
        <v>1.5662279332111506E-2</v>
      </c>
      <c r="L95" s="63">
        <f t="shared" ca="1" si="88"/>
        <v>1.5662279332111506E-2</v>
      </c>
      <c r="M95" s="63">
        <f t="shared" ca="1" si="88"/>
        <v>1.5662279332111506E-2</v>
      </c>
      <c r="N95" s="63">
        <f t="shared" ca="1" si="88"/>
        <v>1.5662279332111506E-2</v>
      </c>
    </row>
    <row r="97" spans="2:14" x14ac:dyDescent="0.25">
      <c r="B97" s="2" t="s">
        <v>36</v>
      </c>
      <c r="C97" s="28">
        <v>6494</v>
      </c>
      <c r="D97" s="28">
        <v>16970</v>
      </c>
      <c r="E97" s="28">
        <v>46455</v>
      </c>
      <c r="F97" s="28">
        <v>23903</v>
      </c>
      <c r="G97" s="28">
        <v>16749</v>
      </c>
      <c r="H97" s="28">
        <v>12435</v>
      </c>
      <c r="I97" s="126">
        <f t="shared" ref="I97:N97" ca="1" si="89">OFFSET(I97,MATCH(S,$B$98:$B$100,0),0)</f>
        <v>6494</v>
      </c>
      <c r="J97" s="127">
        <f t="shared" ca="1" si="89"/>
        <v>6494</v>
      </c>
      <c r="K97" s="127">
        <f t="shared" ca="1" si="89"/>
        <v>6494</v>
      </c>
      <c r="L97" s="127">
        <f t="shared" ca="1" si="89"/>
        <v>6494</v>
      </c>
      <c r="M97" s="127">
        <f t="shared" ca="1" si="89"/>
        <v>6494</v>
      </c>
      <c r="N97" s="128">
        <f t="shared" ca="1" si="89"/>
        <v>6494</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1.0830214055634198E-2</v>
      </c>
      <c r="J102" s="130">
        <f t="shared" ca="1" si="93"/>
        <v>1.0830214055634198E-2</v>
      </c>
      <c r="K102" s="130">
        <f t="shared" ca="1" si="93"/>
        <v>1.0830214055634198E-2</v>
      </c>
      <c r="L102" s="130">
        <f t="shared" ca="1" si="93"/>
        <v>1.0830214055634198E-2</v>
      </c>
      <c r="M102" s="130">
        <f t="shared" ca="1" si="93"/>
        <v>1.0830214055634198E-2</v>
      </c>
      <c r="N102" s="131">
        <f t="shared" ca="1" si="93"/>
        <v>1.0830214055634198E-2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1.5662279332111284E-2</v>
      </c>
      <c r="J107" s="80">
        <f t="shared" ca="1" si="96"/>
        <v>1.5662279332111284E-2</v>
      </c>
      <c r="K107" s="80">
        <f t="shared" ca="1" si="96"/>
        <v>1.5662279332111284E-2</v>
      </c>
      <c r="L107" s="80">
        <f t="shared" ca="1" si="96"/>
        <v>1.5662279332111284E-2</v>
      </c>
      <c r="M107" s="80">
        <f t="shared" ca="1" si="96"/>
        <v>1.5662279332111284E-2</v>
      </c>
      <c r="N107" s="81">
        <f t="shared" ca="1" si="96"/>
        <v>1.5662279332111284E-2</v>
      </c>
    </row>
    <row r="108" spans="2:14" x14ac:dyDescent="0.25">
      <c r="B108" t="s">
        <v>143</v>
      </c>
      <c r="H108" t="s">
        <v>154</v>
      </c>
      <c r="I108" s="63">
        <f t="shared" ref="I108:N108" ca="1" si="97">AVERAGE($I$3:$N$3)</f>
        <v>3.1199927755081031E-2</v>
      </c>
      <c r="J108" s="63">
        <f t="shared" ca="1" si="97"/>
        <v>3.1199927755081031E-2</v>
      </c>
      <c r="K108" s="63">
        <f t="shared" ca="1" si="97"/>
        <v>3.1199927755081031E-2</v>
      </c>
      <c r="L108" s="63">
        <f t="shared" ca="1" si="97"/>
        <v>3.1199927755081031E-2</v>
      </c>
      <c r="M108" s="63">
        <f t="shared" ca="1" si="97"/>
        <v>3.1199927755081031E-2</v>
      </c>
      <c r="N108" s="63">
        <f t="shared" ca="1" si="97"/>
        <v>3.1199927755081031E-2</v>
      </c>
    </row>
    <row r="109" spans="2:14" x14ac:dyDescent="0.25">
      <c r="B109" t="s">
        <v>145</v>
      </c>
      <c r="H109" t="s">
        <v>156</v>
      </c>
      <c r="I109" s="63">
        <f t="shared" ref="I109:N109" ca="1" si="98">MAX($I$3:$N$3)</f>
        <v>3.496008236621595E-2</v>
      </c>
      <c r="J109" s="63">
        <f t="shared" ca="1" si="98"/>
        <v>3.496008236621595E-2</v>
      </c>
      <c r="K109" s="63">
        <f t="shared" ca="1" si="98"/>
        <v>3.496008236621595E-2</v>
      </c>
      <c r="L109" s="63">
        <f t="shared" ca="1" si="98"/>
        <v>3.496008236621595E-2</v>
      </c>
      <c r="M109" s="63">
        <f t="shared" ca="1" si="98"/>
        <v>3.496008236621595E-2</v>
      </c>
      <c r="N109" s="63">
        <f t="shared" ca="1" si="98"/>
        <v>3.496008236621595E-2</v>
      </c>
    </row>
    <row r="110" spans="2:14" x14ac:dyDescent="0.25">
      <c r="B110" t="s">
        <v>148</v>
      </c>
      <c r="H110" t="s">
        <v>155</v>
      </c>
      <c r="I110" s="63">
        <f t="shared" ref="I110:N110" ca="1" si="99">MIN($I$3:$N$3)</f>
        <v>1.5662279332111284E-2</v>
      </c>
      <c r="J110" s="63">
        <f t="shared" ca="1" si="99"/>
        <v>1.5662279332111284E-2</v>
      </c>
      <c r="K110" s="63">
        <f t="shared" ca="1" si="99"/>
        <v>1.5662279332111284E-2</v>
      </c>
      <c r="L110" s="63">
        <f t="shared" ca="1" si="99"/>
        <v>1.5662279332111284E-2</v>
      </c>
      <c r="M110" s="63">
        <f t="shared" ca="1" si="99"/>
        <v>1.5662279332111284E-2</v>
      </c>
      <c r="N110" s="63">
        <f t="shared" ca="1" si="99"/>
        <v>1.5662279332111284E-2</v>
      </c>
    </row>
    <row r="112" spans="2:14" x14ac:dyDescent="0.25">
      <c r="B112" s="133" t="s">
        <v>30</v>
      </c>
      <c r="I112" s="79">
        <f t="shared" ref="I112:N112" ca="1" si="100">OFFSET(I112,MATCH(S,$B$113:$B$115,0),0)</f>
        <v>1.5662279332111284E-2</v>
      </c>
      <c r="J112" s="80">
        <f t="shared" ca="1" si="100"/>
        <v>1.5662279332111284E-2</v>
      </c>
      <c r="K112" s="80">
        <f t="shared" ca="1" si="100"/>
        <v>1.5662279332111284E-2</v>
      </c>
      <c r="L112" s="80">
        <f t="shared" ca="1" si="100"/>
        <v>1.5662279332111284E-2</v>
      </c>
      <c r="M112" s="80">
        <f t="shared" ca="1" si="100"/>
        <v>1.5662279332111284E-2</v>
      </c>
      <c r="N112" s="81">
        <f t="shared" ca="1" si="100"/>
        <v>1.5662279332111284E-2</v>
      </c>
    </row>
    <row r="113" spans="2:14" x14ac:dyDescent="0.25">
      <c r="B113" t="s">
        <v>143</v>
      </c>
      <c r="H113" t="s">
        <v>154</v>
      </c>
      <c r="I113" s="63">
        <f t="shared" ref="I113:N113" ca="1" si="101">AVERAGE($I$3:$N$3)</f>
        <v>3.1199927755081031E-2</v>
      </c>
      <c r="J113" s="63">
        <f t="shared" ca="1" si="101"/>
        <v>3.1199927755081031E-2</v>
      </c>
      <c r="K113" s="63">
        <f t="shared" ca="1" si="101"/>
        <v>3.1199927755081031E-2</v>
      </c>
      <c r="L113" s="63">
        <f t="shared" ca="1" si="101"/>
        <v>3.1199927755081031E-2</v>
      </c>
      <c r="M113" s="63">
        <f t="shared" ca="1" si="101"/>
        <v>3.1199927755081031E-2</v>
      </c>
      <c r="N113" s="63">
        <f t="shared" ca="1" si="101"/>
        <v>3.1199927755081031E-2</v>
      </c>
    </row>
    <row r="114" spans="2:14" x14ac:dyDescent="0.25">
      <c r="B114" t="s">
        <v>145</v>
      </c>
      <c r="H114" t="s">
        <v>156</v>
      </c>
      <c r="I114" s="63">
        <f t="shared" ref="I114:N114" ca="1" si="102">MAX($I$3:$N$3)</f>
        <v>3.496008236621595E-2</v>
      </c>
      <c r="J114" s="63">
        <f t="shared" ca="1" si="102"/>
        <v>3.496008236621595E-2</v>
      </c>
      <c r="K114" s="63">
        <f t="shared" ca="1" si="102"/>
        <v>3.496008236621595E-2</v>
      </c>
      <c r="L114" s="63">
        <f t="shared" ca="1" si="102"/>
        <v>3.496008236621595E-2</v>
      </c>
      <c r="M114" s="63">
        <f t="shared" ca="1" si="102"/>
        <v>3.496008236621595E-2</v>
      </c>
      <c r="N114" s="63">
        <f t="shared" ca="1" si="102"/>
        <v>3.496008236621595E-2</v>
      </c>
    </row>
    <row r="115" spans="2:14" x14ac:dyDescent="0.25">
      <c r="B115" t="s">
        <v>148</v>
      </c>
      <c r="H115" t="s">
        <v>155</v>
      </c>
      <c r="I115" s="63">
        <f t="shared" ref="I115:N115" ca="1" si="103">MIN($I$3:$N$3)</f>
        <v>1.5662279332111284E-2</v>
      </c>
      <c r="J115" s="63">
        <f t="shared" ca="1" si="103"/>
        <v>1.5662279332111284E-2</v>
      </c>
      <c r="K115" s="63">
        <f t="shared" ca="1" si="103"/>
        <v>1.5662279332111284E-2</v>
      </c>
      <c r="L115" s="63">
        <f t="shared" ca="1" si="103"/>
        <v>1.5662279332111284E-2</v>
      </c>
      <c r="M115" s="63">
        <f t="shared" ca="1" si="103"/>
        <v>1.5662279332111284E-2</v>
      </c>
      <c r="N115" s="63">
        <f t="shared" ca="1" si="103"/>
        <v>1.5662279332111284E-2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1.439279193259845E-2</v>
      </c>
      <c r="J117" s="80">
        <f t="shared" ca="1" si="104"/>
        <v>1.439279193259845E-2</v>
      </c>
      <c r="K117" s="80">
        <f t="shared" ca="1" si="104"/>
        <v>1.439279193259845E-2</v>
      </c>
      <c r="L117" s="80">
        <f t="shared" ca="1" si="104"/>
        <v>1.439279193259845E-2</v>
      </c>
      <c r="M117" s="80">
        <f t="shared" ca="1" si="104"/>
        <v>1.439279193259845E-2</v>
      </c>
      <c r="N117" s="81">
        <f t="shared" ca="1" si="104"/>
        <v>1.439279193259845E-2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-8.3781034721901154E-2</v>
      </c>
      <c r="J123" s="92">
        <f t="shared" ca="1" si="107"/>
        <v>-8.3781034721901154E-2</v>
      </c>
      <c r="K123" s="92">
        <f t="shared" ca="1" si="107"/>
        <v>-8.3781034721901154E-2</v>
      </c>
      <c r="L123" s="92">
        <f t="shared" ca="1" si="107"/>
        <v>-8.3781034721901154E-2</v>
      </c>
      <c r="M123" s="92">
        <f t="shared" ca="1" si="107"/>
        <v>-8.3781034721901154E-2</v>
      </c>
      <c r="N123" s="93">
        <f t="shared" ca="1" si="107"/>
        <v>-8.3781034721901154E-2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-0.25958064342747256</v>
      </c>
      <c r="J128" s="63">
        <f t="shared" ca="1" si="111"/>
        <v>-0.25958064342747256</v>
      </c>
      <c r="K128" s="63">
        <f t="shared" ca="1" si="111"/>
        <v>-0.25958064342747256</v>
      </c>
      <c r="L128" s="63">
        <f t="shared" ca="1" si="111"/>
        <v>-0.25958064342747256</v>
      </c>
      <c r="M128" s="63">
        <f t="shared" ca="1" si="111"/>
        <v>-0.25958064342747256</v>
      </c>
      <c r="N128" s="63">
        <f t="shared" ca="1" si="111"/>
        <v>-0.25958064342747256</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-63402.663775142166</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0.11999157786699637</v>
      </c>
      <c r="J64" s="80">
        <f t="shared" ca="1" si="11"/>
        <v>0.15239480057441668</v>
      </c>
      <c r="K64" s="80">
        <f t="shared" ca="1" si="11"/>
        <v>0.184798023281837</v>
      </c>
      <c r="L64" s="80">
        <f t="shared" ca="1" si="11"/>
        <v>0.21729002194188021</v>
      </c>
      <c r="M64" s="80">
        <f t="shared" ca="1" si="11"/>
        <v>0.24969324464930054</v>
      </c>
      <c r="N64" s="81">
        <f t="shared" ca="1" si="11"/>
        <v>0.28209646735672084</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A11" workbookViewId="0">
      <selection sqref="A1:C25"/>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194"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194"/>
      <c r="B3" s="56" t="s">
        <v>93</v>
      </c>
      <c r="C3">
        <v>0.86726499999999995</v>
      </c>
      <c r="D3">
        <v>481.1</v>
      </c>
      <c r="E3" s="57">
        <v>21397.9</v>
      </c>
      <c r="F3">
        <f>(E3/E2)-1</f>
        <v>1.3561264897023584E-2</v>
      </c>
    </row>
    <row r="4" spans="1:27" x14ac:dyDescent="0.25">
      <c r="A4" s="194"/>
      <c r="B4" s="56" t="s">
        <v>94</v>
      </c>
      <c r="C4">
        <v>0.95559799999999995</v>
      </c>
      <c r="D4">
        <v>493.9</v>
      </c>
      <c r="E4" s="57">
        <v>21717.200000000001</v>
      </c>
      <c r="F4">
        <f t="shared" ref="F4:F25" si="0">(E4/E3)-1</f>
        <v>1.4922025058533794E-2</v>
      </c>
      <c r="L4" s="62" t="s">
        <v>105</v>
      </c>
      <c r="M4" s="62"/>
      <c r="V4" s="62" t="s">
        <v>105</v>
      </c>
      <c r="W4" s="62"/>
    </row>
    <row r="5" spans="1:27" x14ac:dyDescent="0.25">
      <c r="A5" s="194"/>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194" t="s">
        <v>96</v>
      </c>
      <c r="B6" s="56" t="s">
        <v>92</v>
      </c>
      <c r="C6">
        <v>0.95571200000000001</v>
      </c>
      <c r="D6">
        <v>457.1</v>
      </c>
      <c r="E6" s="57">
        <v>21727.7</v>
      </c>
      <c r="F6">
        <f t="shared" si="0"/>
        <v>-9.369357868436845E-3</v>
      </c>
      <c r="L6" t="s">
        <v>107</v>
      </c>
      <c r="M6">
        <v>0.87413963187231591</v>
      </c>
      <c r="V6" t="s">
        <v>107</v>
      </c>
      <c r="W6">
        <v>0.83429407050779791</v>
      </c>
    </row>
    <row r="7" spans="1:27" x14ac:dyDescent="0.25">
      <c r="A7" s="194"/>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194"/>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194"/>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194" t="s">
        <v>97</v>
      </c>
      <c r="B10" s="56" t="s">
        <v>92</v>
      </c>
      <c r="C10">
        <v>0.60895999999999995</v>
      </c>
      <c r="D10">
        <v>375.9</v>
      </c>
      <c r="E10" s="57">
        <v>22656.799999999999</v>
      </c>
      <c r="F10">
        <f t="shared" si="0"/>
        <v>2.6643949829623814E-2</v>
      </c>
    </row>
    <row r="11" spans="1:27" ht="15.75" thickBot="1" x14ac:dyDescent="0.3">
      <c r="A11" s="194"/>
      <c r="B11" s="56" t="s">
        <v>93</v>
      </c>
      <c r="C11">
        <v>0.76502499999999996</v>
      </c>
      <c r="D11">
        <v>450.3</v>
      </c>
      <c r="E11" s="57">
        <v>23368.9</v>
      </c>
      <c r="F11">
        <f t="shared" si="0"/>
        <v>3.1429857702764741E-2</v>
      </c>
      <c r="L11" t="s">
        <v>111</v>
      </c>
      <c r="V11" t="s">
        <v>111</v>
      </c>
    </row>
    <row r="12" spans="1:27" x14ac:dyDescent="0.25">
      <c r="A12" s="194"/>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194"/>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194"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194"/>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194"/>
      <c r="B16" s="56" t="s">
        <v>94</v>
      </c>
      <c r="C16">
        <v>1.05382</v>
      </c>
      <c r="D16">
        <v>582.1</v>
      </c>
      <c r="E16" s="57">
        <v>26272</v>
      </c>
      <c r="F16">
        <f t="shared" si="0"/>
        <v>1.8065706159080541E-2</v>
      </c>
    </row>
    <row r="17" spans="1:30" x14ac:dyDescent="0.25">
      <c r="A17" s="194"/>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194"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194"/>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194"/>
      <c r="B20" s="56" t="s">
        <v>94</v>
      </c>
      <c r="C20">
        <v>1.1575500000000001</v>
      </c>
      <c r="D20">
        <v>617.1</v>
      </c>
      <c r="E20" s="57">
        <v>27967.7</v>
      </c>
      <c r="F20">
        <f t="shared" si="0"/>
        <v>1.8718720177170356E-2</v>
      </c>
    </row>
    <row r="21" spans="1:30" x14ac:dyDescent="0.25">
      <c r="A21" s="194"/>
      <c r="B21" s="56" t="s">
        <v>95</v>
      </c>
      <c r="C21">
        <v>1.224585</v>
      </c>
      <c r="D21">
        <v>632</v>
      </c>
      <c r="E21" s="57">
        <v>28297</v>
      </c>
      <c r="F21">
        <f t="shared" si="0"/>
        <v>1.177429677806896E-2</v>
      </c>
      <c r="G21" s="63">
        <f>SUM(F19:F21)</f>
        <v>4.1146666584901626E-2</v>
      </c>
    </row>
    <row r="22" spans="1:30" x14ac:dyDescent="0.25">
      <c r="A22" s="194" t="s">
        <v>100</v>
      </c>
      <c r="B22" s="56" t="s">
        <v>92</v>
      </c>
      <c r="C22">
        <v>1.227201</v>
      </c>
      <c r="D22">
        <v>637.6</v>
      </c>
      <c r="E22" s="57">
        <v>28624.1</v>
      </c>
      <c r="F22">
        <f t="shared" si="0"/>
        <v>1.1559529278722058E-2</v>
      </c>
    </row>
    <row r="23" spans="1:30" x14ac:dyDescent="0.25">
      <c r="A23" s="194"/>
      <c r="B23" s="56" t="s">
        <v>93</v>
      </c>
      <c r="C23">
        <v>1.435846</v>
      </c>
      <c r="D23">
        <v>659.4</v>
      </c>
      <c r="E23" s="57">
        <v>29016.7</v>
      </c>
      <c r="F23">
        <f t="shared" si="0"/>
        <v>1.3715715079251511E-2</v>
      </c>
      <c r="L23" t="s">
        <v>128</v>
      </c>
      <c r="V23" t="s">
        <v>128</v>
      </c>
    </row>
    <row r="24" spans="1:30" ht="15.75" thickBot="1" x14ac:dyDescent="0.3">
      <c r="A24" s="194"/>
      <c r="B24" s="56" t="s">
        <v>94</v>
      </c>
      <c r="C24">
        <v>1.5226919999999999</v>
      </c>
      <c r="D24">
        <v>654.4</v>
      </c>
      <c r="E24" s="57">
        <v>29374.9</v>
      </c>
      <c r="F24">
        <f t="shared" si="0"/>
        <v>1.234461534219955E-2</v>
      </c>
    </row>
    <row r="25" spans="1:30" x14ac:dyDescent="0.25">
      <c r="A25" s="194"/>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194">
        <f>A22+1</f>
        <v>2025</v>
      </c>
      <c r="B28" s="56" t="s">
        <v>92</v>
      </c>
      <c r="C28">
        <v>1.450172</v>
      </c>
      <c r="D28" s="34">
        <f>$W$18+(($W$19)*(E28))</f>
        <v>686.83224464284103</v>
      </c>
      <c r="E28" s="34">
        <v>29962</v>
      </c>
      <c r="F28" s="63">
        <f ca="1">((1+$G$31)^(1/4))-1</f>
        <v>4.9629315732038215E-3</v>
      </c>
      <c r="G28" s="63" t="s">
        <v>138</v>
      </c>
      <c r="L28">
        <v>3</v>
      </c>
      <c r="M28">
        <v>0.88777724031588168</v>
      </c>
      <c r="N28">
        <v>6.782075968411827E-2</v>
      </c>
      <c r="V28">
        <v>3</v>
      </c>
      <c r="W28">
        <v>426.66743448481247</v>
      </c>
      <c r="X28">
        <v>67.232565515187503</v>
      </c>
    </row>
    <row r="29" spans="1:30" x14ac:dyDescent="0.25">
      <c r="A29" s="194"/>
      <c r="B29" s="56" t="s">
        <v>93</v>
      </c>
      <c r="C29">
        <v>1.5881829999999999</v>
      </c>
      <c r="D29" s="34">
        <f t="shared" ref="D29:D51" si="1">$W$18+(($W$19)*(E29))</f>
        <v>698.47920168598682</v>
      </c>
      <c r="E29" s="34">
        <v>30331.1</v>
      </c>
      <c r="F29" s="63">
        <f ca="1">((1+$G$31)^(1/4))-1</f>
        <v>4.9629315732038215E-3</v>
      </c>
      <c r="G29" s="63" t="s">
        <v>139</v>
      </c>
      <c r="L29">
        <v>4</v>
      </c>
      <c r="M29">
        <v>0.90950407146155898</v>
      </c>
      <c r="N29">
        <v>0.10756592853844094</v>
      </c>
      <c r="V29">
        <v>4</v>
      </c>
      <c r="W29">
        <v>433.48331831390885</v>
      </c>
      <c r="X29">
        <v>68.516681686091147</v>
      </c>
    </row>
    <row r="30" spans="1:30" x14ac:dyDescent="0.25">
      <c r="A30" s="194"/>
      <c r="B30" s="56" t="s">
        <v>94</v>
      </c>
      <c r="C30">
        <f t="shared" ref="C30" ca="1" si="2">$M$18+(($M$19)*(D30))</f>
        <v>1.4620705066418369</v>
      </c>
      <c r="D30" s="34">
        <f t="shared" ca="1" si="1"/>
        <v>708.00280339780545</v>
      </c>
      <c r="E30" s="34">
        <f t="shared" ref="E30:E51" ca="1" si="3">E29*(1+F30)</f>
        <v>30632.909423595403</v>
      </c>
      <c r="F30" s="63">
        <f ca="1">((1+$G$31)^(1/2))-1</f>
        <v>9.9504938362078299E-3</v>
      </c>
      <c r="G30" s="63"/>
      <c r="L30">
        <v>5</v>
      </c>
      <c r="M30">
        <v>0.78906768646885461</v>
      </c>
      <c r="N30">
        <v>0.16664431353114539</v>
      </c>
      <c r="V30">
        <v>5</v>
      </c>
      <c r="W30">
        <v>426.99876217094913</v>
      </c>
      <c r="X30">
        <v>30.101237829050888</v>
      </c>
    </row>
    <row r="31" spans="1:30" x14ac:dyDescent="0.25">
      <c r="A31" s="194"/>
      <c r="B31" s="66" t="s">
        <v>95</v>
      </c>
      <c r="C31" s="67">
        <f ca="1">$M$18+(($M$19)*(D31))</f>
        <v>1.487870089290406</v>
      </c>
      <c r="D31" s="59">
        <f t="shared" ca="1" si="1"/>
        <v>717.62116964975598</v>
      </c>
      <c r="E31" s="59">
        <f t="shared" ca="1" si="3"/>
        <v>30937.722000000002</v>
      </c>
      <c r="F31" s="63">
        <f ca="1">((1+$G$31)^(1/2))-1</f>
        <v>9.9504938362078299E-3</v>
      </c>
      <c r="G31" s="69">
        <f ca="1">OFFSET(B61,MATCH(S,A62:A64,0),0)</f>
        <v>1.9999999999999997E-2</v>
      </c>
      <c r="H31" s="34"/>
      <c r="I31" s="34"/>
      <c r="L31">
        <v>6</v>
      </c>
      <c r="M31">
        <v>0.36874738516914907</v>
      </c>
      <c r="N31">
        <v>-2.9402385169149059E-2</v>
      </c>
      <c r="V31">
        <v>6</v>
      </c>
      <c r="W31">
        <v>370.4427038983124</v>
      </c>
      <c r="X31">
        <v>-70.042703898312425</v>
      </c>
    </row>
    <row r="32" spans="1:30" x14ac:dyDescent="0.25">
      <c r="A32" s="194">
        <f>A28+1</f>
        <v>2026</v>
      </c>
      <c r="B32" s="70" t="s">
        <v>92</v>
      </c>
      <c r="C32">
        <f t="shared" ref="C32:C51" ca="1" si="4">$M$18+(($M$19)*(D32))</f>
        <v>1.5008659910232356</v>
      </c>
      <c r="D32" s="34">
        <f t="shared" ca="1" si="1"/>
        <v>722.46618378596906</v>
      </c>
      <c r="E32" s="34">
        <f t="shared" ca="1" si="3"/>
        <v>31091.263797316806</v>
      </c>
      <c r="F32" s="63">
        <f ca="1">((1+$G$35)^(1/4))-1</f>
        <v>4.9629315732038215E-3</v>
      </c>
      <c r="G32" s="71"/>
      <c r="L32">
        <v>7</v>
      </c>
      <c r="M32">
        <v>0.48891553767857354</v>
      </c>
      <c r="N32">
        <v>1.082846232142648E-2</v>
      </c>
      <c r="V32">
        <v>7</v>
      </c>
      <c r="W32">
        <v>425.63874090690251</v>
      </c>
      <c r="X32">
        <v>-80.438740906902524</v>
      </c>
    </row>
    <row r="33" spans="1:24" x14ac:dyDescent="0.25">
      <c r="A33" s="194"/>
      <c r="B33" s="72" t="s">
        <v>93</v>
      </c>
      <c r="C33">
        <f t="shared" ca="1" si="4"/>
        <v>1.5139263905270972</v>
      </c>
      <c r="D33" s="34">
        <f t="shared" ca="1" si="1"/>
        <v>727.33524339581129</v>
      </c>
      <c r="E33" s="34">
        <f t="shared" ca="1" si="3"/>
        <v>31245.56761206732</v>
      </c>
      <c r="F33" s="63">
        <f t="shared" ref="F33" ca="1" si="5">((1+$G$35)^(1/4))-1</f>
        <v>4.9629315732038215E-3</v>
      </c>
      <c r="G33" s="71"/>
      <c r="I33" s="34"/>
      <c r="L33">
        <v>8</v>
      </c>
      <c r="M33">
        <v>0.53666091970240737</v>
      </c>
      <c r="N33">
        <v>3.3219080297592685E-2</v>
      </c>
      <c r="V33">
        <v>8</v>
      </c>
      <c r="W33">
        <v>437.76217871773042</v>
      </c>
      <c r="X33">
        <v>-74.762178717730421</v>
      </c>
    </row>
    <row r="34" spans="1:24" x14ac:dyDescent="0.25">
      <c r="A34" s="194"/>
      <c r="B34" s="72" t="s">
        <v>94</v>
      </c>
      <c r="C34">
        <f t="shared" ca="1" si="4"/>
        <v>1.5270516079000149</v>
      </c>
      <c r="D34" s="34">
        <f t="shared" ca="1" si="1"/>
        <v>732.22846781532292</v>
      </c>
      <c r="E34" s="34">
        <f t="shared" ca="1" si="3"/>
        <v>31400.637226091923</v>
      </c>
      <c r="F34" s="63">
        <f ca="1">((1+$G$35)^(1/4))-1</f>
        <v>4.9629315732038215E-3</v>
      </c>
      <c r="G34" s="71"/>
      <c r="L34">
        <v>9</v>
      </c>
      <c r="M34">
        <v>0.57126291004552288</v>
      </c>
      <c r="N34">
        <v>3.769708995447707E-2</v>
      </c>
      <c r="V34">
        <v>9</v>
      </c>
      <c r="W34">
        <v>456.31652914138181</v>
      </c>
      <c r="X34">
        <v>-80.41652914138183</v>
      </c>
    </row>
    <row r="35" spans="1:24" x14ac:dyDescent="0.25">
      <c r="A35" s="194"/>
      <c r="B35" s="73" t="s">
        <v>95</v>
      </c>
      <c r="C35" s="74">
        <f t="shared" ca="1" si="4"/>
        <v>1.5402419648286378</v>
      </c>
      <c r="D35" s="59">
        <f t="shared" ca="1" si="1"/>
        <v>737.1459769728009</v>
      </c>
      <c r="E35" s="59">
        <f t="shared" ca="1" si="3"/>
        <v>31556.476440000013</v>
      </c>
      <c r="F35" s="68">
        <f ca="1">((1+$G$35)^(1/4))-1</f>
        <v>4.9629315732038215E-3</v>
      </c>
      <c r="G35" s="69">
        <f ca="1">OFFSET(C61,MATCH(S,A62:A64,0),0)</f>
        <v>1.9999999999999997E-2</v>
      </c>
      <c r="L35">
        <v>10</v>
      </c>
      <c r="M35">
        <v>0.77082787760581684</v>
      </c>
      <c r="N35">
        <v>-5.8028776058168807E-3</v>
      </c>
      <c r="V35">
        <v>10</v>
      </c>
      <c r="W35">
        <v>478.786857264991</v>
      </c>
      <c r="X35">
        <v>-28.486857264990988</v>
      </c>
    </row>
    <row r="36" spans="1:24" x14ac:dyDescent="0.25">
      <c r="A36" s="194">
        <f t="shared" ref="A36" si="6">A32+1</f>
        <v>2027</v>
      </c>
      <c r="B36" s="70" t="s">
        <v>92</v>
      </c>
      <c r="C36">
        <f t="shared" ca="1" si="4"/>
        <v>1.5534977845961238</v>
      </c>
      <c r="D36" s="34">
        <f t="shared" ca="1" si="1"/>
        <v>742.08789139173814</v>
      </c>
      <c r="E36" s="34">
        <f t="shared" ca="1" si="3"/>
        <v>31713.089073263152</v>
      </c>
      <c r="F36" s="63">
        <f ca="1">((1+$G$39)^(1/4))-1</f>
        <v>4.9629315732038215E-3</v>
      </c>
      <c r="G36" s="71"/>
      <c r="L36">
        <v>11</v>
      </c>
      <c r="M36">
        <v>0.94249666690499456</v>
      </c>
      <c r="N36">
        <v>-7.8091666904994583E-2</v>
      </c>
      <c r="V36">
        <v>11</v>
      </c>
      <c r="W36">
        <v>496.23993756995958</v>
      </c>
      <c r="X36">
        <v>18.060062430040375</v>
      </c>
    </row>
    <row r="37" spans="1:24" x14ac:dyDescent="0.25">
      <c r="A37" s="194"/>
      <c r="B37" s="72" t="s">
        <v>93</v>
      </c>
      <c r="C37">
        <f t="shared" ca="1" si="4"/>
        <v>1.5668193920900628</v>
      </c>
      <c r="D37" s="34">
        <f t="shared" ca="1" si="1"/>
        <v>747.05433219377721</v>
      </c>
      <c r="E37" s="34">
        <f t="shared" ca="1" si="3"/>
        <v>31870.478964308677</v>
      </c>
      <c r="F37" s="63">
        <f t="shared" ref="F37:F38" ca="1" si="7">((1+$G$39)^(1/4))-1</f>
        <v>4.9629315732038215E-3</v>
      </c>
      <c r="G37" s="71"/>
      <c r="L37">
        <v>12</v>
      </c>
      <c r="M37">
        <v>0.98407270181338902</v>
      </c>
      <c r="N37">
        <v>-1.4139701813388972E-2</v>
      </c>
      <c r="V37">
        <v>12</v>
      </c>
      <c r="W37">
        <v>523.2194777267996</v>
      </c>
      <c r="X37">
        <v>6.5805222732003585</v>
      </c>
    </row>
    <row r="38" spans="1:24" x14ac:dyDescent="0.25">
      <c r="A38" s="194"/>
      <c r="B38" s="72" t="s">
        <v>94</v>
      </c>
      <c r="C38">
        <f t="shared" ca="1" si="4"/>
        <v>1.580207113810439</v>
      </c>
      <c r="D38" s="34">
        <f t="shared" ca="1" si="1"/>
        <v>752.04542110167915</v>
      </c>
      <c r="E38" s="34">
        <f t="shared" ca="1" si="3"/>
        <v>32028.649970613773</v>
      </c>
      <c r="F38" s="63">
        <f t="shared" ca="1" si="7"/>
        <v>4.9629315732038215E-3</v>
      </c>
      <c r="G38" s="71"/>
      <c r="L38">
        <v>13</v>
      </c>
      <c r="M38">
        <v>1.0100912526915458</v>
      </c>
      <c r="N38">
        <v>-0.13451625269154577</v>
      </c>
      <c r="V38">
        <v>13</v>
      </c>
      <c r="W38">
        <v>537.05635300021993</v>
      </c>
      <c r="X38">
        <v>2.4436469997800714</v>
      </c>
    </row>
    <row r="39" spans="1:24" x14ac:dyDescent="0.25">
      <c r="A39" s="194"/>
      <c r="B39" s="73" t="s">
        <v>95</v>
      </c>
      <c r="C39" s="74">
        <f t="shared" ca="1" si="4"/>
        <v>1.5936612778776342</v>
      </c>
      <c r="D39" s="59">
        <f t="shared" ca="1" si="1"/>
        <v>757.06128044230661</v>
      </c>
      <c r="E39" s="59">
        <f t="shared" ca="1" si="3"/>
        <v>32187.605968800024</v>
      </c>
      <c r="F39" s="68">
        <f ca="1">((1+$G$39)^(1/4))-1</f>
        <v>4.9629315732038215E-3</v>
      </c>
      <c r="G39" s="69">
        <f ca="1">OFFSET(D61,MATCH(S,A62:A64,0),0)</f>
        <v>1.9999999999999997E-2</v>
      </c>
      <c r="L39">
        <v>14</v>
      </c>
      <c r="M39">
        <v>1.0978032747240944</v>
      </c>
      <c r="N39">
        <v>-0.10705527472409448</v>
      </c>
      <c r="V39">
        <v>14</v>
      </c>
      <c r="W39">
        <v>555.68327996464404</v>
      </c>
      <c r="X39">
        <v>16.516720035356002</v>
      </c>
    </row>
    <row r="40" spans="1:24" x14ac:dyDescent="0.25">
      <c r="A40" s="194">
        <f t="shared" ref="A40" si="8">A36+1</f>
        <v>2028</v>
      </c>
      <c r="B40" s="70" t="s">
        <v>92</v>
      </c>
      <c r="C40">
        <f t="shared" ca="1" si="4"/>
        <v>1.6071822140404697</v>
      </c>
      <c r="D40" s="34">
        <f t="shared" ca="1" si="1"/>
        <v>762.10203314962257</v>
      </c>
      <c r="E40" s="34">
        <f t="shared" ca="1" si="3"/>
        <v>32347.350854728425</v>
      </c>
      <c r="F40" s="63">
        <f ca="1">((1+$G$43)^(1/4))-1</f>
        <v>4.9629315732038215E-3</v>
      </c>
      <c r="G40" s="71"/>
      <c r="L40">
        <v>15</v>
      </c>
      <c r="M40">
        <v>1.124358290568811</v>
      </c>
      <c r="N40">
        <v>-7.0538290568811002E-2</v>
      </c>
      <c r="V40">
        <v>15</v>
      </c>
      <c r="W40">
        <v>570.39422922911058</v>
      </c>
      <c r="X40">
        <v>11.705770770889444</v>
      </c>
    </row>
    <row r="41" spans="1:24" x14ac:dyDescent="0.25">
      <c r="A41" s="194"/>
      <c r="B41" s="72" t="s">
        <v>93</v>
      </c>
      <c r="C41">
        <f t="shared" ca="1" si="4"/>
        <v>1.6207702536842867</v>
      </c>
      <c r="D41" s="34">
        <f t="shared" ca="1" si="1"/>
        <v>767.16780276770226</v>
      </c>
      <c r="E41" s="34">
        <f t="shared" ca="1" si="3"/>
        <v>32507.888543594858</v>
      </c>
      <c r="F41" s="63">
        <f t="shared" ref="F41:F43" ca="1" si="9">((1+$G$43)^(1/4))-1</f>
        <v>4.9629315732038215E-3</v>
      </c>
      <c r="G41" s="71"/>
      <c r="L41">
        <v>16</v>
      </c>
      <c r="M41">
        <v>1.1535956312463271</v>
      </c>
      <c r="N41">
        <v>2.1396368753672901E-2</v>
      </c>
      <c r="V41">
        <v>16</v>
      </c>
      <c r="W41">
        <v>584.98211392444045</v>
      </c>
      <c r="X41">
        <v>8.0178860755595451</v>
      </c>
    </row>
    <row r="42" spans="1:24" x14ac:dyDescent="0.25">
      <c r="A42" s="194"/>
      <c r="B42" s="72" t="s">
        <v>94</v>
      </c>
      <c r="C42">
        <f t="shared" ca="1" si="4"/>
        <v>1.6344257298390703</v>
      </c>
      <c r="D42" s="34">
        <f t="shared" ca="1" si="1"/>
        <v>772.2587134537622</v>
      </c>
      <c r="E42" s="34">
        <f t="shared" ca="1" si="3"/>
        <v>32669.222970026054</v>
      </c>
      <c r="F42" s="63">
        <f ca="1">((1+$G$43)^(1/4))-1</f>
        <v>4.9629315732038215E-3</v>
      </c>
      <c r="G42" s="71"/>
      <c r="L42">
        <v>17</v>
      </c>
      <c r="M42">
        <v>1.1946352011881618</v>
      </c>
      <c r="N42">
        <v>-0.19408720118816181</v>
      </c>
      <c r="V42">
        <v>17</v>
      </c>
      <c r="W42">
        <v>598.55392704895155</v>
      </c>
      <c r="X42">
        <v>9.7460729510484043</v>
      </c>
    </row>
    <row r="43" spans="1:24" x14ac:dyDescent="0.25">
      <c r="A43" s="194"/>
      <c r="B43" s="73" t="s">
        <v>95</v>
      </c>
      <c r="C43" s="74">
        <f t="shared" ca="1" si="4"/>
        <v>1.6481489771876103</v>
      </c>
      <c r="D43" s="59">
        <f t="shared" ca="1" si="1"/>
        <v>777.3748899812025</v>
      </c>
      <c r="E43" s="59">
        <f t="shared" ca="1" si="3"/>
        <v>32831.358088176035</v>
      </c>
      <c r="F43" s="68">
        <f t="shared" ca="1" si="9"/>
        <v>4.9629315732038215E-3</v>
      </c>
      <c r="G43" s="69">
        <f ca="1">OFFSET(E61,MATCH(S,A62:A64,0),0)</f>
        <v>1.9999999999999997E-2</v>
      </c>
      <c r="L43">
        <v>18</v>
      </c>
      <c r="M43">
        <v>1.1994633858872012</v>
      </c>
      <c r="N43">
        <v>-0.17855738588720116</v>
      </c>
      <c r="V43">
        <v>18</v>
      </c>
      <c r="W43">
        <v>607.68594917923156</v>
      </c>
      <c r="X43">
        <v>2.4140508207684661</v>
      </c>
    </row>
    <row r="44" spans="1:24" x14ac:dyDescent="0.25">
      <c r="A44" s="194">
        <f t="shared" ref="A44" si="10">A40+1</f>
        <v>2029</v>
      </c>
      <c r="B44" s="70" t="s">
        <v>92</v>
      </c>
      <c r="C44">
        <f t="shared" ca="1" si="4"/>
        <v>1.6619403320737027</v>
      </c>
      <c r="D44" s="34">
        <f t="shared" ca="1" si="1"/>
        <v>782.51645774266478</v>
      </c>
      <c r="E44" s="34">
        <f t="shared" ca="1" si="3"/>
        <v>32994.297871823008</v>
      </c>
      <c r="F44" s="63">
        <f ca="1">((1+$G$47)^(1/4))-1</f>
        <v>4.9629315732038215E-3</v>
      </c>
      <c r="G44" s="71"/>
      <c r="L44">
        <v>19</v>
      </c>
      <c r="M44">
        <v>1.2182396597167988</v>
      </c>
      <c r="N44">
        <v>-6.0689659716798738E-2</v>
      </c>
      <c r="V44">
        <v>19</v>
      </c>
      <c r="W44">
        <v>623.90207278929017</v>
      </c>
      <c r="X44">
        <v>-6.8020727892901505</v>
      </c>
    </row>
    <row r="45" spans="1:24" x14ac:dyDescent="0.25">
      <c r="A45" s="194"/>
      <c r="B45" s="72" t="s">
        <v>93</v>
      </c>
      <c r="C45">
        <f t="shared" ca="1" si="4"/>
        <v>1.6758001325103962</v>
      </c>
      <c r="D45" s="34">
        <f t="shared" ca="1" si="1"/>
        <v>787.68354275310605</v>
      </c>
      <c r="E45" s="34">
        <f t="shared" ca="1" si="3"/>
        <v>33158.046314466766</v>
      </c>
      <c r="F45" s="63">
        <f t="shared" ref="F45:F47" ca="1" si="11">((1+$G$47)^(1/4))-1</f>
        <v>4.9629315732038215E-3</v>
      </c>
      <c r="G45" s="71"/>
      <c r="L45">
        <v>20</v>
      </c>
      <c r="M45">
        <v>1.2582062997255137</v>
      </c>
      <c r="N45">
        <v>-3.3621299725513643E-2</v>
      </c>
      <c r="V45">
        <v>20</v>
      </c>
      <c r="W45">
        <v>634.29314012688951</v>
      </c>
      <c r="X45">
        <v>-2.2931401268895115</v>
      </c>
    </row>
    <row r="46" spans="1:24" x14ac:dyDescent="0.25">
      <c r="A46" s="194"/>
      <c r="B46" s="72" t="s">
        <v>94</v>
      </c>
      <c r="C46">
        <f t="shared" ca="1" si="4"/>
        <v>1.6897287181882752</v>
      </c>
      <c r="D46" s="34">
        <f t="shared" ca="1" si="1"/>
        <v>792.87627165288711</v>
      </c>
      <c r="E46" s="34">
        <f t="shared" ca="1" si="3"/>
        <v>33322.607429426585</v>
      </c>
      <c r="F46" s="63">
        <f ca="1">((1+$G$47)^(1/4))-1</f>
        <v>4.9629315732038215E-3</v>
      </c>
      <c r="G46" s="71"/>
      <c r="L46">
        <v>21</v>
      </c>
      <c r="M46">
        <v>1.2732273187891916</v>
      </c>
      <c r="N46">
        <v>-4.6026318789191611E-2</v>
      </c>
      <c r="V46">
        <v>21</v>
      </c>
      <c r="W46">
        <v>644.61478642548866</v>
      </c>
      <c r="X46">
        <v>-7.0147864254886372</v>
      </c>
    </row>
    <row r="47" spans="1:24" x14ac:dyDescent="0.25">
      <c r="A47" s="194"/>
      <c r="B47" s="73" t="s">
        <v>95</v>
      </c>
      <c r="C47" s="74">
        <f t="shared" ca="1" si="4"/>
        <v>1.703726430483786</v>
      </c>
      <c r="D47" s="59">
        <f t="shared" ca="1" si="1"/>
        <v>798.09477171087622</v>
      </c>
      <c r="E47" s="59">
        <f t="shared" ca="1" si="3"/>
        <v>33487.985249939564</v>
      </c>
      <c r="F47" s="68">
        <f t="shared" ca="1" si="11"/>
        <v>4.9629315732038215E-3</v>
      </c>
      <c r="G47" s="69">
        <f ca="1">OFFSET(F61,MATCH(S,A62:A64,0),0)</f>
        <v>1.9999999999999997E-2</v>
      </c>
      <c r="L47">
        <v>22</v>
      </c>
      <c r="M47">
        <v>1.3317020001442239</v>
      </c>
      <c r="N47">
        <v>0.10414399985577605</v>
      </c>
      <c r="V47">
        <v>22</v>
      </c>
      <c r="W47">
        <v>657.00328638522603</v>
      </c>
      <c r="X47">
        <v>2.3967136147739438</v>
      </c>
    </row>
    <row r="48" spans="1:24" x14ac:dyDescent="0.25">
      <c r="A48" s="194">
        <f t="shared" ref="A48" si="12">A44+1</f>
        <v>2030</v>
      </c>
      <c r="B48" s="70" t="s">
        <v>92</v>
      </c>
      <c r="C48">
        <f t="shared" ca="1" si="4"/>
        <v>1.7177936124675997</v>
      </c>
      <c r="D48" s="34">
        <f t="shared" ca="1" si="1"/>
        <v>803.3391708275675</v>
      </c>
      <c r="E48" s="34">
        <f t="shared" ca="1" si="3"/>
        <v>33654.183829259469</v>
      </c>
      <c r="F48" s="63">
        <f ca="1">((1+$G$51)^(1/4))-1</f>
        <v>4.9629315732038215E-3</v>
      </c>
      <c r="G48" s="71"/>
      <c r="L48">
        <v>23</v>
      </c>
      <c r="M48">
        <v>1.3182903759802258</v>
      </c>
      <c r="N48">
        <v>0.20440162401977413</v>
      </c>
      <c r="V48">
        <v>23</v>
      </c>
      <c r="W48">
        <v>668.30629373514432</v>
      </c>
      <c r="X48">
        <v>-13.906293735144345</v>
      </c>
    </row>
    <row r="49" spans="1:24" ht="15.75" thickBot="1" x14ac:dyDescent="0.3">
      <c r="A49" s="194"/>
      <c r="B49" s="72" t="s">
        <v>93</v>
      </c>
      <c r="C49">
        <f t="shared" ca="1" si="4"/>
        <v>1.7319306089130273</v>
      </c>
      <c r="D49" s="34">
        <f t="shared" ca="1" si="1"/>
        <v>808.60959753821783</v>
      </c>
      <c r="E49" s="34">
        <f t="shared" ca="1" si="3"/>
        <v>33821.207240756106</v>
      </c>
      <c r="F49" s="63">
        <f t="shared" ref="F49:F51" ca="1" si="13">((1+$G$51)^(1/4))-1</f>
        <v>4.9629315732038215E-3</v>
      </c>
      <c r="G49" s="71"/>
      <c r="L49" s="64">
        <v>24</v>
      </c>
      <c r="M49" s="64">
        <v>1.3724733376027789</v>
      </c>
      <c r="N49" s="64">
        <v>0.22780366239722105</v>
      </c>
      <c r="V49" s="64">
        <v>24</v>
      </c>
      <c r="W49" s="64">
        <v>679.31899492197147</v>
      </c>
      <c r="X49" s="64">
        <v>-4.7189949219714435</v>
      </c>
    </row>
    <row r="50" spans="1:24" x14ac:dyDescent="0.25">
      <c r="A50" s="194"/>
      <c r="B50" s="72" t="s">
        <v>94</v>
      </c>
      <c r="C50">
        <f t="shared" ca="1" si="4"/>
        <v>1.7461377663044644</v>
      </c>
      <c r="D50" s="34">
        <f t="shared" ca="1" si="1"/>
        <v>813.90618101599455</v>
      </c>
      <c r="E50" s="34">
        <f t="shared" ca="1" si="3"/>
        <v>33989.059578015127</v>
      </c>
      <c r="F50" s="63">
        <f t="shared" ca="1" si="13"/>
        <v>4.9629315732038215E-3</v>
      </c>
      <c r="G50" s="71"/>
    </row>
    <row r="51" spans="1:24" x14ac:dyDescent="0.25">
      <c r="A51" s="194"/>
      <c r="B51" s="73" t="s">
        <v>95</v>
      </c>
      <c r="C51" s="74">
        <f t="shared" ca="1" si="4"/>
        <v>1.7604154328458854</v>
      </c>
      <c r="D51" s="59">
        <f t="shared" ca="1" si="1"/>
        <v>819.2290510751435</v>
      </c>
      <c r="E51" s="59">
        <f t="shared" ca="1" si="3"/>
        <v>34157.744954938367</v>
      </c>
      <c r="F51" s="68">
        <f t="shared" ca="1" si="13"/>
        <v>4.9629315732038215E-3</v>
      </c>
      <c r="G51" s="69">
        <f ca="1">OFFSET(G61,MATCH(S,A62:A64,0),0)</f>
        <v>1.9999999999999997E-2</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APIC</vt:lpstr>
      <vt:lpstr>Mark_Secs</vt:lpstr>
      <vt:lpstr>Schedules</vt:lpstr>
      <vt:lpstr>Debt_Schedule</vt:lpstr>
      <vt:lpstr>3_Statement_Model</vt:lpstr>
      <vt:lpstr>DCF</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2025-09-05T18:52:46Z</dcterms:modified>
</cp:coreProperties>
</file>