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NZM04\Documents\R Project Files\Zika LHT\"/>
    </mc:Choice>
  </mc:AlternateContent>
  <bookViews>
    <workbookView minimized="1" xWindow="0" yWindow="0" windowWidth="25200" windowHeight="11745" firstSheet="5" activeTab="6"/>
  </bookViews>
  <sheets>
    <sheet name="Albopictus PCR" sheetId="11" r:id="rId1"/>
    <sheet name="Aegypti PCR" sheetId="13" r:id="rId2"/>
    <sheet name="Albopictus Blood" sheetId="2" r:id="rId3"/>
    <sheet name="Aegypti Blood" sheetId="7" r:id="rId4"/>
    <sheet name="Albopictus Mortality" sheetId="3" r:id="rId5"/>
    <sheet name="Aegypti Mortality" sheetId="1" r:id="rId6"/>
    <sheet name="Albopictus Eggs" sheetId="8" r:id="rId7"/>
    <sheet name="AEG Eggs" sheetId="24" r:id="rId8"/>
    <sheet name="Aegypti Eggs" sheetId="6" r:id="rId9"/>
    <sheet name="Aegypti Eggs wrt Time" sheetId="21" r:id="rId10"/>
    <sheet name="Albopictus Wings" sheetId="26" r:id="rId11"/>
    <sheet name="Aegypti Wings" sheetId="25" r:id="rId12"/>
    <sheet name="Albo Blood" sheetId="19" r:id="rId13"/>
    <sheet name="Sheet2" sheetId="4" r:id="rId14"/>
    <sheet name="Sheet1" sheetId="10" r:id="rId15"/>
    <sheet name="Tables for Graph Pad" sheetId="12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" i="12" l="1"/>
  <c r="D36" i="3"/>
  <c r="F81" i="1" l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80" i="1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80" i="3"/>
  <c r="E3" i="7" l="1"/>
  <c r="F3" i="7"/>
  <c r="G3" i="7"/>
  <c r="H3" i="7"/>
  <c r="I3" i="7"/>
  <c r="J3" i="7"/>
  <c r="Q4" i="26" l="1"/>
  <c r="Q5" i="26"/>
  <c r="Q6" i="26"/>
  <c r="Q7" i="26"/>
  <c r="Q8" i="26"/>
  <c r="Q9" i="26"/>
  <c r="Q10" i="26"/>
  <c r="Q11" i="26"/>
  <c r="Q12" i="26"/>
  <c r="Q13" i="26"/>
  <c r="Q14" i="26"/>
  <c r="Q15" i="26"/>
  <c r="Q16" i="26"/>
  <c r="Q17" i="26"/>
  <c r="Q18" i="26"/>
  <c r="Q19" i="26"/>
  <c r="Q20" i="26"/>
  <c r="Q21" i="26"/>
  <c r="Q22" i="26"/>
  <c r="Q23" i="26"/>
  <c r="Q24" i="26"/>
  <c r="Q25" i="26"/>
  <c r="Q26" i="26"/>
  <c r="Q27" i="26"/>
  <c r="Q28" i="26"/>
  <c r="Q29" i="26"/>
  <c r="Q30" i="26"/>
  <c r="Q31" i="26"/>
  <c r="Q32" i="26"/>
  <c r="Q33" i="26"/>
  <c r="Q34" i="26"/>
  <c r="Q35" i="26"/>
  <c r="Q36" i="26"/>
  <c r="Q37" i="26"/>
  <c r="Q38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60" i="26"/>
  <c r="Q61" i="26"/>
  <c r="Q62" i="26"/>
  <c r="Q63" i="26"/>
  <c r="Q64" i="26"/>
  <c r="Q65" i="26"/>
  <c r="Q66" i="26"/>
  <c r="Q67" i="26"/>
  <c r="Q68" i="26"/>
  <c r="Q69" i="26"/>
  <c r="Q70" i="26"/>
  <c r="Q71" i="26"/>
  <c r="Q72" i="26"/>
  <c r="Q73" i="26"/>
  <c r="Q74" i="26"/>
  <c r="Q75" i="26"/>
  <c r="Q76" i="26"/>
  <c r="Q77" i="26"/>
  <c r="Q78" i="26"/>
  <c r="Q79" i="26"/>
  <c r="Q80" i="26"/>
  <c r="Q81" i="26"/>
  <c r="Q82" i="26"/>
  <c r="Q83" i="26"/>
  <c r="Q84" i="26"/>
  <c r="Q85" i="26"/>
  <c r="Q86" i="26"/>
  <c r="Q87" i="26"/>
  <c r="Q88" i="26"/>
  <c r="Q89" i="26"/>
  <c r="Q90" i="26"/>
  <c r="Q91" i="26"/>
  <c r="Q92" i="26"/>
  <c r="Q93" i="26"/>
  <c r="Q94" i="26"/>
  <c r="Q95" i="26"/>
  <c r="Q96" i="26"/>
  <c r="Q97" i="26"/>
  <c r="Q98" i="26"/>
  <c r="Q99" i="26"/>
  <c r="Q100" i="26"/>
  <c r="Q101" i="26"/>
  <c r="Q102" i="26"/>
  <c r="Q103" i="26"/>
  <c r="S4" i="26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92" i="26"/>
  <c r="S93" i="26"/>
  <c r="S94" i="26"/>
  <c r="S95" i="26"/>
  <c r="S96" i="26"/>
  <c r="S97" i="26"/>
  <c r="S98" i="26"/>
  <c r="S99" i="26"/>
  <c r="S100" i="26"/>
  <c r="S101" i="26"/>
  <c r="S102" i="26"/>
  <c r="S103" i="26"/>
  <c r="R4" i="26"/>
  <c r="R5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R58" i="26"/>
  <c r="R59" i="26"/>
  <c r="R60" i="26"/>
  <c r="R61" i="26"/>
  <c r="R62" i="26"/>
  <c r="R63" i="26"/>
  <c r="R64" i="26"/>
  <c r="R65" i="26"/>
  <c r="R66" i="26"/>
  <c r="R67" i="26"/>
  <c r="R68" i="26"/>
  <c r="R69" i="26"/>
  <c r="R70" i="26"/>
  <c r="R71" i="26"/>
  <c r="R72" i="26"/>
  <c r="R73" i="26"/>
  <c r="R74" i="26"/>
  <c r="R75" i="26"/>
  <c r="R76" i="26"/>
  <c r="R77" i="26"/>
  <c r="R78" i="26"/>
  <c r="R79" i="26"/>
  <c r="R80" i="26"/>
  <c r="R81" i="26"/>
  <c r="R82" i="26"/>
  <c r="R83" i="26"/>
  <c r="R84" i="26"/>
  <c r="R85" i="26"/>
  <c r="R86" i="26"/>
  <c r="R87" i="26"/>
  <c r="R88" i="26"/>
  <c r="R89" i="26"/>
  <c r="R90" i="26"/>
  <c r="R91" i="26"/>
  <c r="R92" i="26"/>
  <c r="R93" i="26"/>
  <c r="R94" i="26"/>
  <c r="R95" i="26"/>
  <c r="R96" i="26"/>
  <c r="R97" i="26"/>
  <c r="R98" i="26"/>
  <c r="R99" i="26"/>
  <c r="R100" i="26"/>
  <c r="R101" i="26"/>
  <c r="R102" i="26"/>
  <c r="R103" i="26"/>
  <c r="S110" i="26" l="1"/>
  <c r="S106" i="26"/>
  <c r="Q108" i="26"/>
  <c r="S107" i="26"/>
  <c r="Q109" i="26"/>
  <c r="S108" i="26"/>
  <c r="Q106" i="26"/>
  <c r="Q110" i="26"/>
  <c r="S109" i="26"/>
  <c r="Q107" i="26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53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F138" i="8" a="1"/>
  <c r="F138" i="8" s="1"/>
  <c r="G138" i="8" a="1"/>
  <c r="G138" i="8" s="1"/>
  <c r="I138" i="8" a="1"/>
  <c r="I138" i="8" s="1"/>
  <c r="J138" i="8" a="1"/>
  <c r="J138" i="8" s="1"/>
  <c r="K138" i="8" a="1"/>
  <c r="K138" i="8"/>
  <c r="M138" i="8" a="1"/>
  <c r="M138" i="8" s="1"/>
  <c r="N138" i="8" a="1"/>
  <c r="N138" i="8" s="1"/>
  <c r="O138" i="8" a="1"/>
  <c r="O138" i="8" s="1"/>
  <c r="R138" i="8" a="1"/>
  <c r="R138" i="8" s="1"/>
  <c r="S138" i="8" a="1"/>
  <c r="S138" i="8" s="1"/>
  <c r="V138" i="8" a="1"/>
  <c r="V138" i="8" s="1"/>
  <c r="F139" i="8"/>
  <c r="G139" i="8"/>
  <c r="H139" i="8"/>
  <c r="W139" i="8" s="1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E139" i="8"/>
  <c r="E138" i="8" a="1"/>
  <c r="E138" i="8" s="1"/>
  <c r="E135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S193" i="8"/>
  <c r="S107" i="8"/>
  <c r="E134" i="8"/>
  <c r="C134" i="8" s="1" a="1"/>
  <c r="C134" i="8" s="1"/>
  <c r="E130" i="8"/>
  <c r="Y8" i="8"/>
  <c r="Z8" i="8"/>
  <c r="Y9" i="8"/>
  <c r="Z9" i="8"/>
  <c r="Y10" i="8"/>
  <c r="Z10" i="8"/>
  <c r="Y11" i="8"/>
  <c r="Z11" i="8"/>
  <c r="Y12" i="8"/>
  <c r="Z12" i="8"/>
  <c r="Y13" i="8"/>
  <c r="Z13" i="8"/>
  <c r="Y14" i="8"/>
  <c r="Z14" i="8"/>
  <c r="Y15" i="8"/>
  <c r="Z15" i="8"/>
  <c r="Y16" i="8"/>
  <c r="Z16" i="8"/>
  <c r="Y17" i="8"/>
  <c r="Z17" i="8"/>
  <c r="Y18" i="8"/>
  <c r="Z18" i="8"/>
  <c r="Y19" i="8"/>
  <c r="Z19" i="8"/>
  <c r="Y20" i="8"/>
  <c r="Z20" i="8"/>
  <c r="Y21" i="8"/>
  <c r="Z21" i="8"/>
  <c r="Y22" i="8"/>
  <c r="Z22" i="8"/>
  <c r="Y23" i="8"/>
  <c r="Z23" i="8"/>
  <c r="Y24" i="8"/>
  <c r="Z24" i="8"/>
  <c r="Y25" i="8"/>
  <c r="Z25" i="8"/>
  <c r="Y26" i="8"/>
  <c r="Z26" i="8"/>
  <c r="Y27" i="8"/>
  <c r="Z27" i="8"/>
  <c r="Y28" i="8"/>
  <c r="Z28" i="8"/>
  <c r="Y29" i="8"/>
  <c r="Z29" i="8"/>
  <c r="Y30" i="8"/>
  <c r="Z30" i="8"/>
  <c r="Y31" i="8"/>
  <c r="Z31" i="8"/>
  <c r="Y32" i="8"/>
  <c r="Z32" i="8"/>
  <c r="Y33" i="8"/>
  <c r="Z33" i="8"/>
  <c r="Y34" i="8"/>
  <c r="Z34" i="8"/>
  <c r="Y35" i="8"/>
  <c r="Z35" i="8"/>
  <c r="Y36" i="8"/>
  <c r="Z36" i="8"/>
  <c r="Y37" i="8"/>
  <c r="Z37" i="8"/>
  <c r="Y38" i="8"/>
  <c r="Z38" i="8"/>
  <c r="Y39" i="8"/>
  <c r="Z39" i="8"/>
  <c r="Y40" i="8"/>
  <c r="Z40" i="8"/>
  <c r="Y41" i="8"/>
  <c r="Z41" i="8"/>
  <c r="Y42" i="8"/>
  <c r="Z42" i="8"/>
  <c r="Y43" i="8"/>
  <c r="Z43" i="8"/>
  <c r="Y44" i="8"/>
  <c r="Z44" i="8"/>
  <c r="Y45" i="8"/>
  <c r="Z45" i="8"/>
  <c r="Y46" i="8"/>
  <c r="Z46" i="8"/>
  <c r="Y47" i="8"/>
  <c r="Z47" i="8"/>
  <c r="Y48" i="8"/>
  <c r="Z48" i="8"/>
  <c r="Y49" i="8"/>
  <c r="Z49" i="8"/>
  <c r="Y50" i="8"/>
  <c r="Z50" i="8"/>
  <c r="Y51" i="8"/>
  <c r="Z51" i="8"/>
  <c r="Y52" i="8"/>
  <c r="Z52" i="8"/>
  <c r="Y53" i="8"/>
  <c r="Z53" i="8"/>
  <c r="Y54" i="8"/>
  <c r="Z54" i="8"/>
  <c r="Y55" i="8"/>
  <c r="Z55" i="8"/>
  <c r="Y56" i="8"/>
  <c r="Z56" i="8"/>
  <c r="Y57" i="8"/>
  <c r="Z57" i="8"/>
  <c r="Y58" i="8"/>
  <c r="Z58" i="8"/>
  <c r="Y59" i="8"/>
  <c r="Z59" i="8"/>
  <c r="Y60" i="8"/>
  <c r="Z60" i="8"/>
  <c r="Y61" i="8"/>
  <c r="Z61" i="8"/>
  <c r="Y62" i="8"/>
  <c r="Z62" i="8"/>
  <c r="Y63" i="8"/>
  <c r="Z63" i="8"/>
  <c r="Y64" i="8"/>
  <c r="Z64" i="8"/>
  <c r="Y65" i="8"/>
  <c r="Z65" i="8"/>
  <c r="Y66" i="8"/>
  <c r="Z66" i="8"/>
  <c r="Y67" i="8"/>
  <c r="Z67" i="8"/>
  <c r="Y68" i="8"/>
  <c r="Z68" i="8"/>
  <c r="Y69" i="8"/>
  <c r="Z69" i="8"/>
  <c r="Y70" i="8"/>
  <c r="Z70" i="8"/>
  <c r="Y71" i="8"/>
  <c r="Z71" i="8"/>
  <c r="Y72" i="8"/>
  <c r="Z72" i="8"/>
  <c r="Y73" i="8"/>
  <c r="Z73" i="8"/>
  <c r="Y74" i="8"/>
  <c r="Z74" i="8"/>
  <c r="Y75" i="8"/>
  <c r="Z75" i="8"/>
  <c r="Y76" i="8"/>
  <c r="Z76" i="8"/>
  <c r="Y77" i="8"/>
  <c r="Z77" i="8"/>
  <c r="Y78" i="8"/>
  <c r="Z78" i="8"/>
  <c r="Y79" i="8"/>
  <c r="Z79" i="8"/>
  <c r="Y80" i="8"/>
  <c r="Z80" i="8"/>
  <c r="Y81" i="8"/>
  <c r="Z81" i="8"/>
  <c r="Y82" i="8"/>
  <c r="Z82" i="8"/>
  <c r="Y83" i="8"/>
  <c r="Z83" i="8"/>
  <c r="Y84" i="8"/>
  <c r="Z84" i="8"/>
  <c r="Y85" i="8"/>
  <c r="Z85" i="8"/>
  <c r="Y86" i="8"/>
  <c r="Z86" i="8"/>
  <c r="Y87" i="8"/>
  <c r="Z87" i="8"/>
  <c r="Y88" i="8"/>
  <c r="Z88" i="8"/>
  <c r="Y89" i="8"/>
  <c r="Z89" i="8"/>
  <c r="Y90" i="8"/>
  <c r="Z90" i="8"/>
  <c r="Y91" i="8"/>
  <c r="Z91" i="8"/>
  <c r="Y92" i="8"/>
  <c r="Z92" i="8"/>
  <c r="Y93" i="8"/>
  <c r="Z93" i="8"/>
  <c r="Y94" i="8"/>
  <c r="Z94" i="8"/>
  <c r="Y95" i="8"/>
  <c r="Z95" i="8"/>
  <c r="Y96" i="8"/>
  <c r="Z96" i="8"/>
  <c r="Y97" i="8"/>
  <c r="Z97" i="8"/>
  <c r="Y98" i="8"/>
  <c r="Z98" i="8"/>
  <c r="Y99" i="8"/>
  <c r="Z99" i="8"/>
  <c r="Y100" i="8"/>
  <c r="Z100" i="8"/>
  <c r="Y101" i="8"/>
  <c r="Z101" i="8"/>
  <c r="Y102" i="8"/>
  <c r="Z102" i="8"/>
  <c r="Y103" i="8"/>
  <c r="Z103" i="8"/>
  <c r="Y104" i="8"/>
  <c r="Z104" i="8"/>
  <c r="Y105" i="8"/>
  <c r="Z105" i="8"/>
  <c r="Y106" i="8"/>
  <c r="Z106" i="8"/>
  <c r="Z7" i="8"/>
  <c r="Y7" i="8"/>
  <c r="F125" i="8" l="1"/>
  <c r="J125" i="8"/>
  <c r="N125" i="8"/>
  <c r="R125" i="8"/>
  <c r="V125" i="8"/>
  <c r="G129" i="8"/>
  <c r="K129" i="8"/>
  <c r="O129" i="8"/>
  <c r="S129" i="8"/>
  <c r="I120" i="8"/>
  <c r="M120" i="8"/>
  <c r="Q120" i="8"/>
  <c r="U120" i="8"/>
  <c r="G124" i="8"/>
  <c r="K124" i="8"/>
  <c r="O124" i="8"/>
  <c r="S124" i="8"/>
  <c r="I110" i="8"/>
  <c r="M110" i="8"/>
  <c r="Q110" i="8"/>
  <c r="U110" i="8"/>
  <c r="F114" i="8"/>
  <c r="J114" i="8"/>
  <c r="N114" i="8"/>
  <c r="R114" i="8"/>
  <c r="V114" i="8"/>
  <c r="I115" i="8"/>
  <c r="G125" i="8"/>
  <c r="K125" i="8"/>
  <c r="O125" i="8"/>
  <c r="S125" i="8"/>
  <c r="H129" i="8"/>
  <c r="L129" i="8"/>
  <c r="P129" i="8"/>
  <c r="T129" i="8"/>
  <c r="F120" i="8"/>
  <c r="J120" i="8"/>
  <c r="N120" i="8"/>
  <c r="R120" i="8"/>
  <c r="V120" i="8"/>
  <c r="H124" i="8"/>
  <c r="L124" i="8"/>
  <c r="P124" i="8"/>
  <c r="T124" i="8"/>
  <c r="F110" i="8"/>
  <c r="J110" i="8"/>
  <c r="N110" i="8"/>
  <c r="R110" i="8"/>
  <c r="V110" i="8"/>
  <c r="G114" i="8"/>
  <c r="K114" i="8"/>
  <c r="V119" i="8"/>
  <c r="R119" i="8"/>
  <c r="N119" i="8"/>
  <c r="J119" i="8"/>
  <c r="F119" i="8"/>
  <c r="V115" i="8"/>
  <c r="R115" i="8"/>
  <c r="N115" i="8"/>
  <c r="J115" i="8"/>
  <c r="U114" i="8"/>
  <c r="P114" i="8"/>
  <c r="I114" i="8"/>
  <c r="P110" i="8"/>
  <c r="H110" i="8"/>
  <c r="R124" i="8"/>
  <c r="J124" i="8"/>
  <c r="P120" i="8"/>
  <c r="H120" i="8"/>
  <c r="R129" i="8"/>
  <c r="J129" i="8"/>
  <c r="U125" i="8"/>
  <c r="M125" i="8"/>
  <c r="U119" i="8"/>
  <c r="Q119" i="8"/>
  <c r="M119" i="8"/>
  <c r="I119" i="8"/>
  <c r="U115" i="8"/>
  <c r="Q115" i="8"/>
  <c r="M115" i="8"/>
  <c r="H115" i="8"/>
  <c r="T114" i="8"/>
  <c r="O114" i="8"/>
  <c r="H114" i="8"/>
  <c r="O110" i="8"/>
  <c r="G110" i="8"/>
  <c r="Q124" i="8"/>
  <c r="I124" i="8"/>
  <c r="O120" i="8"/>
  <c r="G120" i="8"/>
  <c r="Q129" i="8"/>
  <c r="I129" i="8"/>
  <c r="T125" i="8"/>
  <c r="L125" i="8"/>
  <c r="C139" i="8" a="1"/>
  <c r="C139" i="8" s="1"/>
  <c r="C136" i="8"/>
  <c r="T119" i="8"/>
  <c r="P119" i="8"/>
  <c r="L119" i="8"/>
  <c r="H119" i="8"/>
  <c r="T115" i="8"/>
  <c r="P115" i="8"/>
  <c r="L115" i="8"/>
  <c r="G115" i="8"/>
  <c r="S114" i="8"/>
  <c r="M114" i="8"/>
  <c r="T110" i="8"/>
  <c r="L110" i="8"/>
  <c r="V124" i="8"/>
  <c r="N124" i="8"/>
  <c r="F124" i="8"/>
  <c r="T120" i="8"/>
  <c r="L120" i="8"/>
  <c r="V129" i="8"/>
  <c r="N129" i="8"/>
  <c r="F129" i="8"/>
  <c r="Q125" i="8"/>
  <c r="I125" i="8"/>
  <c r="U138" i="8" a="1"/>
  <c r="U138" i="8" s="1"/>
  <c r="Q138" i="8" a="1"/>
  <c r="Q138" i="8" s="1"/>
  <c r="S119" i="8"/>
  <c r="O119" i="8"/>
  <c r="K119" i="8"/>
  <c r="G119" i="8"/>
  <c r="S115" i="8"/>
  <c r="O115" i="8"/>
  <c r="K115" i="8"/>
  <c r="F115" i="8"/>
  <c r="Q114" i="8"/>
  <c r="L114" i="8"/>
  <c r="S110" i="8"/>
  <c r="K110" i="8"/>
  <c r="U124" i="8"/>
  <c r="M124" i="8"/>
  <c r="S120" i="8"/>
  <c r="K120" i="8"/>
  <c r="U129" i="8"/>
  <c r="M129" i="8"/>
  <c r="P125" i="8"/>
  <c r="H125" i="8"/>
  <c r="T138" i="8" a="1"/>
  <c r="T138" i="8" s="1"/>
  <c r="P138" i="8" a="1"/>
  <c r="P138" i="8" s="1"/>
  <c r="L138" i="8" a="1"/>
  <c r="L138" i="8" s="1"/>
  <c r="H138" i="8" a="1"/>
  <c r="H138" i="8" s="1"/>
  <c r="E125" i="8"/>
  <c r="E124" i="8"/>
  <c r="C120" i="8"/>
  <c r="C115" i="8"/>
  <c r="E120" i="8"/>
  <c r="E110" i="8"/>
  <c r="C110" i="8"/>
  <c r="E115" i="8"/>
  <c r="E129" i="8"/>
  <c r="E114" i="8"/>
  <c r="E119" i="8"/>
  <c r="C125" i="8"/>
  <c r="E160" i="6"/>
  <c r="F156" i="6"/>
  <c r="F157" i="6" s="1"/>
  <c r="G156" i="6"/>
  <c r="G159" i="6" s="1" a="1"/>
  <c r="G159" i="6" s="1"/>
  <c r="H156" i="6"/>
  <c r="H157" i="6" s="1"/>
  <c r="I156" i="6"/>
  <c r="I157" i="6" s="1"/>
  <c r="J156" i="6"/>
  <c r="J159" i="6" s="1" a="1"/>
  <c r="J159" i="6" s="1"/>
  <c r="K156" i="6"/>
  <c r="K157" i="6" s="1"/>
  <c r="L156" i="6"/>
  <c r="L157" i="6" s="1"/>
  <c r="M156" i="6"/>
  <c r="M159" i="6" s="1" a="1"/>
  <c r="M159" i="6" s="1"/>
  <c r="N156" i="6"/>
  <c r="N157" i="6" s="1"/>
  <c r="O156" i="6"/>
  <c r="O159" i="6" s="1" a="1"/>
  <c r="O159" i="6" s="1"/>
  <c r="P156" i="6"/>
  <c r="P157" i="6" s="1"/>
  <c r="Q156" i="6"/>
  <c r="Q157" i="6" s="1"/>
  <c r="R156" i="6"/>
  <c r="R157" i="6" s="1"/>
  <c r="G157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F151" i="6"/>
  <c r="F152" i="6" s="1"/>
  <c r="G151" i="6"/>
  <c r="G152" i="6" s="1"/>
  <c r="H151" i="6"/>
  <c r="H152" i="6" s="1"/>
  <c r="I151" i="6"/>
  <c r="I152" i="6" s="1"/>
  <c r="J151" i="6"/>
  <c r="J152" i="6" s="1"/>
  <c r="K151" i="6"/>
  <c r="K152" i="6" s="1"/>
  <c r="L151" i="6"/>
  <c r="L152" i="6" s="1"/>
  <c r="M151" i="6"/>
  <c r="M152" i="6" s="1"/>
  <c r="N151" i="6"/>
  <c r="N152" i="6" s="1"/>
  <c r="O151" i="6"/>
  <c r="O152" i="6" s="1"/>
  <c r="P151" i="6"/>
  <c r="P152" i="6" s="1"/>
  <c r="Q151" i="6"/>
  <c r="Q152" i="6" s="1"/>
  <c r="R151" i="6"/>
  <c r="R152" i="6" s="1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E153" i="6"/>
  <c r="C129" i="8" l="1" a="1"/>
  <c r="C129" i="8" s="1"/>
  <c r="C124" i="8" a="1"/>
  <c r="C124" i="8" s="1"/>
  <c r="C119" i="8" a="1"/>
  <c r="C119" i="8" s="1"/>
  <c r="C114" i="8" a="1"/>
  <c r="C114" i="8" s="1"/>
  <c r="J157" i="6"/>
  <c r="F159" i="6" a="1"/>
  <c r="F159" i="6" s="1"/>
  <c r="L159" i="6" a="1"/>
  <c r="L159" i="6" s="1"/>
  <c r="K159" i="6" a="1"/>
  <c r="K159" i="6" s="1"/>
  <c r="O157" i="6"/>
  <c r="I159" i="6" a="1"/>
  <c r="I159" i="6" s="1"/>
  <c r="Q159" i="6" a="1"/>
  <c r="Q159" i="6" s="1"/>
  <c r="C160" i="6" a="1"/>
  <c r="C160" i="6" s="1"/>
  <c r="M157" i="6"/>
  <c r="R159" i="6" a="1"/>
  <c r="R159" i="6" s="1"/>
  <c r="P159" i="6" a="1"/>
  <c r="P159" i="6" s="1"/>
  <c r="N159" i="6" a="1"/>
  <c r="N159" i="6" s="1"/>
  <c r="H159" i="6" a="1"/>
  <c r="H159" i="6" s="1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53" i="8"/>
  <c r="AK154" i="8"/>
  <c r="AL154" i="8"/>
  <c r="AK155" i="8"/>
  <c r="AL155" i="8"/>
  <c r="AK156" i="8"/>
  <c r="AL156" i="8"/>
  <c r="AK157" i="8"/>
  <c r="AL157" i="8"/>
  <c r="AK158" i="8"/>
  <c r="AL158" i="8"/>
  <c r="AK159" i="8"/>
  <c r="AL159" i="8"/>
  <c r="AK160" i="8"/>
  <c r="AL160" i="8"/>
  <c r="AK161" i="8"/>
  <c r="AL161" i="8"/>
  <c r="AK162" i="8"/>
  <c r="AL162" i="8"/>
  <c r="AK163" i="8"/>
  <c r="AL163" i="8"/>
  <c r="AK164" i="8"/>
  <c r="AL164" i="8"/>
  <c r="AK165" i="8"/>
  <c r="AL165" i="8"/>
  <c r="AK166" i="8"/>
  <c r="AL166" i="8"/>
  <c r="AK167" i="8"/>
  <c r="AL167" i="8"/>
  <c r="AK168" i="8"/>
  <c r="AL168" i="8"/>
  <c r="AK169" i="8"/>
  <c r="AL169" i="8"/>
  <c r="AK170" i="8"/>
  <c r="AL170" i="8"/>
  <c r="AK171" i="8"/>
  <c r="AL171" i="8"/>
  <c r="AK172" i="8"/>
  <c r="AL172" i="8"/>
  <c r="AK173" i="8"/>
  <c r="AL173" i="8"/>
  <c r="AK174" i="8"/>
  <c r="AL174" i="8"/>
  <c r="AK175" i="8"/>
  <c r="AL175" i="8"/>
  <c r="AK176" i="8"/>
  <c r="AL176" i="8"/>
  <c r="AK177" i="8"/>
  <c r="AL177" i="8"/>
  <c r="AK178" i="8"/>
  <c r="AL178" i="8"/>
  <c r="AK179" i="8"/>
  <c r="AL179" i="8"/>
  <c r="AK180" i="8"/>
  <c r="AL180" i="8"/>
  <c r="AK181" i="8"/>
  <c r="AL181" i="8"/>
  <c r="AK182" i="8"/>
  <c r="AL182" i="8"/>
  <c r="AK183" i="8"/>
  <c r="AL183" i="8"/>
  <c r="AK184" i="8"/>
  <c r="AL184" i="8"/>
  <c r="AK185" i="8"/>
  <c r="AL185" i="8"/>
  <c r="AK186" i="8"/>
  <c r="AL186" i="8"/>
  <c r="AK187" i="8"/>
  <c r="AL187" i="8"/>
  <c r="AK188" i="8"/>
  <c r="AL188" i="8"/>
  <c r="AK189" i="8"/>
  <c r="AL189" i="8"/>
  <c r="AK190" i="8"/>
  <c r="AL190" i="8"/>
  <c r="AK191" i="8"/>
  <c r="AL191" i="8"/>
  <c r="AK192" i="8"/>
  <c r="AL192" i="8"/>
  <c r="AL153" i="8"/>
  <c r="AK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53" i="8"/>
  <c r="X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7" i="8"/>
  <c r="AK8" i="8"/>
  <c r="AL8" i="8"/>
  <c r="AK9" i="8"/>
  <c r="AL9" i="8"/>
  <c r="AK10" i="8"/>
  <c r="AL10" i="8"/>
  <c r="AK11" i="8"/>
  <c r="AL11" i="8"/>
  <c r="AK12" i="8"/>
  <c r="AL12" i="8"/>
  <c r="AK13" i="8"/>
  <c r="AL13" i="8"/>
  <c r="AK14" i="8"/>
  <c r="AL14" i="8"/>
  <c r="AK15" i="8"/>
  <c r="AL15" i="8"/>
  <c r="AK16" i="8"/>
  <c r="AL16" i="8"/>
  <c r="AK17" i="8"/>
  <c r="AL17" i="8"/>
  <c r="AK18" i="8"/>
  <c r="AL18" i="8"/>
  <c r="AK19" i="8"/>
  <c r="AL19" i="8"/>
  <c r="AK20" i="8"/>
  <c r="AL20" i="8"/>
  <c r="AK21" i="8"/>
  <c r="AL21" i="8"/>
  <c r="AK22" i="8"/>
  <c r="AL22" i="8"/>
  <c r="AK23" i="8"/>
  <c r="AL23" i="8"/>
  <c r="AK24" i="8"/>
  <c r="AL24" i="8"/>
  <c r="AK25" i="8"/>
  <c r="AL25" i="8"/>
  <c r="AK26" i="8"/>
  <c r="AL26" i="8"/>
  <c r="AK27" i="8"/>
  <c r="AL27" i="8"/>
  <c r="AK28" i="8"/>
  <c r="AL28" i="8"/>
  <c r="AK29" i="8"/>
  <c r="AL29" i="8"/>
  <c r="AK30" i="8"/>
  <c r="AL30" i="8"/>
  <c r="AK31" i="8"/>
  <c r="AL31" i="8"/>
  <c r="AK32" i="8"/>
  <c r="AL32" i="8"/>
  <c r="AK33" i="8"/>
  <c r="AL33" i="8"/>
  <c r="AK34" i="8"/>
  <c r="AL34" i="8"/>
  <c r="AK35" i="8"/>
  <c r="AL35" i="8"/>
  <c r="AK36" i="8"/>
  <c r="AL36" i="8"/>
  <c r="AK37" i="8"/>
  <c r="AL37" i="8"/>
  <c r="AK38" i="8"/>
  <c r="AL38" i="8"/>
  <c r="AK39" i="8"/>
  <c r="AL39" i="8"/>
  <c r="AK40" i="8"/>
  <c r="AL40" i="8"/>
  <c r="AK41" i="8"/>
  <c r="AL41" i="8"/>
  <c r="AK42" i="8"/>
  <c r="AL42" i="8"/>
  <c r="AK43" i="8"/>
  <c r="AL43" i="8"/>
  <c r="AK44" i="8"/>
  <c r="AL44" i="8"/>
  <c r="AK45" i="8"/>
  <c r="AL45" i="8"/>
  <c r="AK46" i="8"/>
  <c r="AL46" i="8"/>
  <c r="AK47" i="8"/>
  <c r="AL47" i="8"/>
  <c r="AK48" i="8"/>
  <c r="AL48" i="8"/>
  <c r="AK49" i="8"/>
  <c r="AL49" i="8"/>
  <c r="AK50" i="8"/>
  <c r="AL50" i="8"/>
  <c r="AK51" i="8"/>
  <c r="AL51" i="8"/>
  <c r="AK52" i="8"/>
  <c r="AL52" i="8"/>
  <c r="AK53" i="8"/>
  <c r="AL53" i="8"/>
  <c r="AK54" i="8"/>
  <c r="AL54" i="8"/>
  <c r="AK55" i="8"/>
  <c r="AL55" i="8"/>
  <c r="AK56" i="8"/>
  <c r="AL56" i="8"/>
  <c r="AK57" i="8"/>
  <c r="AL57" i="8"/>
  <c r="AK58" i="8"/>
  <c r="AL58" i="8"/>
  <c r="AK59" i="8"/>
  <c r="AL59" i="8"/>
  <c r="AK60" i="8"/>
  <c r="AL60" i="8"/>
  <c r="AK61" i="8"/>
  <c r="AL61" i="8"/>
  <c r="AK62" i="8"/>
  <c r="AL62" i="8"/>
  <c r="AK63" i="8"/>
  <c r="AL63" i="8"/>
  <c r="AK64" i="8"/>
  <c r="AL64" i="8"/>
  <c r="AK65" i="8"/>
  <c r="AL65" i="8"/>
  <c r="AK66" i="8"/>
  <c r="AL66" i="8"/>
  <c r="AK67" i="8"/>
  <c r="AL67" i="8"/>
  <c r="AK68" i="8"/>
  <c r="AL68" i="8"/>
  <c r="AK69" i="8"/>
  <c r="AL69" i="8"/>
  <c r="AK70" i="8"/>
  <c r="AL70" i="8"/>
  <c r="AK71" i="8"/>
  <c r="AL71" i="8"/>
  <c r="AK72" i="8"/>
  <c r="AL72" i="8"/>
  <c r="AK73" i="8"/>
  <c r="AL73" i="8"/>
  <c r="AK74" i="8"/>
  <c r="AL74" i="8"/>
  <c r="AK75" i="8"/>
  <c r="AL75" i="8"/>
  <c r="AK76" i="8"/>
  <c r="AL76" i="8"/>
  <c r="AK77" i="8"/>
  <c r="AL77" i="8"/>
  <c r="AK78" i="8"/>
  <c r="AL78" i="8"/>
  <c r="AK79" i="8"/>
  <c r="AL79" i="8"/>
  <c r="AK80" i="8"/>
  <c r="AL80" i="8"/>
  <c r="AK81" i="8"/>
  <c r="AL81" i="8"/>
  <c r="AK82" i="8"/>
  <c r="AL82" i="8"/>
  <c r="AK83" i="8"/>
  <c r="AL83" i="8"/>
  <c r="AK84" i="8"/>
  <c r="AL84" i="8"/>
  <c r="AK85" i="8"/>
  <c r="AL85" i="8"/>
  <c r="AK86" i="8"/>
  <c r="AL86" i="8"/>
  <c r="AK87" i="8"/>
  <c r="AL87" i="8"/>
  <c r="AK88" i="8"/>
  <c r="AL88" i="8"/>
  <c r="AK89" i="8"/>
  <c r="AL89" i="8"/>
  <c r="AK90" i="8"/>
  <c r="AL90" i="8"/>
  <c r="AK91" i="8"/>
  <c r="AL91" i="8"/>
  <c r="AK92" i="8"/>
  <c r="AL92" i="8"/>
  <c r="AK93" i="8"/>
  <c r="AL93" i="8"/>
  <c r="AK94" i="8"/>
  <c r="AL94" i="8"/>
  <c r="AK95" i="8"/>
  <c r="AL95" i="8"/>
  <c r="AK96" i="8"/>
  <c r="AL96" i="8"/>
  <c r="AK97" i="8"/>
  <c r="AL97" i="8"/>
  <c r="AK98" i="8"/>
  <c r="AL98" i="8"/>
  <c r="AK99" i="8"/>
  <c r="AL99" i="8"/>
  <c r="AK100" i="8"/>
  <c r="AL100" i="8"/>
  <c r="AK101" i="8"/>
  <c r="AL101" i="8"/>
  <c r="AK102" i="8"/>
  <c r="AL102" i="8"/>
  <c r="AK103" i="8"/>
  <c r="AL103" i="8"/>
  <c r="AK104" i="8"/>
  <c r="AL104" i="8"/>
  <c r="AK105" i="8"/>
  <c r="AL105" i="8"/>
  <c r="AK106" i="8"/>
  <c r="AL106" i="8"/>
  <c r="AL7" i="8"/>
  <c r="AK7" i="8"/>
  <c r="AA8" i="8"/>
  <c r="AA9" i="8"/>
  <c r="R113" i="8" s="1" a="1"/>
  <c r="R113" i="8" s="1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7" i="8"/>
  <c r="G113" i="8" s="1" a="1"/>
  <c r="G113" i="8" s="1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172" i="6"/>
  <c r="BD173" i="6"/>
  <c r="BE173" i="6"/>
  <c r="BF173" i="6"/>
  <c r="BG173" i="6"/>
  <c r="BH173" i="6"/>
  <c r="BD174" i="6"/>
  <c r="BE174" i="6"/>
  <c r="BF174" i="6"/>
  <c r="BG174" i="6"/>
  <c r="BH174" i="6"/>
  <c r="BD175" i="6"/>
  <c r="BE175" i="6"/>
  <c r="BF175" i="6"/>
  <c r="BG175" i="6"/>
  <c r="BH175" i="6"/>
  <c r="BD176" i="6"/>
  <c r="BE176" i="6"/>
  <c r="BF176" i="6"/>
  <c r="BG176" i="6"/>
  <c r="BH176" i="6"/>
  <c r="BD177" i="6"/>
  <c r="BE177" i="6"/>
  <c r="BF177" i="6"/>
  <c r="BG177" i="6"/>
  <c r="BH177" i="6"/>
  <c r="BD178" i="6"/>
  <c r="BE178" i="6"/>
  <c r="BF178" i="6"/>
  <c r="BG178" i="6"/>
  <c r="BH178" i="6"/>
  <c r="BD179" i="6"/>
  <c r="BE179" i="6"/>
  <c r="BF179" i="6"/>
  <c r="BG179" i="6"/>
  <c r="BH179" i="6"/>
  <c r="BD180" i="6"/>
  <c r="BE180" i="6"/>
  <c r="BF180" i="6"/>
  <c r="BG180" i="6"/>
  <c r="BH180" i="6"/>
  <c r="BD181" i="6"/>
  <c r="BE181" i="6"/>
  <c r="BF181" i="6"/>
  <c r="BG181" i="6"/>
  <c r="BH181" i="6"/>
  <c r="BD182" i="6"/>
  <c r="BE182" i="6"/>
  <c r="BF182" i="6"/>
  <c r="BG182" i="6"/>
  <c r="BH182" i="6"/>
  <c r="BD183" i="6"/>
  <c r="BE183" i="6"/>
  <c r="BF183" i="6"/>
  <c r="BG183" i="6"/>
  <c r="BH183" i="6"/>
  <c r="BD184" i="6"/>
  <c r="BE184" i="6"/>
  <c r="BF184" i="6"/>
  <c r="BG184" i="6"/>
  <c r="BH184" i="6"/>
  <c r="BD185" i="6"/>
  <c r="BE185" i="6"/>
  <c r="BF185" i="6"/>
  <c r="BG185" i="6"/>
  <c r="BH185" i="6"/>
  <c r="BD186" i="6"/>
  <c r="BE186" i="6"/>
  <c r="BF186" i="6"/>
  <c r="BG186" i="6"/>
  <c r="BH186" i="6"/>
  <c r="BD187" i="6"/>
  <c r="BE187" i="6"/>
  <c r="BF187" i="6"/>
  <c r="BG187" i="6"/>
  <c r="BH187" i="6"/>
  <c r="BD188" i="6"/>
  <c r="BE188" i="6"/>
  <c r="BF188" i="6"/>
  <c r="BG188" i="6"/>
  <c r="BH188" i="6"/>
  <c r="BD189" i="6"/>
  <c r="BE189" i="6"/>
  <c r="BF189" i="6"/>
  <c r="BG189" i="6"/>
  <c r="BH189" i="6"/>
  <c r="BD190" i="6"/>
  <c r="BE190" i="6"/>
  <c r="BF190" i="6"/>
  <c r="BG190" i="6"/>
  <c r="BH190" i="6"/>
  <c r="BD191" i="6"/>
  <c r="BE191" i="6"/>
  <c r="BF191" i="6"/>
  <c r="BG191" i="6"/>
  <c r="BH191" i="6"/>
  <c r="BD192" i="6"/>
  <c r="BE192" i="6"/>
  <c r="BF192" i="6"/>
  <c r="BG192" i="6"/>
  <c r="BH192" i="6"/>
  <c r="BD193" i="6"/>
  <c r="BE193" i="6"/>
  <c r="BF193" i="6"/>
  <c r="BG193" i="6"/>
  <c r="BH193" i="6"/>
  <c r="BD194" i="6"/>
  <c r="BE194" i="6"/>
  <c r="BF194" i="6"/>
  <c r="BG194" i="6"/>
  <c r="BH194" i="6"/>
  <c r="BD195" i="6"/>
  <c r="BE195" i="6"/>
  <c r="BF195" i="6"/>
  <c r="BG195" i="6"/>
  <c r="BH195" i="6"/>
  <c r="BD196" i="6"/>
  <c r="BE196" i="6"/>
  <c r="BF196" i="6"/>
  <c r="BG196" i="6"/>
  <c r="BH196" i="6"/>
  <c r="BD197" i="6"/>
  <c r="BE197" i="6"/>
  <c r="BF197" i="6"/>
  <c r="BG197" i="6"/>
  <c r="BH197" i="6"/>
  <c r="BD198" i="6"/>
  <c r="BE198" i="6"/>
  <c r="BF198" i="6"/>
  <c r="BG198" i="6"/>
  <c r="BH198" i="6"/>
  <c r="BD199" i="6"/>
  <c r="BE199" i="6"/>
  <c r="BF199" i="6"/>
  <c r="BG199" i="6"/>
  <c r="BH199" i="6"/>
  <c r="BD200" i="6"/>
  <c r="BE200" i="6"/>
  <c r="BF200" i="6"/>
  <c r="BG200" i="6"/>
  <c r="BH200" i="6"/>
  <c r="BD201" i="6"/>
  <c r="BE201" i="6"/>
  <c r="BF201" i="6"/>
  <c r="BG201" i="6"/>
  <c r="BH201" i="6"/>
  <c r="BD202" i="6"/>
  <c r="BE202" i="6"/>
  <c r="BF202" i="6"/>
  <c r="BG202" i="6"/>
  <c r="BH202" i="6"/>
  <c r="BD203" i="6"/>
  <c r="BE203" i="6"/>
  <c r="BF203" i="6"/>
  <c r="BG203" i="6"/>
  <c r="BH203" i="6"/>
  <c r="BD204" i="6"/>
  <c r="BE204" i="6"/>
  <c r="BF204" i="6"/>
  <c r="BG204" i="6"/>
  <c r="BH204" i="6"/>
  <c r="BD205" i="6"/>
  <c r="BE205" i="6"/>
  <c r="BF205" i="6"/>
  <c r="BG205" i="6"/>
  <c r="BH205" i="6"/>
  <c r="BD206" i="6"/>
  <c r="BE206" i="6"/>
  <c r="BF206" i="6"/>
  <c r="BG206" i="6"/>
  <c r="BH206" i="6"/>
  <c r="BD207" i="6"/>
  <c r="BE207" i="6"/>
  <c r="BF207" i="6"/>
  <c r="BG207" i="6"/>
  <c r="BH207" i="6"/>
  <c r="BD208" i="6"/>
  <c r="BE208" i="6"/>
  <c r="BF208" i="6"/>
  <c r="BG208" i="6"/>
  <c r="BH208" i="6"/>
  <c r="BD209" i="6"/>
  <c r="BE209" i="6"/>
  <c r="BF209" i="6"/>
  <c r="BG209" i="6"/>
  <c r="BH209" i="6"/>
  <c r="BD210" i="6"/>
  <c r="BE210" i="6"/>
  <c r="BF210" i="6"/>
  <c r="BG210" i="6"/>
  <c r="BH210" i="6"/>
  <c r="BD211" i="6"/>
  <c r="BE211" i="6"/>
  <c r="BF211" i="6"/>
  <c r="BG211" i="6"/>
  <c r="BH211" i="6"/>
  <c r="BE172" i="6"/>
  <c r="BF172" i="6"/>
  <c r="BG172" i="6"/>
  <c r="BH172" i="6"/>
  <c r="BD172" i="6"/>
  <c r="AV173" i="6"/>
  <c r="AW173" i="6"/>
  <c r="AX173" i="6"/>
  <c r="AY173" i="6"/>
  <c r="AZ173" i="6"/>
  <c r="AV174" i="6"/>
  <c r="AW174" i="6"/>
  <c r="AX174" i="6"/>
  <c r="AY174" i="6"/>
  <c r="AZ174" i="6"/>
  <c r="AV175" i="6"/>
  <c r="AW175" i="6"/>
  <c r="AX175" i="6"/>
  <c r="AY175" i="6"/>
  <c r="AZ175" i="6"/>
  <c r="AV176" i="6"/>
  <c r="AW176" i="6"/>
  <c r="AX176" i="6"/>
  <c r="AY176" i="6"/>
  <c r="AZ176" i="6"/>
  <c r="AV177" i="6"/>
  <c r="AW177" i="6"/>
  <c r="AX177" i="6"/>
  <c r="AY177" i="6"/>
  <c r="AZ177" i="6"/>
  <c r="AV178" i="6"/>
  <c r="AW178" i="6"/>
  <c r="AX178" i="6"/>
  <c r="AY178" i="6"/>
  <c r="AZ178" i="6"/>
  <c r="AV179" i="6"/>
  <c r="AW179" i="6"/>
  <c r="AX179" i="6"/>
  <c r="AY179" i="6"/>
  <c r="AZ179" i="6"/>
  <c r="AV180" i="6"/>
  <c r="AW180" i="6"/>
  <c r="AX180" i="6"/>
  <c r="AY180" i="6"/>
  <c r="AZ180" i="6"/>
  <c r="AV181" i="6"/>
  <c r="AW181" i="6"/>
  <c r="AX181" i="6"/>
  <c r="AY181" i="6"/>
  <c r="AZ181" i="6"/>
  <c r="AV182" i="6"/>
  <c r="AW182" i="6"/>
  <c r="AX182" i="6"/>
  <c r="AY182" i="6"/>
  <c r="AZ182" i="6"/>
  <c r="AV183" i="6"/>
  <c r="AW183" i="6"/>
  <c r="AX183" i="6"/>
  <c r="AY183" i="6"/>
  <c r="AZ183" i="6"/>
  <c r="AV184" i="6"/>
  <c r="AW184" i="6"/>
  <c r="AX184" i="6"/>
  <c r="AY184" i="6"/>
  <c r="AZ184" i="6"/>
  <c r="AV185" i="6"/>
  <c r="AW185" i="6"/>
  <c r="AX185" i="6"/>
  <c r="AY185" i="6"/>
  <c r="AZ185" i="6"/>
  <c r="AV186" i="6"/>
  <c r="AW186" i="6"/>
  <c r="AX186" i="6"/>
  <c r="AY186" i="6"/>
  <c r="AZ186" i="6"/>
  <c r="AV187" i="6"/>
  <c r="AW187" i="6"/>
  <c r="AX187" i="6"/>
  <c r="AY187" i="6"/>
  <c r="AZ187" i="6"/>
  <c r="AV188" i="6"/>
  <c r="AW188" i="6"/>
  <c r="AX188" i="6"/>
  <c r="AY188" i="6"/>
  <c r="AZ188" i="6"/>
  <c r="AV189" i="6"/>
  <c r="AW189" i="6"/>
  <c r="AX189" i="6"/>
  <c r="AY189" i="6"/>
  <c r="AZ189" i="6"/>
  <c r="AV190" i="6"/>
  <c r="AW190" i="6"/>
  <c r="AX190" i="6"/>
  <c r="AY190" i="6"/>
  <c r="AZ190" i="6"/>
  <c r="AV191" i="6"/>
  <c r="AW191" i="6"/>
  <c r="AX191" i="6"/>
  <c r="AY191" i="6"/>
  <c r="AZ191" i="6"/>
  <c r="AV192" i="6"/>
  <c r="AW192" i="6"/>
  <c r="AX192" i="6"/>
  <c r="AY192" i="6"/>
  <c r="AZ192" i="6"/>
  <c r="AV193" i="6"/>
  <c r="AW193" i="6"/>
  <c r="AX193" i="6"/>
  <c r="AY193" i="6"/>
  <c r="AZ193" i="6"/>
  <c r="AV194" i="6"/>
  <c r="AW194" i="6"/>
  <c r="AX194" i="6"/>
  <c r="AY194" i="6"/>
  <c r="AZ194" i="6"/>
  <c r="AV195" i="6"/>
  <c r="AW195" i="6"/>
  <c r="AX195" i="6"/>
  <c r="AY195" i="6"/>
  <c r="AZ195" i="6"/>
  <c r="AV196" i="6"/>
  <c r="AW196" i="6"/>
  <c r="AX196" i="6"/>
  <c r="AY196" i="6"/>
  <c r="AZ196" i="6"/>
  <c r="AV197" i="6"/>
  <c r="AW197" i="6"/>
  <c r="AX197" i="6"/>
  <c r="AY197" i="6"/>
  <c r="AZ197" i="6"/>
  <c r="AV198" i="6"/>
  <c r="AW198" i="6"/>
  <c r="AX198" i="6"/>
  <c r="AY198" i="6"/>
  <c r="AZ198" i="6"/>
  <c r="AV199" i="6"/>
  <c r="AW199" i="6"/>
  <c r="AX199" i="6"/>
  <c r="AY199" i="6"/>
  <c r="AZ199" i="6"/>
  <c r="AV200" i="6"/>
  <c r="AW200" i="6"/>
  <c r="AX200" i="6"/>
  <c r="AY200" i="6"/>
  <c r="AZ200" i="6"/>
  <c r="AV201" i="6"/>
  <c r="AW201" i="6"/>
  <c r="AX201" i="6"/>
  <c r="AY201" i="6"/>
  <c r="AZ201" i="6"/>
  <c r="AV202" i="6"/>
  <c r="AW202" i="6"/>
  <c r="AX202" i="6"/>
  <c r="AY202" i="6"/>
  <c r="AZ202" i="6"/>
  <c r="AV203" i="6"/>
  <c r="AW203" i="6"/>
  <c r="AX203" i="6"/>
  <c r="AY203" i="6"/>
  <c r="AZ203" i="6"/>
  <c r="AV204" i="6"/>
  <c r="AW204" i="6"/>
  <c r="AX204" i="6"/>
  <c r="AY204" i="6"/>
  <c r="AZ204" i="6"/>
  <c r="AV205" i="6"/>
  <c r="AW205" i="6"/>
  <c r="AX205" i="6"/>
  <c r="AY205" i="6"/>
  <c r="AZ205" i="6"/>
  <c r="AV206" i="6"/>
  <c r="AW206" i="6"/>
  <c r="AX206" i="6"/>
  <c r="AY206" i="6"/>
  <c r="AZ206" i="6"/>
  <c r="AV207" i="6"/>
  <c r="AW207" i="6"/>
  <c r="AX207" i="6"/>
  <c r="AY207" i="6"/>
  <c r="AZ207" i="6"/>
  <c r="AV208" i="6"/>
  <c r="AW208" i="6"/>
  <c r="AX208" i="6"/>
  <c r="AY208" i="6"/>
  <c r="AZ208" i="6"/>
  <c r="AV209" i="6"/>
  <c r="AW209" i="6"/>
  <c r="AX209" i="6"/>
  <c r="AY209" i="6"/>
  <c r="AZ209" i="6"/>
  <c r="AV210" i="6"/>
  <c r="AW210" i="6"/>
  <c r="AX210" i="6"/>
  <c r="AY210" i="6"/>
  <c r="AZ210" i="6"/>
  <c r="AV211" i="6"/>
  <c r="AW211" i="6"/>
  <c r="AX211" i="6"/>
  <c r="AY211" i="6"/>
  <c r="AZ211" i="6"/>
  <c r="AW172" i="6"/>
  <c r="AX172" i="6"/>
  <c r="AY172" i="6"/>
  <c r="AZ172" i="6"/>
  <c r="AV172" i="6"/>
  <c r="AR173" i="6"/>
  <c r="AS173" i="6"/>
  <c r="AR174" i="6"/>
  <c r="AS174" i="6"/>
  <c r="AR175" i="6"/>
  <c r="AS175" i="6"/>
  <c r="AR176" i="6"/>
  <c r="AS176" i="6"/>
  <c r="AR177" i="6"/>
  <c r="AS177" i="6"/>
  <c r="AR178" i="6"/>
  <c r="AS178" i="6"/>
  <c r="AR179" i="6"/>
  <c r="AS179" i="6"/>
  <c r="AR180" i="6"/>
  <c r="AS180" i="6"/>
  <c r="AR181" i="6"/>
  <c r="AS181" i="6"/>
  <c r="AR182" i="6"/>
  <c r="AS182" i="6"/>
  <c r="AR183" i="6"/>
  <c r="AS183" i="6"/>
  <c r="AR184" i="6"/>
  <c r="AS184" i="6"/>
  <c r="AR185" i="6"/>
  <c r="AS185" i="6"/>
  <c r="AR186" i="6"/>
  <c r="AS186" i="6"/>
  <c r="AR187" i="6"/>
  <c r="AS187" i="6"/>
  <c r="AR188" i="6"/>
  <c r="AS188" i="6"/>
  <c r="AR189" i="6"/>
  <c r="AS189" i="6"/>
  <c r="AR190" i="6"/>
  <c r="AS190" i="6"/>
  <c r="AR191" i="6"/>
  <c r="AS191" i="6"/>
  <c r="AR192" i="6"/>
  <c r="AS192" i="6"/>
  <c r="AR193" i="6"/>
  <c r="AS193" i="6"/>
  <c r="AR194" i="6"/>
  <c r="AS194" i="6"/>
  <c r="AR195" i="6"/>
  <c r="AS195" i="6"/>
  <c r="AR196" i="6"/>
  <c r="AS196" i="6"/>
  <c r="AR197" i="6"/>
  <c r="AS197" i="6"/>
  <c r="AR198" i="6"/>
  <c r="AS198" i="6"/>
  <c r="AR199" i="6"/>
  <c r="AS199" i="6"/>
  <c r="AR200" i="6"/>
  <c r="AS200" i="6"/>
  <c r="AR201" i="6"/>
  <c r="AS201" i="6"/>
  <c r="AR202" i="6"/>
  <c r="AS202" i="6"/>
  <c r="AR203" i="6"/>
  <c r="AS203" i="6"/>
  <c r="AR204" i="6"/>
  <c r="AS204" i="6"/>
  <c r="AR205" i="6"/>
  <c r="AS205" i="6"/>
  <c r="AR206" i="6"/>
  <c r="AS206" i="6"/>
  <c r="AR207" i="6"/>
  <c r="AS207" i="6"/>
  <c r="AR208" i="6"/>
  <c r="AS208" i="6"/>
  <c r="AR209" i="6"/>
  <c r="AS209" i="6"/>
  <c r="AR210" i="6"/>
  <c r="AS210" i="6"/>
  <c r="AR211" i="6"/>
  <c r="AS211" i="6"/>
  <c r="AS172" i="6"/>
  <c r="AR172" i="6"/>
  <c r="O113" i="8" l="1" a="1"/>
  <c r="O113" i="8" s="1"/>
  <c r="N113" i="8" a="1"/>
  <c r="N113" i="8" s="1"/>
  <c r="S113" i="8" a="1"/>
  <c r="S113" i="8" s="1"/>
  <c r="P113" i="8" a="1"/>
  <c r="P113" i="8" s="1"/>
  <c r="H113" i="8" a="1"/>
  <c r="H113" i="8" s="1"/>
  <c r="J113" i="8" a="1"/>
  <c r="J113" i="8" s="1"/>
  <c r="T113" i="8" a="1"/>
  <c r="T113" i="8" s="1"/>
  <c r="L113" i="8" a="1"/>
  <c r="L113" i="8" s="1"/>
  <c r="F113" i="8" a="1"/>
  <c r="F113" i="8" s="1"/>
  <c r="I133" i="8" a="1"/>
  <c r="I133" i="8" s="1"/>
  <c r="M133" i="8" a="1"/>
  <c r="M133" i="8" s="1"/>
  <c r="Q133" i="8" a="1"/>
  <c r="Q133" i="8" s="1"/>
  <c r="U133" i="8" a="1"/>
  <c r="U133" i="8" s="1"/>
  <c r="F133" i="8" a="1"/>
  <c r="F133" i="8" s="1"/>
  <c r="J133" i="8" a="1"/>
  <c r="J133" i="8" s="1"/>
  <c r="N133" i="8" a="1"/>
  <c r="N133" i="8" s="1"/>
  <c r="R133" i="8" a="1"/>
  <c r="R133" i="8" s="1"/>
  <c r="V133" i="8" a="1"/>
  <c r="V133" i="8" s="1"/>
  <c r="K133" i="8" a="1"/>
  <c r="K133" i="8" s="1"/>
  <c r="S133" i="8" a="1"/>
  <c r="S133" i="8" s="1"/>
  <c r="L133" i="8" a="1"/>
  <c r="L133" i="8" s="1"/>
  <c r="T133" i="8" a="1"/>
  <c r="T133" i="8" s="1"/>
  <c r="G133" i="8" a="1"/>
  <c r="G133" i="8" s="1"/>
  <c r="O133" i="8" a="1"/>
  <c r="O133" i="8" s="1"/>
  <c r="C131" i="8"/>
  <c r="H133" i="8" a="1"/>
  <c r="H133" i="8" s="1"/>
  <c r="P133" i="8" a="1"/>
  <c r="P133" i="8" s="1"/>
  <c r="E133" i="8" a="1"/>
  <c r="E133" i="8" s="1"/>
  <c r="C126" i="8"/>
  <c r="S128" i="8" a="1"/>
  <c r="S128" i="8" s="1"/>
  <c r="P123" i="8" a="1"/>
  <c r="P123" i="8" s="1"/>
  <c r="O128" i="8" a="1"/>
  <c r="O128" i="8" s="1"/>
  <c r="I123" i="8" a="1"/>
  <c r="I123" i="8" s="1"/>
  <c r="G118" i="8" a="1"/>
  <c r="G118" i="8" s="1"/>
  <c r="Q113" i="8" a="1"/>
  <c r="Q113" i="8" s="1"/>
  <c r="K123" i="8" a="1"/>
  <c r="K123" i="8" s="1"/>
  <c r="G128" i="8" a="1"/>
  <c r="G128" i="8" s="1"/>
  <c r="F118" i="8" a="1"/>
  <c r="F118" i="8" s="1"/>
  <c r="E113" i="8" a="1"/>
  <c r="E113" i="8" s="1"/>
  <c r="I113" i="8" a="1"/>
  <c r="I113" i="8" s="1"/>
  <c r="O123" i="8" a="1"/>
  <c r="O123" i="8" s="1"/>
  <c r="H118" i="8" a="1"/>
  <c r="H118" i="8" s="1"/>
  <c r="F123" i="8" a="1"/>
  <c r="F123" i="8" s="1"/>
  <c r="K128" i="8" a="1"/>
  <c r="K128" i="8" s="1"/>
  <c r="M128" i="8" a="1"/>
  <c r="M128" i="8" s="1"/>
  <c r="Q118" i="8" a="1"/>
  <c r="Q118" i="8" s="1"/>
  <c r="U113" i="8" a="1"/>
  <c r="U113" i="8" s="1"/>
  <c r="O118" i="8" a="1"/>
  <c r="O118" i="8" s="1"/>
  <c r="E128" i="8" a="1"/>
  <c r="E128" i="8" s="1"/>
  <c r="T123" i="8" a="1"/>
  <c r="T123" i="8" s="1"/>
  <c r="C121" i="8"/>
  <c r="T128" i="8" a="1"/>
  <c r="T128" i="8" s="1"/>
  <c r="M123" i="8" a="1"/>
  <c r="M123" i="8" s="1"/>
  <c r="M113" i="8" a="1"/>
  <c r="M113" i="8" s="1"/>
  <c r="V118" i="8" a="1"/>
  <c r="V118" i="8" s="1"/>
  <c r="T118" i="8" a="1"/>
  <c r="T118" i="8" s="1"/>
  <c r="G123" i="8" a="1"/>
  <c r="G123" i="8" s="1"/>
  <c r="L128" i="8" a="1"/>
  <c r="L128" i="8" s="1"/>
  <c r="E118" i="8" a="1"/>
  <c r="E118" i="8" s="1"/>
  <c r="C116" i="8"/>
  <c r="I128" i="8" a="1"/>
  <c r="I128" i="8" s="1"/>
  <c r="M118" i="8" a="1"/>
  <c r="M118" i="8" s="1"/>
  <c r="H123" i="8" a="1"/>
  <c r="H123" i="8" s="1"/>
  <c r="Q123" i="8" a="1"/>
  <c r="Q123" i="8" s="1"/>
  <c r="R118" i="8" a="1"/>
  <c r="R118" i="8" s="1"/>
  <c r="P118" i="8" a="1"/>
  <c r="P118" i="8" s="1"/>
  <c r="P128" i="8" a="1"/>
  <c r="P128" i="8" s="1"/>
  <c r="S118" i="8" a="1"/>
  <c r="S118" i="8" s="1"/>
  <c r="U128" i="8" a="1"/>
  <c r="U128" i="8" s="1"/>
  <c r="N128" i="8" a="1"/>
  <c r="N128" i="8" s="1"/>
  <c r="L123" i="8" a="1"/>
  <c r="L123" i="8" s="1"/>
  <c r="J128" i="8" a="1"/>
  <c r="J128" i="8" s="1"/>
  <c r="U123" i="8" a="1"/>
  <c r="U123" i="8" s="1"/>
  <c r="L118" i="8" a="1"/>
  <c r="L118" i="8" s="1"/>
  <c r="S123" i="8" a="1"/>
  <c r="S123" i="8" s="1"/>
  <c r="R128" i="8" a="1"/>
  <c r="R128" i="8" s="1"/>
  <c r="K118" i="8" a="1"/>
  <c r="K118" i="8" s="1"/>
  <c r="J123" i="8" a="1"/>
  <c r="J123" i="8" s="1"/>
  <c r="F128" i="8" a="1"/>
  <c r="F128" i="8" s="1"/>
  <c r="J118" i="8" a="1"/>
  <c r="J118" i="8" s="1"/>
  <c r="V113" i="8" a="1"/>
  <c r="V113" i="8" s="1"/>
  <c r="N118" i="8" a="1"/>
  <c r="N118" i="8" s="1"/>
  <c r="N123" i="8" a="1"/>
  <c r="N123" i="8" s="1"/>
  <c r="V128" i="8" a="1"/>
  <c r="V128" i="8" s="1"/>
  <c r="Q128" i="8" a="1"/>
  <c r="Q128" i="8" s="1"/>
  <c r="U118" i="8" a="1"/>
  <c r="U118" i="8" s="1"/>
  <c r="H128" i="8" a="1"/>
  <c r="H128" i="8" s="1"/>
  <c r="E123" i="8" a="1"/>
  <c r="E123" i="8" s="1"/>
  <c r="R123" i="8" a="1"/>
  <c r="R123" i="8" s="1"/>
  <c r="V123" i="8" a="1"/>
  <c r="V123" i="8" s="1"/>
  <c r="I118" i="8" a="1"/>
  <c r="I118" i="8" s="1"/>
  <c r="K113" i="8" a="1"/>
  <c r="K113" i="8" s="1"/>
  <c r="C111" i="8"/>
  <c r="AN179" i="8"/>
  <c r="AP179" i="8" s="1"/>
  <c r="AN175" i="8"/>
  <c r="AP175" i="8" s="1"/>
  <c r="AN171" i="8"/>
  <c r="AP171" i="8" s="1"/>
  <c r="AN167" i="8"/>
  <c r="AP167" i="8" s="1"/>
  <c r="AM7" i="8"/>
  <c r="AO7" i="8" s="1"/>
  <c r="AM105" i="8"/>
  <c r="AO105" i="8" s="1"/>
  <c r="AM103" i="8"/>
  <c r="AO103" i="8" s="1"/>
  <c r="AM101" i="8"/>
  <c r="AO101" i="8" s="1"/>
  <c r="AM99" i="8"/>
  <c r="AO99" i="8" s="1"/>
  <c r="AM97" i="8"/>
  <c r="AO97" i="8" s="1"/>
  <c r="AM95" i="8"/>
  <c r="AO95" i="8" s="1"/>
  <c r="AM93" i="8"/>
  <c r="AO93" i="8" s="1"/>
  <c r="AM91" i="8"/>
  <c r="AO91" i="8" s="1"/>
  <c r="AN163" i="8"/>
  <c r="AP163" i="8" s="1"/>
  <c r="AN159" i="8"/>
  <c r="AP159" i="8" s="1"/>
  <c r="AN155" i="8"/>
  <c r="AP155" i="8" s="1"/>
  <c r="AM89" i="8"/>
  <c r="AM87" i="8"/>
  <c r="AO87" i="8" s="1"/>
  <c r="AM85" i="8"/>
  <c r="AO85" i="8" s="1"/>
  <c r="AM83" i="8"/>
  <c r="AO83" i="8" s="1"/>
  <c r="AM81" i="8"/>
  <c r="AO81" i="8" s="1"/>
  <c r="AM79" i="8"/>
  <c r="AO79" i="8" s="1"/>
  <c r="AM77" i="8"/>
  <c r="AO77" i="8" s="1"/>
  <c r="AM75" i="8"/>
  <c r="AO75" i="8" s="1"/>
  <c r="AM73" i="8"/>
  <c r="AO73" i="8" s="1"/>
  <c r="AM71" i="8"/>
  <c r="AO71" i="8" s="1"/>
  <c r="AM69" i="8"/>
  <c r="AO69" i="8" s="1"/>
  <c r="AM67" i="8"/>
  <c r="AO67" i="8" s="1"/>
  <c r="AM65" i="8"/>
  <c r="AO65" i="8" s="1"/>
  <c r="AM63" i="8"/>
  <c r="AO63" i="8" s="1"/>
  <c r="AM61" i="8"/>
  <c r="AO61" i="8" s="1"/>
  <c r="AM59" i="8"/>
  <c r="AO59" i="8" s="1"/>
  <c r="AM57" i="8"/>
  <c r="AO57" i="8" s="1"/>
  <c r="AM55" i="8"/>
  <c r="AO55" i="8" s="1"/>
  <c r="AM53" i="8"/>
  <c r="AO53" i="8" s="1"/>
  <c r="AM51" i="8"/>
  <c r="AO51" i="8" s="1"/>
  <c r="AM49" i="8"/>
  <c r="AO49" i="8" s="1"/>
  <c r="AM47" i="8"/>
  <c r="AO47" i="8" s="1"/>
  <c r="AM45" i="8"/>
  <c r="AO45" i="8" s="1"/>
  <c r="AM43" i="8"/>
  <c r="AO43" i="8" s="1"/>
  <c r="AM41" i="8"/>
  <c r="AO41" i="8" s="1"/>
  <c r="AM39" i="8"/>
  <c r="AO39" i="8" s="1"/>
  <c r="AM37" i="8"/>
  <c r="AO37" i="8" s="1"/>
  <c r="AM35" i="8"/>
  <c r="AO35" i="8" s="1"/>
  <c r="AM33" i="8"/>
  <c r="AO33" i="8" s="1"/>
  <c r="AM31" i="8"/>
  <c r="AO31" i="8" s="1"/>
  <c r="AM29" i="8"/>
  <c r="AO29" i="8" s="1"/>
  <c r="AM27" i="8"/>
  <c r="AO27" i="8" s="1"/>
  <c r="AM25" i="8"/>
  <c r="AO25" i="8" s="1"/>
  <c r="AM23" i="8"/>
  <c r="AO23" i="8" s="1"/>
  <c r="AM106" i="8"/>
  <c r="AO106" i="8" s="1"/>
  <c r="AM104" i="8"/>
  <c r="AO104" i="8" s="1"/>
  <c r="AM102" i="8"/>
  <c r="AO102" i="8" s="1"/>
  <c r="AM100" i="8"/>
  <c r="AO100" i="8" s="1"/>
  <c r="AM98" i="8"/>
  <c r="AO98" i="8" s="1"/>
  <c r="AM96" i="8"/>
  <c r="AO96" i="8" s="1"/>
  <c r="AM94" i="8"/>
  <c r="AO94" i="8" s="1"/>
  <c r="AM92" i="8"/>
  <c r="AO92" i="8" s="1"/>
  <c r="AM90" i="8"/>
  <c r="AO90" i="8" s="1"/>
  <c r="AM88" i="8"/>
  <c r="AO88" i="8" s="1"/>
  <c r="AM86" i="8"/>
  <c r="AO86" i="8" s="1"/>
  <c r="AM84" i="8"/>
  <c r="AO84" i="8" s="1"/>
  <c r="AM82" i="8"/>
  <c r="AO82" i="8" s="1"/>
  <c r="AM80" i="8"/>
  <c r="AO80" i="8" s="1"/>
  <c r="AM78" i="8"/>
  <c r="AO78" i="8" s="1"/>
  <c r="AM76" i="8"/>
  <c r="AO76" i="8" s="1"/>
  <c r="AM74" i="8"/>
  <c r="AO74" i="8" s="1"/>
  <c r="AM72" i="8"/>
  <c r="AO72" i="8" s="1"/>
  <c r="AM70" i="8"/>
  <c r="AO70" i="8" s="1"/>
  <c r="AM68" i="8"/>
  <c r="AO68" i="8" s="1"/>
  <c r="AM66" i="8"/>
  <c r="AO66" i="8" s="1"/>
  <c r="AM64" i="8"/>
  <c r="AO64" i="8" s="1"/>
  <c r="AM62" i="8"/>
  <c r="AO62" i="8" s="1"/>
  <c r="AM60" i="8"/>
  <c r="AO60" i="8" s="1"/>
  <c r="AM58" i="8"/>
  <c r="AO58" i="8" s="1"/>
  <c r="AM56" i="8"/>
  <c r="AO56" i="8" s="1"/>
  <c r="AM54" i="8"/>
  <c r="AO54" i="8" s="1"/>
  <c r="AM52" i="8"/>
  <c r="AO52" i="8" s="1"/>
  <c r="AM50" i="8"/>
  <c r="AO50" i="8" s="1"/>
  <c r="AM48" i="8"/>
  <c r="AO48" i="8" s="1"/>
  <c r="AM46" i="8"/>
  <c r="AO46" i="8" s="1"/>
  <c r="AM44" i="8"/>
  <c r="AO44" i="8" s="1"/>
  <c r="AM42" i="8"/>
  <c r="AO42" i="8" s="1"/>
  <c r="AM40" i="8"/>
  <c r="AO40" i="8" s="1"/>
  <c r="AM38" i="8"/>
  <c r="AO38" i="8" s="1"/>
  <c r="AM36" i="8"/>
  <c r="AO36" i="8" s="1"/>
  <c r="AM34" i="8"/>
  <c r="AO34" i="8" s="1"/>
  <c r="AM32" i="8"/>
  <c r="AO32" i="8" s="1"/>
  <c r="AM30" i="8"/>
  <c r="AO30" i="8" s="1"/>
  <c r="AM28" i="8"/>
  <c r="AO28" i="8" s="1"/>
  <c r="AM26" i="8"/>
  <c r="AO26" i="8" s="1"/>
  <c r="AM24" i="8"/>
  <c r="AO24" i="8" s="1"/>
  <c r="AM22" i="8"/>
  <c r="AO22" i="8" s="1"/>
  <c r="AM20" i="8"/>
  <c r="AO20" i="8" s="1"/>
  <c r="AM18" i="8"/>
  <c r="AO18" i="8" s="1"/>
  <c r="AM16" i="8"/>
  <c r="AO16" i="8" s="1"/>
  <c r="AM14" i="8"/>
  <c r="AO14" i="8" s="1"/>
  <c r="AM12" i="8"/>
  <c r="AO12" i="8" s="1"/>
  <c r="AM10" i="8"/>
  <c r="AO10" i="8" s="1"/>
  <c r="AM8" i="8"/>
  <c r="AO8" i="8" s="1"/>
  <c r="AO89" i="8"/>
  <c r="AN153" i="8"/>
  <c r="AP153" i="8" s="1"/>
  <c r="AN189" i="8"/>
  <c r="AP189" i="8" s="1"/>
  <c r="AN185" i="8"/>
  <c r="AP185" i="8" s="1"/>
  <c r="X193" i="8"/>
  <c r="AN181" i="8"/>
  <c r="AP181" i="8" s="1"/>
  <c r="AN191" i="8"/>
  <c r="AP191" i="8" s="1"/>
  <c r="AN187" i="8"/>
  <c r="AP187" i="8" s="1"/>
  <c r="AN183" i="8"/>
  <c r="AP183" i="8" s="1"/>
  <c r="AN192" i="8"/>
  <c r="AP192" i="8" s="1"/>
  <c r="AN190" i="8"/>
  <c r="AP190" i="8" s="1"/>
  <c r="AN188" i="8"/>
  <c r="AP188" i="8" s="1"/>
  <c r="AN186" i="8"/>
  <c r="AP186" i="8" s="1"/>
  <c r="AN184" i="8"/>
  <c r="AP184" i="8" s="1"/>
  <c r="AN182" i="8"/>
  <c r="AP182" i="8" s="1"/>
  <c r="AN180" i="8"/>
  <c r="AP180" i="8" s="1"/>
  <c r="AN178" i="8"/>
  <c r="AP178" i="8" s="1"/>
  <c r="AN176" i="8"/>
  <c r="AP176" i="8" s="1"/>
  <c r="AN174" i="8"/>
  <c r="AP174" i="8" s="1"/>
  <c r="AN172" i="8"/>
  <c r="AP172" i="8" s="1"/>
  <c r="AN170" i="8"/>
  <c r="AP170" i="8" s="1"/>
  <c r="AN168" i="8"/>
  <c r="AP168" i="8" s="1"/>
  <c r="AN166" i="8"/>
  <c r="AP166" i="8" s="1"/>
  <c r="AN164" i="8"/>
  <c r="AP164" i="8" s="1"/>
  <c r="AN162" i="8"/>
  <c r="AP162" i="8" s="1"/>
  <c r="AN160" i="8"/>
  <c r="AP160" i="8" s="1"/>
  <c r="AN158" i="8"/>
  <c r="AP158" i="8" s="1"/>
  <c r="AN156" i="8"/>
  <c r="AP156" i="8" s="1"/>
  <c r="AN154" i="8"/>
  <c r="AP154" i="8" s="1"/>
  <c r="AM21" i="8"/>
  <c r="AO21" i="8" s="1"/>
  <c r="AM19" i="8"/>
  <c r="AO19" i="8" s="1"/>
  <c r="AM17" i="8"/>
  <c r="AO17" i="8" s="1"/>
  <c r="AM15" i="8"/>
  <c r="AO15" i="8" s="1"/>
  <c r="AM13" i="8"/>
  <c r="AO13" i="8" s="1"/>
  <c r="AM11" i="8"/>
  <c r="AO11" i="8" s="1"/>
  <c r="AM9" i="8"/>
  <c r="AO9" i="8" s="1"/>
  <c r="AN177" i="8"/>
  <c r="AP177" i="8" s="1"/>
  <c r="AN173" i="8"/>
  <c r="AP173" i="8" s="1"/>
  <c r="AN169" i="8"/>
  <c r="AP169" i="8" s="1"/>
  <c r="AN165" i="8"/>
  <c r="AP165" i="8" s="1"/>
  <c r="AN161" i="8"/>
  <c r="AP161" i="8" s="1"/>
  <c r="AN157" i="8"/>
  <c r="AP157" i="8" s="1"/>
  <c r="AM191" i="8"/>
  <c r="AM187" i="8"/>
  <c r="AM183" i="8"/>
  <c r="AM179" i="8"/>
  <c r="AM175" i="8"/>
  <c r="AM171" i="8"/>
  <c r="AM167" i="8"/>
  <c r="AM163" i="8"/>
  <c r="AM159" i="8"/>
  <c r="AM155" i="8"/>
  <c r="AM190" i="8"/>
  <c r="AM186" i="8"/>
  <c r="AM182" i="8"/>
  <c r="AM178" i="8"/>
  <c r="AM174" i="8"/>
  <c r="AM170" i="8"/>
  <c r="AM166" i="8"/>
  <c r="AM162" i="8"/>
  <c r="AM158" i="8"/>
  <c r="AM154" i="8"/>
  <c r="AM153" i="8"/>
  <c r="AM189" i="8"/>
  <c r="AM185" i="8"/>
  <c r="AM181" i="8"/>
  <c r="AM177" i="8"/>
  <c r="AM173" i="8"/>
  <c r="AM169" i="8"/>
  <c r="AM165" i="8"/>
  <c r="AM161" i="8"/>
  <c r="AM157" i="8"/>
  <c r="AM192" i="8"/>
  <c r="AM188" i="8"/>
  <c r="AM184" i="8"/>
  <c r="AM180" i="8"/>
  <c r="AM176" i="8"/>
  <c r="AM172" i="8"/>
  <c r="AM168" i="8"/>
  <c r="AM164" i="8"/>
  <c r="AM160" i="8"/>
  <c r="AM156" i="8"/>
  <c r="AH193" i="8"/>
  <c r="BA172" i="6"/>
  <c r="BA208" i="6"/>
  <c r="BA204" i="6"/>
  <c r="BA200" i="6"/>
  <c r="BA196" i="6"/>
  <c r="BA192" i="6"/>
  <c r="BA188" i="6"/>
  <c r="BA184" i="6"/>
  <c r="BA180" i="6"/>
  <c r="BA176" i="6"/>
  <c r="BI172" i="6"/>
  <c r="BI208" i="6"/>
  <c r="BI204" i="6"/>
  <c r="BI200" i="6"/>
  <c r="BI196" i="6"/>
  <c r="BI192" i="6"/>
  <c r="BI188" i="6"/>
  <c r="BI184" i="6"/>
  <c r="BI180" i="6"/>
  <c r="BI176" i="6"/>
  <c r="BA207" i="6"/>
  <c r="BA199" i="6"/>
  <c r="BA191" i="6"/>
  <c r="BA187" i="6"/>
  <c r="BA183" i="6"/>
  <c r="BA179" i="6"/>
  <c r="BA175" i="6"/>
  <c r="BI211" i="6"/>
  <c r="BI207" i="6"/>
  <c r="BI203" i="6"/>
  <c r="BI199" i="6"/>
  <c r="BI195" i="6"/>
  <c r="BI191" i="6"/>
  <c r="BI187" i="6"/>
  <c r="BI183" i="6"/>
  <c r="BI179" i="6"/>
  <c r="BI175" i="6"/>
  <c r="BA211" i="6"/>
  <c r="BA203" i="6"/>
  <c r="BA195" i="6"/>
  <c r="BA210" i="6"/>
  <c r="BA206" i="6"/>
  <c r="BA202" i="6"/>
  <c r="BA198" i="6"/>
  <c r="BA194" i="6"/>
  <c r="BA190" i="6"/>
  <c r="BA186" i="6"/>
  <c r="BA182" i="6"/>
  <c r="BA178" i="6"/>
  <c r="BA174" i="6"/>
  <c r="BI210" i="6"/>
  <c r="BI206" i="6"/>
  <c r="BI202" i="6"/>
  <c r="BI198" i="6"/>
  <c r="BI194" i="6"/>
  <c r="BI190" i="6"/>
  <c r="BI186" i="6"/>
  <c r="BI182" i="6"/>
  <c r="BI178" i="6"/>
  <c r="BI174" i="6"/>
  <c r="BA209" i="6"/>
  <c r="BA205" i="6"/>
  <c r="BA201" i="6"/>
  <c r="BA197" i="6"/>
  <c r="BA193" i="6"/>
  <c r="BA189" i="6"/>
  <c r="BA185" i="6"/>
  <c r="BA181" i="6"/>
  <c r="BA177" i="6"/>
  <c r="BA173" i="6"/>
  <c r="BI209" i="6"/>
  <c r="BI205" i="6"/>
  <c r="BI201" i="6"/>
  <c r="BI197" i="6"/>
  <c r="BI193" i="6"/>
  <c r="BI189" i="6"/>
  <c r="BI185" i="6"/>
  <c r="BI181" i="6"/>
  <c r="BI177" i="6"/>
  <c r="BI173" i="6"/>
  <c r="BK207" i="6"/>
  <c r="E156" i="6"/>
  <c r="T209" i="6"/>
  <c r="AT8" i="6"/>
  <c r="AY9" i="6"/>
  <c r="AZ9" i="6"/>
  <c r="BA9" i="6"/>
  <c r="BB9" i="6"/>
  <c r="BC9" i="6"/>
  <c r="AY10" i="6"/>
  <c r="AZ10" i="6"/>
  <c r="BA10" i="6"/>
  <c r="BB10" i="6"/>
  <c r="BC10" i="6"/>
  <c r="AY11" i="6"/>
  <c r="AZ11" i="6"/>
  <c r="BA11" i="6"/>
  <c r="BB11" i="6"/>
  <c r="BC11" i="6"/>
  <c r="AY12" i="6"/>
  <c r="AZ12" i="6"/>
  <c r="BA12" i="6"/>
  <c r="BB12" i="6"/>
  <c r="BC12" i="6"/>
  <c r="AY13" i="6"/>
  <c r="AZ13" i="6"/>
  <c r="BA13" i="6"/>
  <c r="BB13" i="6"/>
  <c r="BC13" i="6"/>
  <c r="AY14" i="6"/>
  <c r="AZ14" i="6"/>
  <c r="BA14" i="6"/>
  <c r="BB14" i="6"/>
  <c r="BC14" i="6"/>
  <c r="AY15" i="6"/>
  <c r="AZ15" i="6"/>
  <c r="BA15" i="6"/>
  <c r="BB15" i="6"/>
  <c r="BC15" i="6"/>
  <c r="AY16" i="6"/>
  <c r="AZ16" i="6"/>
  <c r="BA16" i="6"/>
  <c r="BB16" i="6"/>
  <c r="BC16" i="6"/>
  <c r="AY17" i="6"/>
  <c r="AZ17" i="6"/>
  <c r="BA17" i="6"/>
  <c r="BB17" i="6"/>
  <c r="BC17" i="6"/>
  <c r="AY18" i="6"/>
  <c r="AZ18" i="6"/>
  <c r="BA18" i="6"/>
  <c r="BB18" i="6"/>
  <c r="BC18" i="6"/>
  <c r="AY19" i="6"/>
  <c r="AZ19" i="6"/>
  <c r="BA19" i="6"/>
  <c r="BB19" i="6"/>
  <c r="BC19" i="6"/>
  <c r="AY20" i="6"/>
  <c r="AZ20" i="6"/>
  <c r="BA20" i="6"/>
  <c r="BB20" i="6"/>
  <c r="BC20" i="6"/>
  <c r="AY21" i="6"/>
  <c r="AZ21" i="6"/>
  <c r="BA21" i="6"/>
  <c r="BB21" i="6"/>
  <c r="BC21" i="6"/>
  <c r="AY22" i="6"/>
  <c r="AZ22" i="6"/>
  <c r="BA22" i="6"/>
  <c r="BB22" i="6"/>
  <c r="BC22" i="6"/>
  <c r="AY23" i="6"/>
  <c r="AZ23" i="6"/>
  <c r="BA23" i="6"/>
  <c r="BB23" i="6"/>
  <c r="BC23" i="6"/>
  <c r="AY24" i="6"/>
  <c r="AZ24" i="6"/>
  <c r="BA24" i="6"/>
  <c r="BB24" i="6"/>
  <c r="BC24" i="6"/>
  <c r="AY25" i="6"/>
  <c r="AZ25" i="6"/>
  <c r="BA25" i="6"/>
  <c r="BB25" i="6"/>
  <c r="BC25" i="6"/>
  <c r="AY26" i="6"/>
  <c r="AZ26" i="6"/>
  <c r="BA26" i="6"/>
  <c r="BB26" i="6"/>
  <c r="BC26" i="6"/>
  <c r="AY27" i="6"/>
  <c r="AZ27" i="6"/>
  <c r="BA27" i="6"/>
  <c r="BB27" i="6"/>
  <c r="BC27" i="6"/>
  <c r="AY28" i="6"/>
  <c r="AZ28" i="6"/>
  <c r="BA28" i="6"/>
  <c r="BB28" i="6"/>
  <c r="BC28" i="6"/>
  <c r="AY29" i="6"/>
  <c r="AZ29" i="6"/>
  <c r="BA29" i="6"/>
  <c r="BB29" i="6"/>
  <c r="BC29" i="6"/>
  <c r="AY30" i="6"/>
  <c r="AZ30" i="6"/>
  <c r="BA30" i="6"/>
  <c r="BB30" i="6"/>
  <c r="BC30" i="6"/>
  <c r="AY31" i="6"/>
  <c r="AZ31" i="6"/>
  <c r="BA31" i="6"/>
  <c r="BB31" i="6"/>
  <c r="BC31" i="6"/>
  <c r="AY32" i="6"/>
  <c r="AZ32" i="6"/>
  <c r="BA32" i="6"/>
  <c r="BB32" i="6"/>
  <c r="BC32" i="6"/>
  <c r="AY33" i="6"/>
  <c r="AZ33" i="6"/>
  <c r="BA33" i="6"/>
  <c r="BB33" i="6"/>
  <c r="BC33" i="6"/>
  <c r="AY34" i="6"/>
  <c r="AZ34" i="6"/>
  <c r="BA34" i="6"/>
  <c r="BB34" i="6"/>
  <c r="BC34" i="6"/>
  <c r="AY35" i="6"/>
  <c r="AZ35" i="6"/>
  <c r="BA35" i="6"/>
  <c r="BB35" i="6"/>
  <c r="BC35" i="6"/>
  <c r="AY36" i="6"/>
  <c r="AZ36" i="6"/>
  <c r="BA36" i="6"/>
  <c r="BB36" i="6"/>
  <c r="BC36" i="6"/>
  <c r="AY37" i="6"/>
  <c r="AZ37" i="6"/>
  <c r="BA37" i="6"/>
  <c r="BB37" i="6"/>
  <c r="BC37" i="6"/>
  <c r="AY38" i="6"/>
  <c r="AZ38" i="6"/>
  <c r="BA38" i="6"/>
  <c r="BB38" i="6"/>
  <c r="BC38" i="6"/>
  <c r="AY39" i="6"/>
  <c r="AZ39" i="6"/>
  <c r="BA39" i="6"/>
  <c r="BB39" i="6"/>
  <c r="BC39" i="6"/>
  <c r="AY40" i="6"/>
  <c r="AZ40" i="6"/>
  <c r="BA40" i="6"/>
  <c r="BB40" i="6"/>
  <c r="BC40" i="6"/>
  <c r="AY41" i="6"/>
  <c r="AZ41" i="6"/>
  <c r="BA41" i="6"/>
  <c r="BB41" i="6"/>
  <c r="BC41" i="6"/>
  <c r="AY42" i="6"/>
  <c r="AZ42" i="6"/>
  <c r="BA42" i="6"/>
  <c r="BB42" i="6"/>
  <c r="BC42" i="6"/>
  <c r="AY43" i="6"/>
  <c r="AZ43" i="6"/>
  <c r="BA43" i="6"/>
  <c r="BB43" i="6"/>
  <c r="BC43" i="6"/>
  <c r="AY44" i="6"/>
  <c r="AZ44" i="6"/>
  <c r="BA44" i="6"/>
  <c r="BB44" i="6"/>
  <c r="BC44" i="6"/>
  <c r="AY45" i="6"/>
  <c r="AZ45" i="6"/>
  <c r="BA45" i="6"/>
  <c r="BB45" i="6"/>
  <c r="BC45" i="6"/>
  <c r="AY46" i="6"/>
  <c r="AZ46" i="6"/>
  <c r="BA46" i="6"/>
  <c r="BB46" i="6"/>
  <c r="BC46" i="6"/>
  <c r="AY47" i="6"/>
  <c r="AZ47" i="6"/>
  <c r="BA47" i="6"/>
  <c r="BB47" i="6"/>
  <c r="BC47" i="6"/>
  <c r="AY48" i="6"/>
  <c r="AZ48" i="6"/>
  <c r="BA48" i="6"/>
  <c r="BB48" i="6"/>
  <c r="BC48" i="6"/>
  <c r="AY49" i="6"/>
  <c r="AZ49" i="6"/>
  <c r="BA49" i="6"/>
  <c r="BB49" i="6"/>
  <c r="BC49" i="6"/>
  <c r="AY50" i="6"/>
  <c r="AZ50" i="6"/>
  <c r="BA50" i="6"/>
  <c r="BB50" i="6"/>
  <c r="BC50" i="6"/>
  <c r="AY51" i="6"/>
  <c r="AZ51" i="6"/>
  <c r="BA51" i="6"/>
  <c r="BB51" i="6"/>
  <c r="BC51" i="6"/>
  <c r="AY52" i="6"/>
  <c r="AZ52" i="6"/>
  <c r="BA52" i="6"/>
  <c r="BB52" i="6"/>
  <c r="BC52" i="6"/>
  <c r="AY53" i="6"/>
  <c r="AZ53" i="6"/>
  <c r="BA53" i="6"/>
  <c r="BB53" i="6"/>
  <c r="BC53" i="6"/>
  <c r="AY54" i="6"/>
  <c r="AZ54" i="6"/>
  <c r="BA54" i="6"/>
  <c r="BB54" i="6"/>
  <c r="BC54" i="6"/>
  <c r="AY55" i="6"/>
  <c r="AZ55" i="6"/>
  <c r="BA55" i="6"/>
  <c r="BB55" i="6"/>
  <c r="BC55" i="6"/>
  <c r="AY56" i="6"/>
  <c r="AZ56" i="6"/>
  <c r="BA56" i="6"/>
  <c r="BB56" i="6"/>
  <c r="BC56" i="6"/>
  <c r="AY57" i="6"/>
  <c r="AZ57" i="6"/>
  <c r="BA57" i="6"/>
  <c r="BB57" i="6"/>
  <c r="BC57" i="6"/>
  <c r="AY58" i="6"/>
  <c r="AZ58" i="6"/>
  <c r="BA58" i="6"/>
  <c r="BB58" i="6"/>
  <c r="BC58" i="6"/>
  <c r="AY59" i="6"/>
  <c r="AZ59" i="6"/>
  <c r="BA59" i="6"/>
  <c r="BB59" i="6"/>
  <c r="BC59" i="6"/>
  <c r="AY60" i="6"/>
  <c r="AZ60" i="6"/>
  <c r="BA60" i="6"/>
  <c r="BB60" i="6"/>
  <c r="BC60" i="6"/>
  <c r="AY61" i="6"/>
  <c r="AZ61" i="6"/>
  <c r="BA61" i="6"/>
  <c r="BB61" i="6"/>
  <c r="BC61" i="6"/>
  <c r="AY62" i="6"/>
  <c r="AZ62" i="6"/>
  <c r="BA62" i="6"/>
  <c r="BB62" i="6"/>
  <c r="BC62" i="6"/>
  <c r="AY63" i="6"/>
  <c r="AZ63" i="6"/>
  <c r="BA63" i="6"/>
  <c r="BB63" i="6"/>
  <c r="BC63" i="6"/>
  <c r="AY64" i="6"/>
  <c r="AZ64" i="6"/>
  <c r="BA64" i="6"/>
  <c r="BB64" i="6"/>
  <c r="BC64" i="6"/>
  <c r="AY65" i="6"/>
  <c r="AZ65" i="6"/>
  <c r="BA65" i="6"/>
  <c r="BB65" i="6"/>
  <c r="BC65" i="6"/>
  <c r="AY66" i="6"/>
  <c r="AZ66" i="6"/>
  <c r="BA66" i="6"/>
  <c r="BB66" i="6"/>
  <c r="BC66" i="6"/>
  <c r="AY67" i="6"/>
  <c r="AZ67" i="6"/>
  <c r="BA67" i="6"/>
  <c r="BB67" i="6"/>
  <c r="BC67" i="6"/>
  <c r="AY68" i="6"/>
  <c r="AZ68" i="6"/>
  <c r="BA68" i="6"/>
  <c r="BB68" i="6"/>
  <c r="BC68" i="6"/>
  <c r="AY69" i="6"/>
  <c r="AZ69" i="6"/>
  <c r="BA69" i="6"/>
  <c r="BB69" i="6"/>
  <c r="BC69" i="6"/>
  <c r="AY70" i="6"/>
  <c r="AZ70" i="6"/>
  <c r="BA70" i="6"/>
  <c r="BB70" i="6"/>
  <c r="BC70" i="6"/>
  <c r="AY71" i="6"/>
  <c r="AZ71" i="6"/>
  <c r="BA71" i="6"/>
  <c r="BB71" i="6"/>
  <c r="BC71" i="6"/>
  <c r="AY72" i="6"/>
  <c r="AZ72" i="6"/>
  <c r="BA72" i="6"/>
  <c r="BB72" i="6"/>
  <c r="BC72" i="6"/>
  <c r="AY73" i="6"/>
  <c r="AZ73" i="6"/>
  <c r="BA73" i="6"/>
  <c r="BB73" i="6"/>
  <c r="BC73" i="6"/>
  <c r="AY74" i="6"/>
  <c r="AZ74" i="6"/>
  <c r="BA74" i="6"/>
  <c r="BB74" i="6"/>
  <c r="BC74" i="6"/>
  <c r="AY75" i="6"/>
  <c r="AZ75" i="6"/>
  <c r="BA75" i="6"/>
  <c r="BB75" i="6"/>
  <c r="BC75" i="6"/>
  <c r="AY76" i="6"/>
  <c r="AZ76" i="6"/>
  <c r="BA76" i="6"/>
  <c r="BB76" i="6"/>
  <c r="BC76" i="6"/>
  <c r="AY77" i="6"/>
  <c r="AZ77" i="6"/>
  <c r="BA77" i="6"/>
  <c r="BB77" i="6"/>
  <c r="BC77" i="6"/>
  <c r="AY78" i="6"/>
  <c r="AZ78" i="6"/>
  <c r="BA78" i="6"/>
  <c r="BB78" i="6"/>
  <c r="BC78" i="6"/>
  <c r="AY79" i="6"/>
  <c r="AZ79" i="6"/>
  <c r="BA79" i="6"/>
  <c r="BB79" i="6"/>
  <c r="BC79" i="6"/>
  <c r="AY80" i="6"/>
  <c r="AZ80" i="6"/>
  <c r="BA80" i="6"/>
  <c r="BB80" i="6"/>
  <c r="BC80" i="6"/>
  <c r="AY81" i="6"/>
  <c r="AZ81" i="6"/>
  <c r="BA81" i="6"/>
  <c r="BB81" i="6"/>
  <c r="BC81" i="6"/>
  <c r="AY82" i="6"/>
  <c r="AZ82" i="6"/>
  <c r="BA82" i="6"/>
  <c r="BB82" i="6"/>
  <c r="BC82" i="6"/>
  <c r="AY83" i="6"/>
  <c r="AZ83" i="6"/>
  <c r="BA83" i="6"/>
  <c r="BB83" i="6"/>
  <c r="BC83" i="6"/>
  <c r="AY84" i="6"/>
  <c r="AZ84" i="6"/>
  <c r="BA84" i="6"/>
  <c r="BB84" i="6"/>
  <c r="BC84" i="6"/>
  <c r="AY85" i="6"/>
  <c r="AZ85" i="6"/>
  <c r="BA85" i="6"/>
  <c r="BB85" i="6"/>
  <c r="BC85" i="6"/>
  <c r="AY86" i="6"/>
  <c r="AZ86" i="6"/>
  <c r="BA86" i="6"/>
  <c r="BB86" i="6"/>
  <c r="BC86" i="6"/>
  <c r="AY87" i="6"/>
  <c r="AZ87" i="6"/>
  <c r="BA87" i="6"/>
  <c r="BB87" i="6"/>
  <c r="BC87" i="6"/>
  <c r="AY88" i="6"/>
  <c r="AZ88" i="6"/>
  <c r="BA88" i="6"/>
  <c r="BB88" i="6"/>
  <c r="BC88" i="6"/>
  <c r="AY89" i="6"/>
  <c r="AZ89" i="6"/>
  <c r="BA89" i="6"/>
  <c r="BB89" i="6"/>
  <c r="BC89" i="6"/>
  <c r="AY90" i="6"/>
  <c r="AZ90" i="6"/>
  <c r="BA90" i="6"/>
  <c r="BB90" i="6"/>
  <c r="BC90" i="6"/>
  <c r="AY91" i="6"/>
  <c r="AZ91" i="6"/>
  <c r="BA91" i="6"/>
  <c r="BB91" i="6"/>
  <c r="BC91" i="6"/>
  <c r="AY92" i="6"/>
  <c r="AZ92" i="6"/>
  <c r="BA92" i="6"/>
  <c r="BB92" i="6"/>
  <c r="BC92" i="6"/>
  <c r="AY93" i="6"/>
  <c r="AZ93" i="6"/>
  <c r="BA93" i="6"/>
  <c r="BB93" i="6"/>
  <c r="BC93" i="6"/>
  <c r="AY94" i="6"/>
  <c r="AZ94" i="6"/>
  <c r="BA94" i="6"/>
  <c r="BB94" i="6"/>
  <c r="BC94" i="6"/>
  <c r="AY95" i="6"/>
  <c r="AZ95" i="6"/>
  <c r="BA95" i="6"/>
  <c r="BB95" i="6"/>
  <c r="BC95" i="6"/>
  <c r="AY96" i="6"/>
  <c r="AZ96" i="6"/>
  <c r="BA96" i="6"/>
  <c r="BB96" i="6"/>
  <c r="BC96" i="6"/>
  <c r="AY97" i="6"/>
  <c r="AZ97" i="6"/>
  <c r="BA97" i="6"/>
  <c r="BB97" i="6"/>
  <c r="BC97" i="6"/>
  <c r="AY98" i="6"/>
  <c r="AZ98" i="6"/>
  <c r="BA98" i="6"/>
  <c r="BB98" i="6"/>
  <c r="BC98" i="6"/>
  <c r="AY99" i="6"/>
  <c r="AZ99" i="6"/>
  <c r="BA99" i="6"/>
  <c r="BB99" i="6"/>
  <c r="BC99" i="6"/>
  <c r="AY100" i="6"/>
  <c r="AZ100" i="6"/>
  <c r="BA100" i="6"/>
  <c r="BB100" i="6"/>
  <c r="BC100" i="6"/>
  <c r="AY101" i="6"/>
  <c r="AZ101" i="6"/>
  <c r="BA101" i="6"/>
  <c r="BB101" i="6"/>
  <c r="BC101" i="6"/>
  <c r="AY102" i="6"/>
  <c r="AZ102" i="6"/>
  <c r="BA102" i="6"/>
  <c r="BB102" i="6"/>
  <c r="BC102" i="6"/>
  <c r="AY103" i="6"/>
  <c r="AZ103" i="6"/>
  <c r="BA103" i="6"/>
  <c r="BB103" i="6"/>
  <c r="BC103" i="6"/>
  <c r="AY104" i="6"/>
  <c r="AZ104" i="6"/>
  <c r="BA104" i="6"/>
  <c r="BB104" i="6"/>
  <c r="BC104" i="6"/>
  <c r="AY105" i="6"/>
  <c r="AZ105" i="6"/>
  <c r="BA105" i="6"/>
  <c r="BB105" i="6"/>
  <c r="BC105" i="6"/>
  <c r="AY106" i="6"/>
  <c r="AZ106" i="6"/>
  <c r="BA106" i="6"/>
  <c r="BB106" i="6"/>
  <c r="BC106" i="6"/>
  <c r="AY107" i="6"/>
  <c r="AZ107" i="6"/>
  <c r="BA107" i="6"/>
  <c r="BB107" i="6"/>
  <c r="BC107" i="6"/>
  <c r="AY108" i="6"/>
  <c r="AZ108" i="6"/>
  <c r="BA108" i="6"/>
  <c r="BB108" i="6"/>
  <c r="BC108" i="6"/>
  <c r="AY109" i="6"/>
  <c r="AZ109" i="6"/>
  <c r="BA109" i="6"/>
  <c r="BB109" i="6"/>
  <c r="BC109" i="6"/>
  <c r="AY110" i="6"/>
  <c r="AZ110" i="6"/>
  <c r="BA110" i="6"/>
  <c r="BB110" i="6"/>
  <c r="BC110" i="6"/>
  <c r="AY111" i="6"/>
  <c r="AZ111" i="6"/>
  <c r="BA111" i="6"/>
  <c r="BB111" i="6"/>
  <c r="BC111" i="6"/>
  <c r="AY112" i="6"/>
  <c r="AZ112" i="6"/>
  <c r="BA112" i="6"/>
  <c r="BB112" i="6"/>
  <c r="BC112" i="6"/>
  <c r="AY113" i="6"/>
  <c r="AZ113" i="6"/>
  <c r="BA113" i="6"/>
  <c r="BB113" i="6"/>
  <c r="BC113" i="6"/>
  <c r="AY114" i="6"/>
  <c r="AZ114" i="6"/>
  <c r="BA114" i="6"/>
  <c r="BB114" i="6"/>
  <c r="BC114" i="6"/>
  <c r="AY115" i="6"/>
  <c r="AZ115" i="6"/>
  <c r="BA115" i="6"/>
  <c r="BB115" i="6"/>
  <c r="BC115" i="6"/>
  <c r="AY116" i="6"/>
  <c r="AZ116" i="6"/>
  <c r="BA116" i="6"/>
  <c r="BB116" i="6"/>
  <c r="BC116" i="6"/>
  <c r="AY117" i="6"/>
  <c r="AZ117" i="6"/>
  <c r="BA117" i="6"/>
  <c r="BB117" i="6"/>
  <c r="BC117" i="6"/>
  <c r="AY118" i="6"/>
  <c r="AZ118" i="6"/>
  <c r="BA118" i="6"/>
  <c r="BB118" i="6"/>
  <c r="BC118" i="6"/>
  <c r="AY119" i="6"/>
  <c r="AZ119" i="6"/>
  <c r="BA119" i="6"/>
  <c r="BB119" i="6"/>
  <c r="BC119" i="6"/>
  <c r="AY120" i="6"/>
  <c r="AZ120" i="6"/>
  <c r="BA120" i="6"/>
  <c r="BB120" i="6"/>
  <c r="BC120" i="6"/>
  <c r="AY121" i="6"/>
  <c r="AZ121" i="6"/>
  <c r="BA121" i="6"/>
  <c r="BB121" i="6"/>
  <c r="BC121" i="6"/>
  <c r="AY122" i="6"/>
  <c r="AZ122" i="6"/>
  <c r="BA122" i="6"/>
  <c r="BB122" i="6"/>
  <c r="BC122" i="6"/>
  <c r="AY123" i="6"/>
  <c r="AZ123" i="6"/>
  <c r="BA123" i="6"/>
  <c r="BB123" i="6"/>
  <c r="BC123" i="6"/>
  <c r="AY124" i="6"/>
  <c r="AZ124" i="6"/>
  <c r="BA124" i="6"/>
  <c r="BB124" i="6"/>
  <c r="BC124" i="6"/>
  <c r="AY125" i="6"/>
  <c r="AZ125" i="6"/>
  <c r="BA125" i="6"/>
  <c r="BB125" i="6"/>
  <c r="BC125" i="6"/>
  <c r="AY126" i="6"/>
  <c r="AZ126" i="6"/>
  <c r="BA126" i="6"/>
  <c r="BB126" i="6"/>
  <c r="BC126" i="6"/>
  <c r="AY127" i="6"/>
  <c r="AZ127" i="6"/>
  <c r="BA127" i="6"/>
  <c r="BB127" i="6"/>
  <c r="BC127" i="6"/>
  <c r="AZ8" i="6"/>
  <c r="BA8" i="6"/>
  <c r="BB8" i="6"/>
  <c r="BC8" i="6"/>
  <c r="AY8" i="6"/>
  <c r="AU8" i="6"/>
  <c r="AV8" i="6"/>
  <c r="AW8" i="6"/>
  <c r="AU9" i="6"/>
  <c r="AV9" i="6"/>
  <c r="AW9" i="6"/>
  <c r="AU10" i="6"/>
  <c r="AV10" i="6"/>
  <c r="AW10" i="6"/>
  <c r="AU11" i="6"/>
  <c r="AV11" i="6"/>
  <c r="AW11" i="6"/>
  <c r="AU12" i="6"/>
  <c r="AV12" i="6"/>
  <c r="AW12" i="6"/>
  <c r="AU13" i="6"/>
  <c r="AV13" i="6"/>
  <c r="AW13" i="6"/>
  <c r="AU14" i="6"/>
  <c r="AV14" i="6"/>
  <c r="AW14" i="6"/>
  <c r="AU15" i="6"/>
  <c r="AV15" i="6"/>
  <c r="AW15" i="6"/>
  <c r="AU16" i="6"/>
  <c r="AV16" i="6"/>
  <c r="AW16" i="6"/>
  <c r="AU17" i="6"/>
  <c r="AV17" i="6"/>
  <c r="AW17" i="6"/>
  <c r="AU18" i="6"/>
  <c r="AV18" i="6"/>
  <c r="AW18" i="6"/>
  <c r="AU19" i="6"/>
  <c r="AV19" i="6"/>
  <c r="AW19" i="6"/>
  <c r="AU20" i="6"/>
  <c r="AV20" i="6"/>
  <c r="AW20" i="6"/>
  <c r="AU21" i="6"/>
  <c r="AV21" i="6"/>
  <c r="AW21" i="6"/>
  <c r="AU22" i="6"/>
  <c r="AV22" i="6"/>
  <c r="AW22" i="6"/>
  <c r="AU23" i="6"/>
  <c r="AV23" i="6"/>
  <c r="AW23" i="6"/>
  <c r="AU24" i="6"/>
  <c r="AV24" i="6"/>
  <c r="AW24" i="6"/>
  <c r="AU25" i="6"/>
  <c r="AV25" i="6"/>
  <c r="AW25" i="6"/>
  <c r="AU26" i="6"/>
  <c r="AV26" i="6"/>
  <c r="AW26" i="6"/>
  <c r="AU27" i="6"/>
  <c r="AV27" i="6"/>
  <c r="AW27" i="6"/>
  <c r="AU28" i="6"/>
  <c r="AV28" i="6"/>
  <c r="AW28" i="6"/>
  <c r="AU29" i="6"/>
  <c r="AV29" i="6"/>
  <c r="AW29" i="6"/>
  <c r="AU30" i="6"/>
  <c r="AV30" i="6"/>
  <c r="AW30" i="6"/>
  <c r="AU31" i="6"/>
  <c r="AV31" i="6"/>
  <c r="AW31" i="6"/>
  <c r="AU32" i="6"/>
  <c r="AV32" i="6"/>
  <c r="AW32" i="6"/>
  <c r="AU33" i="6"/>
  <c r="AV33" i="6"/>
  <c r="AW33" i="6"/>
  <c r="AU34" i="6"/>
  <c r="AV34" i="6"/>
  <c r="AW34" i="6"/>
  <c r="AU35" i="6"/>
  <c r="AV35" i="6"/>
  <c r="AW35" i="6"/>
  <c r="AU36" i="6"/>
  <c r="AV36" i="6"/>
  <c r="AW36" i="6"/>
  <c r="AU37" i="6"/>
  <c r="AV37" i="6"/>
  <c r="AW37" i="6"/>
  <c r="AU38" i="6"/>
  <c r="AV38" i="6"/>
  <c r="AW38" i="6"/>
  <c r="AU39" i="6"/>
  <c r="AV39" i="6"/>
  <c r="AW39" i="6"/>
  <c r="AU40" i="6"/>
  <c r="AV40" i="6"/>
  <c r="AW40" i="6"/>
  <c r="AU41" i="6"/>
  <c r="AV41" i="6"/>
  <c r="AW41" i="6"/>
  <c r="AU42" i="6"/>
  <c r="AV42" i="6"/>
  <c r="AW42" i="6"/>
  <c r="AU43" i="6"/>
  <c r="AV43" i="6"/>
  <c r="AW43" i="6"/>
  <c r="AU44" i="6"/>
  <c r="AV44" i="6"/>
  <c r="AW44" i="6"/>
  <c r="AU45" i="6"/>
  <c r="AV45" i="6"/>
  <c r="AW45" i="6"/>
  <c r="AU46" i="6"/>
  <c r="AV46" i="6"/>
  <c r="AW46" i="6"/>
  <c r="AU47" i="6"/>
  <c r="AV47" i="6"/>
  <c r="AW47" i="6"/>
  <c r="AU48" i="6"/>
  <c r="AV48" i="6"/>
  <c r="AW48" i="6"/>
  <c r="AU49" i="6"/>
  <c r="AV49" i="6"/>
  <c r="AW49" i="6"/>
  <c r="AU50" i="6"/>
  <c r="AV50" i="6"/>
  <c r="AW50" i="6"/>
  <c r="AU51" i="6"/>
  <c r="AV51" i="6"/>
  <c r="AW51" i="6"/>
  <c r="AU52" i="6"/>
  <c r="AV52" i="6"/>
  <c r="AW52" i="6"/>
  <c r="AU53" i="6"/>
  <c r="AV53" i="6"/>
  <c r="AW53" i="6"/>
  <c r="AU54" i="6"/>
  <c r="AV54" i="6"/>
  <c r="AW54" i="6"/>
  <c r="AU55" i="6"/>
  <c r="AV55" i="6"/>
  <c r="AW55" i="6"/>
  <c r="AU56" i="6"/>
  <c r="AV56" i="6"/>
  <c r="AW56" i="6"/>
  <c r="AU57" i="6"/>
  <c r="AV57" i="6"/>
  <c r="AW57" i="6"/>
  <c r="AU58" i="6"/>
  <c r="AV58" i="6"/>
  <c r="AW58" i="6"/>
  <c r="AU59" i="6"/>
  <c r="AV59" i="6"/>
  <c r="AW59" i="6"/>
  <c r="AU60" i="6"/>
  <c r="AV60" i="6"/>
  <c r="AW60" i="6"/>
  <c r="AU61" i="6"/>
  <c r="AV61" i="6"/>
  <c r="AW61" i="6"/>
  <c r="AU62" i="6"/>
  <c r="AV62" i="6"/>
  <c r="AW62" i="6"/>
  <c r="AU63" i="6"/>
  <c r="AV63" i="6"/>
  <c r="AW63" i="6"/>
  <c r="AU64" i="6"/>
  <c r="AV64" i="6"/>
  <c r="AW64" i="6"/>
  <c r="AU65" i="6"/>
  <c r="AV65" i="6"/>
  <c r="AW65" i="6"/>
  <c r="AU66" i="6"/>
  <c r="AV66" i="6"/>
  <c r="AW66" i="6"/>
  <c r="AU67" i="6"/>
  <c r="AV67" i="6"/>
  <c r="AW67" i="6"/>
  <c r="AU68" i="6"/>
  <c r="AV68" i="6"/>
  <c r="AW68" i="6"/>
  <c r="AU69" i="6"/>
  <c r="AV69" i="6"/>
  <c r="AW69" i="6"/>
  <c r="AU70" i="6"/>
  <c r="AV70" i="6"/>
  <c r="AW70" i="6"/>
  <c r="AU71" i="6"/>
  <c r="AV71" i="6"/>
  <c r="AW71" i="6"/>
  <c r="AU72" i="6"/>
  <c r="AV72" i="6"/>
  <c r="AW72" i="6"/>
  <c r="AU73" i="6"/>
  <c r="AV73" i="6"/>
  <c r="AW73" i="6"/>
  <c r="AU74" i="6"/>
  <c r="AV74" i="6"/>
  <c r="AW74" i="6"/>
  <c r="AU75" i="6"/>
  <c r="AV75" i="6"/>
  <c r="AW75" i="6"/>
  <c r="AU76" i="6"/>
  <c r="AV76" i="6"/>
  <c r="AW76" i="6"/>
  <c r="AU77" i="6"/>
  <c r="AV77" i="6"/>
  <c r="AW77" i="6"/>
  <c r="AU78" i="6"/>
  <c r="AV78" i="6"/>
  <c r="AW78" i="6"/>
  <c r="AU79" i="6"/>
  <c r="AV79" i="6"/>
  <c r="AW79" i="6"/>
  <c r="AU80" i="6"/>
  <c r="AV80" i="6"/>
  <c r="AW80" i="6"/>
  <c r="AU81" i="6"/>
  <c r="AV81" i="6"/>
  <c r="AW81" i="6"/>
  <c r="AU82" i="6"/>
  <c r="AV82" i="6"/>
  <c r="AW82" i="6"/>
  <c r="AU83" i="6"/>
  <c r="AV83" i="6"/>
  <c r="AW83" i="6"/>
  <c r="AU84" i="6"/>
  <c r="AV84" i="6"/>
  <c r="AW84" i="6"/>
  <c r="AU85" i="6"/>
  <c r="AV85" i="6"/>
  <c r="AW85" i="6"/>
  <c r="AU86" i="6"/>
  <c r="AV86" i="6"/>
  <c r="AW86" i="6"/>
  <c r="AU87" i="6"/>
  <c r="AV87" i="6"/>
  <c r="AW87" i="6"/>
  <c r="AU88" i="6"/>
  <c r="AV88" i="6"/>
  <c r="AW88" i="6"/>
  <c r="AU89" i="6"/>
  <c r="AV89" i="6"/>
  <c r="AW89" i="6"/>
  <c r="AU90" i="6"/>
  <c r="AV90" i="6"/>
  <c r="AW90" i="6"/>
  <c r="AU91" i="6"/>
  <c r="AV91" i="6"/>
  <c r="AW91" i="6"/>
  <c r="AU92" i="6"/>
  <c r="AV92" i="6"/>
  <c r="AW92" i="6"/>
  <c r="AU93" i="6"/>
  <c r="AV93" i="6"/>
  <c r="AW93" i="6"/>
  <c r="AU94" i="6"/>
  <c r="AV94" i="6"/>
  <c r="AW94" i="6"/>
  <c r="AU95" i="6"/>
  <c r="AV95" i="6"/>
  <c r="AW95" i="6"/>
  <c r="AU96" i="6"/>
  <c r="AV96" i="6"/>
  <c r="AW96" i="6"/>
  <c r="AU97" i="6"/>
  <c r="AV97" i="6"/>
  <c r="AW97" i="6"/>
  <c r="AU98" i="6"/>
  <c r="AV98" i="6"/>
  <c r="AW98" i="6"/>
  <c r="AU99" i="6"/>
  <c r="AV99" i="6"/>
  <c r="AW99" i="6"/>
  <c r="AU100" i="6"/>
  <c r="AV100" i="6"/>
  <c r="AW100" i="6"/>
  <c r="AU101" i="6"/>
  <c r="AV101" i="6"/>
  <c r="AW101" i="6"/>
  <c r="AU102" i="6"/>
  <c r="AV102" i="6"/>
  <c r="AW102" i="6"/>
  <c r="AU103" i="6"/>
  <c r="AV103" i="6"/>
  <c r="AW103" i="6"/>
  <c r="AU104" i="6"/>
  <c r="AV104" i="6"/>
  <c r="AW104" i="6"/>
  <c r="AU105" i="6"/>
  <c r="AV105" i="6"/>
  <c r="AW105" i="6"/>
  <c r="AU106" i="6"/>
  <c r="AV106" i="6"/>
  <c r="AW106" i="6"/>
  <c r="AU107" i="6"/>
  <c r="AV107" i="6"/>
  <c r="AW107" i="6"/>
  <c r="AU108" i="6"/>
  <c r="AV108" i="6"/>
  <c r="AW108" i="6"/>
  <c r="AU109" i="6"/>
  <c r="AV109" i="6"/>
  <c r="AW109" i="6"/>
  <c r="AU110" i="6"/>
  <c r="AV110" i="6"/>
  <c r="AW110" i="6"/>
  <c r="AU111" i="6"/>
  <c r="AV111" i="6"/>
  <c r="AW111" i="6"/>
  <c r="AU112" i="6"/>
  <c r="AV112" i="6"/>
  <c r="AW112" i="6"/>
  <c r="AU113" i="6"/>
  <c r="AV113" i="6"/>
  <c r="AW113" i="6"/>
  <c r="AU114" i="6"/>
  <c r="AV114" i="6"/>
  <c r="AW114" i="6"/>
  <c r="AU115" i="6"/>
  <c r="AV115" i="6"/>
  <c r="AW115" i="6"/>
  <c r="AU116" i="6"/>
  <c r="AV116" i="6"/>
  <c r="AW116" i="6"/>
  <c r="AU117" i="6"/>
  <c r="AV117" i="6"/>
  <c r="AW117" i="6"/>
  <c r="AU118" i="6"/>
  <c r="AV118" i="6"/>
  <c r="AW118" i="6"/>
  <c r="AU119" i="6"/>
  <c r="AV119" i="6"/>
  <c r="AW119" i="6"/>
  <c r="AU120" i="6"/>
  <c r="AV120" i="6"/>
  <c r="AW120" i="6"/>
  <c r="AU121" i="6"/>
  <c r="AV121" i="6"/>
  <c r="AW121" i="6"/>
  <c r="AU122" i="6"/>
  <c r="AV122" i="6"/>
  <c r="AW122" i="6"/>
  <c r="AU123" i="6"/>
  <c r="AV123" i="6"/>
  <c r="AW123" i="6"/>
  <c r="AU124" i="6"/>
  <c r="AV124" i="6"/>
  <c r="AW124" i="6"/>
  <c r="AU125" i="6"/>
  <c r="AV125" i="6"/>
  <c r="AW125" i="6"/>
  <c r="AU126" i="6"/>
  <c r="AV126" i="6"/>
  <c r="AW126" i="6"/>
  <c r="AU127" i="6"/>
  <c r="AV127" i="6"/>
  <c r="AW127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T27" i="6"/>
  <c r="AT28" i="6"/>
  <c r="AT29" i="6"/>
  <c r="AT30" i="6"/>
  <c r="AT31" i="6"/>
  <c r="AT32" i="6"/>
  <c r="AT33" i="6"/>
  <c r="AT34" i="6"/>
  <c r="AT35" i="6"/>
  <c r="AT36" i="6"/>
  <c r="AT37" i="6"/>
  <c r="AT38" i="6"/>
  <c r="AT39" i="6"/>
  <c r="AT40" i="6"/>
  <c r="AT41" i="6"/>
  <c r="AT42" i="6"/>
  <c r="AT43" i="6"/>
  <c r="AT44" i="6"/>
  <c r="AT45" i="6"/>
  <c r="AT46" i="6"/>
  <c r="AT47" i="6"/>
  <c r="AT48" i="6"/>
  <c r="AT49" i="6"/>
  <c r="AT50" i="6"/>
  <c r="AT51" i="6"/>
  <c r="AT52" i="6"/>
  <c r="AT53" i="6"/>
  <c r="AT54" i="6"/>
  <c r="AT55" i="6"/>
  <c r="AT56" i="6"/>
  <c r="AT57" i="6"/>
  <c r="AT58" i="6"/>
  <c r="AT59" i="6"/>
  <c r="AT60" i="6"/>
  <c r="AT61" i="6"/>
  <c r="AT62" i="6"/>
  <c r="AT63" i="6"/>
  <c r="AT64" i="6"/>
  <c r="AT65" i="6"/>
  <c r="AT66" i="6"/>
  <c r="AT67" i="6"/>
  <c r="AT68" i="6"/>
  <c r="AT69" i="6"/>
  <c r="AT70" i="6"/>
  <c r="AT71" i="6"/>
  <c r="AT72" i="6"/>
  <c r="AT73" i="6"/>
  <c r="AT74" i="6"/>
  <c r="AT75" i="6"/>
  <c r="AT76" i="6"/>
  <c r="AT77" i="6"/>
  <c r="AT78" i="6"/>
  <c r="AT79" i="6"/>
  <c r="AT80" i="6"/>
  <c r="AT81" i="6"/>
  <c r="AT82" i="6"/>
  <c r="AT83" i="6"/>
  <c r="AT84" i="6"/>
  <c r="AT85" i="6"/>
  <c r="AT86" i="6"/>
  <c r="AT87" i="6"/>
  <c r="AT88" i="6"/>
  <c r="AT89" i="6"/>
  <c r="AT90" i="6"/>
  <c r="AT91" i="6"/>
  <c r="AT92" i="6"/>
  <c r="AT93" i="6"/>
  <c r="AT94" i="6"/>
  <c r="AT95" i="6"/>
  <c r="AT96" i="6"/>
  <c r="AT97" i="6"/>
  <c r="AT98" i="6"/>
  <c r="AT99" i="6"/>
  <c r="AT100" i="6"/>
  <c r="AT101" i="6"/>
  <c r="AT102" i="6"/>
  <c r="AT103" i="6"/>
  <c r="AT104" i="6"/>
  <c r="AT105" i="6"/>
  <c r="AT106" i="6"/>
  <c r="AT107" i="6"/>
  <c r="AT108" i="6"/>
  <c r="AT109" i="6"/>
  <c r="AT110" i="6"/>
  <c r="AT111" i="6"/>
  <c r="AT112" i="6"/>
  <c r="AT113" i="6"/>
  <c r="AT114" i="6"/>
  <c r="AT115" i="6"/>
  <c r="AT116" i="6"/>
  <c r="AT117" i="6"/>
  <c r="AT118" i="6"/>
  <c r="AT119" i="6"/>
  <c r="AT120" i="6"/>
  <c r="AT121" i="6"/>
  <c r="AT122" i="6"/>
  <c r="AT123" i="6"/>
  <c r="AT124" i="6"/>
  <c r="AT125" i="6"/>
  <c r="AT126" i="6"/>
  <c r="AT127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AR108" i="6"/>
  <c r="AR109" i="6"/>
  <c r="AR110" i="6"/>
  <c r="AR111" i="6"/>
  <c r="AR112" i="6"/>
  <c r="AR113" i="6"/>
  <c r="AR114" i="6"/>
  <c r="AR115" i="6"/>
  <c r="AR116" i="6"/>
  <c r="AR117" i="6"/>
  <c r="AR118" i="6"/>
  <c r="AR119" i="6"/>
  <c r="AR120" i="6"/>
  <c r="AR121" i="6"/>
  <c r="AR122" i="6"/>
  <c r="AR123" i="6"/>
  <c r="AR124" i="6"/>
  <c r="AR125" i="6"/>
  <c r="AR126" i="6"/>
  <c r="AR127" i="6"/>
  <c r="AR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Q99" i="6"/>
  <c r="AQ100" i="6"/>
  <c r="AQ101" i="6"/>
  <c r="AQ102" i="6"/>
  <c r="AQ103" i="6"/>
  <c r="AQ104" i="6"/>
  <c r="AQ105" i="6"/>
  <c r="AQ106" i="6"/>
  <c r="AQ107" i="6"/>
  <c r="AQ108" i="6"/>
  <c r="AQ109" i="6"/>
  <c r="AQ110" i="6"/>
  <c r="AQ111" i="6"/>
  <c r="AQ112" i="6"/>
  <c r="AQ113" i="6"/>
  <c r="AQ114" i="6"/>
  <c r="AQ115" i="6"/>
  <c r="AQ116" i="6"/>
  <c r="AQ117" i="6"/>
  <c r="AQ118" i="6"/>
  <c r="AQ119" i="6"/>
  <c r="AQ120" i="6"/>
  <c r="AQ121" i="6"/>
  <c r="AQ122" i="6"/>
  <c r="AQ123" i="6"/>
  <c r="AQ124" i="6"/>
  <c r="AQ125" i="6"/>
  <c r="AQ126" i="6"/>
  <c r="AQ127" i="6"/>
  <c r="AQ8" i="6"/>
  <c r="C118" i="8" l="1"/>
  <c r="C117" i="8"/>
  <c r="C122" i="8"/>
  <c r="C123" i="8"/>
  <c r="C128" i="8"/>
  <c r="C127" i="8"/>
  <c r="C132" i="8"/>
  <c r="C133" i="8"/>
  <c r="C113" i="8"/>
  <c r="C112" i="8"/>
  <c r="AN193" i="8"/>
  <c r="E159" i="6" a="1"/>
  <c r="E159" i="6" s="1"/>
  <c r="E157" i="6"/>
  <c r="AM193" i="8"/>
  <c r="BK196" i="6"/>
  <c r="BK209" i="6"/>
  <c r="BK204" i="6"/>
  <c r="BK173" i="6"/>
  <c r="BK189" i="6"/>
  <c r="BK205" i="6"/>
  <c r="BK206" i="6"/>
  <c r="BK179" i="6"/>
  <c r="BK211" i="6"/>
  <c r="BK187" i="6"/>
  <c r="BK176" i="6"/>
  <c r="BK192" i="6"/>
  <c r="BK208" i="6"/>
  <c r="BK177" i="6"/>
  <c r="BK193" i="6"/>
  <c r="BK180" i="6"/>
  <c r="BK172" i="6"/>
  <c r="BK186" i="6"/>
  <c r="BK188" i="6"/>
  <c r="BK191" i="6"/>
  <c r="BK195" i="6"/>
  <c r="BK184" i="6"/>
  <c r="BK200" i="6"/>
  <c r="BK185" i="6"/>
  <c r="BK201" i="6"/>
  <c r="BK202" i="6"/>
  <c r="BK175" i="6"/>
  <c r="BI212" i="6"/>
  <c r="BK178" i="6"/>
  <c r="BK194" i="6"/>
  <c r="BK210" i="6"/>
  <c r="BK203" i="6"/>
  <c r="BK183" i="6"/>
  <c r="BK199" i="6"/>
  <c r="BK181" i="6"/>
  <c r="BK197" i="6"/>
  <c r="BK182" i="6"/>
  <c r="BK198" i="6"/>
  <c r="BK174" i="6"/>
  <c r="BA212" i="6"/>
  <c r="BK190" i="6"/>
  <c r="AX8" i="6"/>
  <c r="AX124" i="6"/>
  <c r="AX120" i="6"/>
  <c r="AX116" i="6"/>
  <c r="AX112" i="6"/>
  <c r="AX108" i="6"/>
  <c r="AX104" i="6"/>
  <c r="AX100" i="6"/>
  <c r="AX96" i="6"/>
  <c r="AX92" i="6"/>
  <c r="AX88" i="6"/>
  <c r="AX84" i="6"/>
  <c r="AX80" i="6"/>
  <c r="AX76" i="6"/>
  <c r="AX72" i="6"/>
  <c r="AX68" i="6"/>
  <c r="AX64" i="6"/>
  <c r="AX60" i="6"/>
  <c r="AX56" i="6"/>
  <c r="AX52" i="6"/>
  <c r="AX48" i="6"/>
  <c r="AX44" i="6"/>
  <c r="AX40" i="6"/>
  <c r="AX36" i="6"/>
  <c r="AX32" i="6"/>
  <c r="AX28" i="6"/>
  <c r="AX24" i="6"/>
  <c r="AX20" i="6"/>
  <c r="AX16" i="6"/>
  <c r="AX12" i="6"/>
  <c r="AX77" i="6"/>
  <c r="AX61" i="6"/>
  <c r="AX45" i="6"/>
  <c r="AX29" i="6"/>
  <c r="AX13" i="6"/>
  <c r="BD8" i="6"/>
  <c r="BD124" i="6"/>
  <c r="BD120" i="6"/>
  <c r="BD117" i="6"/>
  <c r="BD101" i="6"/>
  <c r="BD100" i="6"/>
  <c r="BD96" i="6"/>
  <c r="BD85" i="6"/>
  <c r="BD69" i="6"/>
  <c r="BD60" i="6"/>
  <c r="BD56" i="6"/>
  <c r="BD53" i="6"/>
  <c r="BD37" i="6"/>
  <c r="BD32" i="6"/>
  <c r="BD28" i="6"/>
  <c r="BF28" i="6" s="1"/>
  <c r="BD21" i="6"/>
  <c r="BD20" i="6"/>
  <c r="BF20" i="6" s="1"/>
  <c r="BD116" i="6"/>
  <c r="BD108" i="6"/>
  <c r="BF108" i="6" s="1"/>
  <c r="BD92" i="6"/>
  <c r="BD76" i="6"/>
  <c r="BD64" i="6"/>
  <c r="BF64" i="6" s="1"/>
  <c r="BD52" i="6"/>
  <c r="BD40" i="6"/>
  <c r="BD36" i="6"/>
  <c r="BD24" i="6"/>
  <c r="BD16" i="6"/>
  <c r="BD12" i="6"/>
  <c r="AX122" i="6"/>
  <c r="AX118" i="6"/>
  <c r="AX110" i="6"/>
  <c r="AX125" i="6"/>
  <c r="AX121" i="6"/>
  <c r="AX117" i="6"/>
  <c r="AX113" i="6"/>
  <c r="AX109" i="6"/>
  <c r="AX105" i="6"/>
  <c r="AX101" i="6"/>
  <c r="AX97" i="6"/>
  <c r="AX93" i="6"/>
  <c r="AX89" i="6"/>
  <c r="AX85" i="6"/>
  <c r="AX81" i="6"/>
  <c r="AX73" i="6"/>
  <c r="AX69" i="6"/>
  <c r="AX65" i="6"/>
  <c r="AX57" i="6"/>
  <c r="AX53" i="6"/>
  <c r="AX49" i="6"/>
  <c r="AX41" i="6"/>
  <c r="AX37" i="6"/>
  <c r="AX33" i="6"/>
  <c r="AX25" i="6"/>
  <c r="AX21" i="6"/>
  <c r="AX17" i="6"/>
  <c r="AX9" i="6"/>
  <c r="BD125" i="6"/>
  <c r="BD121" i="6"/>
  <c r="BD113" i="6"/>
  <c r="BD109" i="6"/>
  <c r="BF109" i="6" s="1"/>
  <c r="BD105" i="6"/>
  <c r="BF105" i="6" s="1"/>
  <c r="BD97" i="6"/>
  <c r="BD93" i="6"/>
  <c r="BD89" i="6"/>
  <c r="BD81" i="6"/>
  <c r="BD77" i="6"/>
  <c r="BD73" i="6"/>
  <c r="BD65" i="6"/>
  <c r="BD61" i="6"/>
  <c r="BD57" i="6"/>
  <c r="BD49" i="6"/>
  <c r="BD45" i="6"/>
  <c r="BD41" i="6"/>
  <c r="BD33" i="6"/>
  <c r="BD29" i="6"/>
  <c r="BD25" i="6"/>
  <c r="BD17" i="6"/>
  <c r="BD13" i="6"/>
  <c r="BD9" i="6"/>
  <c r="BD112" i="6"/>
  <c r="BD104" i="6"/>
  <c r="BD88" i="6"/>
  <c r="BD80" i="6"/>
  <c r="BD48" i="6"/>
  <c r="AX127" i="6"/>
  <c r="AX123" i="6"/>
  <c r="AX119" i="6"/>
  <c r="AX115" i="6"/>
  <c r="AX111" i="6"/>
  <c r="BD84" i="6"/>
  <c r="BD72" i="6"/>
  <c r="BD68" i="6"/>
  <c r="BD44" i="6"/>
  <c r="AX126" i="6"/>
  <c r="AX114" i="6"/>
  <c r="AQ128" i="6"/>
  <c r="AX107" i="6"/>
  <c r="AX103" i="6"/>
  <c r="AX99" i="6"/>
  <c r="AX95" i="6"/>
  <c r="AX91" i="6"/>
  <c r="AX87" i="6"/>
  <c r="AX83" i="6"/>
  <c r="AX79" i="6"/>
  <c r="AX75" i="6"/>
  <c r="AX71" i="6"/>
  <c r="AX67" i="6"/>
  <c r="AX63" i="6"/>
  <c r="AX59" i="6"/>
  <c r="AX55" i="6"/>
  <c r="AX51" i="6"/>
  <c r="AX47" i="6"/>
  <c r="AX43" i="6"/>
  <c r="AX39" i="6"/>
  <c r="AX35" i="6"/>
  <c r="AX31" i="6"/>
  <c r="AX27" i="6"/>
  <c r="AX23" i="6"/>
  <c r="AX19" i="6"/>
  <c r="AX15" i="6"/>
  <c r="AX11" i="6"/>
  <c r="BD127" i="6"/>
  <c r="BD123" i="6"/>
  <c r="BD119" i="6"/>
  <c r="BD115" i="6"/>
  <c r="BD111" i="6"/>
  <c r="BD107" i="6"/>
  <c r="BD103" i="6"/>
  <c r="BD99" i="6"/>
  <c r="BD95" i="6"/>
  <c r="BD91" i="6"/>
  <c r="BD87" i="6"/>
  <c r="BD83" i="6"/>
  <c r="BD79" i="6"/>
  <c r="BD75" i="6"/>
  <c r="BD71" i="6"/>
  <c r="BD67" i="6"/>
  <c r="BD63" i="6"/>
  <c r="BD59" i="6"/>
  <c r="BD55" i="6"/>
  <c r="BD51" i="6"/>
  <c r="BD47" i="6"/>
  <c r="BD43" i="6"/>
  <c r="BD39" i="6"/>
  <c r="BD35" i="6"/>
  <c r="BD31" i="6"/>
  <c r="BD27" i="6"/>
  <c r="BD23" i="6"/>
  <c r="BD19" i="6"/>
  <c r="BD15" i="6"/>
  <c r="BD11" i="6"/>
  <c r="AR128" i="6"/>
  <c r="AX106" i="6"/>
  <c r="AX102" i="6"/>
  <c r="AX98" i="6"/>
  <c r="AX94" i="6"/>
  <c r="AX90" i="6"/>
  <c r="AX86" i="6"/>
  <c r="AX82" i="6"/>
  <c r="AX78" i="6"/>
  <c r="AX74" i="6"/>
  <c r="AX70" i="6"/>
  <c r="AX66" i="6"/>
  <c r="AX62" i="6"/>
  <c r="AX58" i="6"/>
  <c r="AX54" i="6"/>
  <c r="AX50" i="6"/>
  <c r="AX46" i="6"/>
  <c r="AX42" i="6"/>
  <c r="AX38" i="6"/>
  <c r="AX34" i="6"/>
  <c r="AX30" i="6"/>
  <c r="AX26" i="6"/>
  <c r="AX22" i="6"/>
  <c r="AX18" i="6"/>
  <c r="AX14" i="6"/>
  <c r="AX10" i="6"/>
  <c r="BD126" i="6"/>
  <c r="BF126" i="6" s="1"/>
  <c r="BD122" i="6"/>
  <c r="BD118" i="6"/>
  <c r="BD114" i="6"/>
  <c r="BD110" i="6"/>
  <c r="BD106" i="6"/>
  <c r="BD102" i="6"/>
  <c r="BD98" i="6"/>
  <c r="BD94" i="6"/>
  <c r="BD90" i="6"/>
  <c r="BD86" i="6"/>
  <c r="BD82" i="6"/>
  <c r="BD78" i="6"/>
  <c r="BD74" i="6"/>
  <c r="BD70" i="6"/>
  <c r="BD66" i="6"/>
  <c r="BD62" i="6"/>
  <c r="BD58" i="6"/>
  <c r="BD54" i="6"/>
  <c r="BD50" i="6"/>
  <c r="BD46" i="6"/>
  <c r="BD42" i="6"/>
  <c r="BD38" i="6"/>
  <c r="BD34" i="6"/>
  <c r="BD30" i="6"/>
  <c r="BD26" i="6"/>
  <c r="BD22" i="6"/>
  <c r="BD18" i="6"/>
  <c r="BD14" i="6"/>
  <c r="BD10" i="6"/>
  <c r="E155" i="6"/>
  <c r="C155" i="6" s="1" a="1"/>
  <c r="C155" i="6" s="1"/>
  <c r="E151" i="6"/>
  <c r="E152" i="6" s="1"/>
  <c r="BF122" i="6" l="1"/>
  <c r="BF80" i="6"/>
  <c r="BF84" i="6"/>
  <c r="BF121" i="6"/>
  <c r="BF101" i="6"/>
  <c r="BF113" i="6"/>
  <c r="BF32" i="6"/>
  <c r="BF96" i="6"/>
  <c r="BF33" i="6"/>
  <c r="BF60" i="6"/>
  <c r="BF44" i="6"/>
  <c r="BF125" i="6"/>
  <c r="BF8" i="6"/>
  <c r="BF56" i="6"/>
  <c r="BF13" i="6"/>
  <c r="BF57" i="6"/>
  <c r="BF97" i="6"/>
  <c r="BF21" i="6"/>
  <c r="BF85" i="6"/>
  <c r="BF117" i="6"/>
  <c r="BF10" i="6"/>
  <c r="BF42" i="6"/>
  <c r="BF90" i="6"/>
  <c r="BF27" i="6"/>
  <c r="BF59" i="6"/>
  <c r="BF91" i="6"/>
  <c r="BF123" i="6"/>
  <c r="BF104" i="6"/>
  <c r="BF81" i="6"/>
  <c r="BF110" i="6"/>
  <c r="BF24" i="6"/>
  <c r="BF120" i="6"/>
  <c r="BF88" i="6"/>
  <c r="BF77" i="6"/>
  <c r="BF26" i="6"/>
  <c r="BF58" i="6"/>
  <c r="BF74" i="6"/>
  <c r="BF106" i="6"/>
  <c r="BF11" i="6"/>
  <c r="BF43" i="6"/>
  <c r="BF75" i="6"/>
  <c r="BF107" i="6"/>
  <c r="BF17" i="6"/>
  <c r="BF48" i="6"/>
  <c r="BF112" i="6"/>
  <c r="BF45" i="6"/>
  <c r="BF12" i="6"/>
  <c r="BF76" i="6"/>
  <c r="BF37" i="6"/>
  <c r="BF100" i="6"/>
  <c r="BF16" i="6"/>
  <c r="BF124" i="6"/>
  <c r="BF72" i="6"/>
  <c r="BF29" i="6"/>
  <c r="BF52" i="6"/>
  <c r="BF92" i="6"/>
  <c r="BF61" i="6"/>
  <c r="BF69" i="6"/>
  <c r="BF36" i="6"/>
  <c r="BF116" i="6"/>
  <c r="BF14" i="6"/>
  <c r="BF30" i="6"/>
  <c r="BF46" i="6"/>
  <c r="BF62" i="6"/>
  <c r="BF78" i="6"/>
  <c r="BF94" i="6"/>
  <c r="BF15" i="6"/>
  <c r="BF31" i="6"/>
  <c r="BF47" i="6"/>
  <c r="BF63" i="6"/>
  <c r="BF79" i="6"/>
  <c r="BF95" i="6"/>
  <c r="BF111" i="6"/>
  <c r="BF127" i="6"/>
  <c r="BF68" i="6"/>
  <c r="BF25" i="6"/>
  <c r="BF89" i="6"/>
  <c r="AX128" i="6"/>
  <c r="BF53" i="6"/>
  <c r="BF40" i="6"/>
  <c r="BF22" i="6"/>
  <c r="BF38" i="6"/>
  <c r="BF54" i="6"/>
  <c r="BF70" i="6"/>
  <c r="BF86" i="6"/>
  <c r="BF102" i="6"/>
  <c r="BF118" i="6"/>
  <c r="BF23" i="6"/>
  <c r="BF39" i="6"/>
  <c r="BF55" i="6"/>
  <c r="BF71" i="6"/>
  <c r="BF87" i="6"/>
  <c r="BF103" i="6"/>
  <c r="BF119" i="6"/>
  <c r="BF9" i="6"/>
  <c r="BF49" i="6"/>
  <c r="BF73" i="6"/>
  <c r="BF93" i="6"/>
  <c r="BF41" i="6"/>
  <c r="BF18" i="6"/>
  <c r="BF34" i="6"/>
  <c r="BF50" i="6"/>
  <c r="BF66" i="6"/>
  <c r="BF82" i="6"/>
  <c r="BF98" i="6"/>
  <c r="BF114" i="6"/>
  <c r="BF19" i="6"/>
  <c r="BF35" i="6"/>
  <c r="BF51" i="6"/>
  <c r="BF67" i="6"/>
  <c r="BF83" i="6"/>
  <c r="BF99" i="6"/>
  <c r="BF115" i="6"/>
  <c r="BD128" i="6"/>
  <c r="BF65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10" i="6"/>
  <c r="U211" i="6"/>
  <c r="U172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8" i="6"/>
  <c r="G154" i="6" l="1" a="1"/>
  <c r="G154" i="6" s="1"/>
  <c r="J154" i="6" a="1"/>
  <c r="J154" i="6" s="1"/>
  <c r="M154" i="6" a="1"/>
  <c r="M154" i="6" s="1"/>
  <c r="Q154" i="6" a="1"/>
  <c r="Q154" i="6" s="1"/>
  <c r="E154" i="6" a="1"/>
  <c r="E154" i="6" s="1"/>
  <c r="L154" i="6" a="1"/>
  <c r="L154" i="6" s="1"/>
  <c r="K154" i="6" a="1"/>
  <c r="K154" i="6" s="1"/>
  <c r="I154" i="6" a="1"/>
  <c r="I154" i="6" s="1"/>
  <c r="O154" i="6" a="1"/>
  <c r="O154" i="6" s="1"/>
  <c r="R154" i="6" a="1"/>
  <c r="R154" i="6" s="1"/>
  <c r="F154" i="6" a="1"/>
  <c r="F154" i="6" s="1"/>
  <c r="P154" i="6" a="1"/>
  <c r="P154" i="6" s="1"/>
  <c r="N154" i="6" a="1"/>
  <c r="N154" i="6" s="1"/>
  <c r="H154" i="6" a="1"/>
  <c r="H154" i="6" s="1"/>
  <c r="BF128" i="6"/>
  <c r="T128" i="6"/>
  <c r="AI7" i="6" a="1"/>
  <c r="AI7" i="6" s="1"/>
  <c r="C157" i="6"/>
  <c r="C159" i="6" s="1"/>
  <c r="C152" i="6"/>
  <c r="C154" i="6" s="1"/>
  <c r="U129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8" i="6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3" i="12"/>
  <c r="F157" i="7"/>
  <c r="G157" i="7"/>
  <c r="H157" i="7"/>
  <c r="I157" i="7"/>
  <c r="J157" i="7"/>
  <c r="E157" i="7"/>
  <c r="F156" i="7"/>
  <c r="G156" i="7"/>
  <c r="H156" i="7"/>
  <c r="I156" i="7"/>
  <c r="J156" i="7"/>
  <c r="E156" i="7"/>
  <c r="G155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163" i="7"/>
  <c r="F154" i="7"/>
  <c r="F155" i="7" s="1"/>
  <c r="G154" i="7"/>
  <c r="H154" i="7"/>
  <c r="H155" i="7" s="1"/>
  <c r="I154" i="7"/>
  <c r="I155" i="7" s="1"/>
  <c r="J154" i="7"/>
  <c r="J155" i="7" s="1"/>
  <c r="E154" i="7"/>
  <c r="E155" i="7" s="1"/>
  <c r="F152" i="7"/>
  <c r="G152" i="7"/>
  <c r="H152" i="7"/>
  <c r="I152" i="7"/>
  <c r="J152" i="7"/>
  <c r="E152" i="7"/>
  <c r="F151" i="7"/>
  <c r="G151" i="7"/>
  <c r="H151" i="7"/>
  <c r="I151" i="7"/>
  <c r="J151" i="7"/>
  <c r="E151" i="7"/>
  <c r="G150" i="7"/>
  <c r="F149" i="7"/>
  <c r="F150" i="7" s="1"/>
  <c r="G149" i="7"/>
  <c r="H149" i="7"/>
  <c r="H150" i="7" s="1"/>
  <c r="I149" i="7"/>
  <c r="I150" i="7" s="1"/>
  <c r="J149" i="7"/>
  <c r="J150" i="7" s="1"/>
  <c r="E149" i="7"/>
  <c r="E150" i="7" s="1"/>
  <c r="G158" i="7" l="1" a="1"/>
  <c r="G158" i="7" s="1"/>
  <c r="H158" i="6"/>
  <c r="L158" i="6"/>
  <c r="P158" i="6"/>
  <c r="G146" i="6"/>
  <c r="G147" i="6" s="1"/>
  <c r="K146" i="6"/>
  <c r="K147" i="6" s="1"/>
  <c r="O146" i="6"/>
  <c r="O147" i="6" s="1"/>
  <c r="I148" i="6"/>
  <c r="M148" i="6"/>
  <c r="Q148" i="6"/>
  <c r="G150" i="6"/>
  <c r="K150" i="6"/>
  <c r="O150" i="6"/>
  <c r="E148" i="6"/>
  <c r="H141" i="6"/>
  <c r="L141" i="6"/>
  <c r="P141" i="6"/>
  <c r="I145" i="6"/>
  <c r="M145" i="6"/>
  <c r="Q145" i="6"/>
  <c r="F136" i="6"/>
  <c r="F137" i="6" s="1"/>
  <c r="J136" i="6"/>
  <c r="J137" i="6" s="1"/>
  <c r="N136" i="6"/>
  <c r="N137" i="6" s="1"/>
  <c r="R136" i="6"/>
  <c r="R137" i="6" s="1"/>
  <c r="H138" i="6"/>
  <c r="L138" i="6"/>
  <c r="P138" i="6"/>
  <c r="G140" i="6"/>
  <c r="K140" i="6"/>
  <c r="O140" i="6"/>
  <c r="E138" i="6"/>
  <c r="H135" i="6"/>
  <c r="L135" i="6"/>
  <c r="P135" i="6"/>
  <c r="H133" i="6"/>
  <c r="L133" i="6"/>
  <c r="P133" i="6"/>
  <c r="H131" i="6"/>
  <c r="H132" i="6" s="1"/>
  <c r="L131" i="6"/>
  <c r="L132" i="6" s="1"/>
  <c r="P131" i="6"/>
  <c r="P132" i="6" s="1"/>
  <c r="I158" i="6"/>
  <c r="M158" i="6"/>
  <c r="Q158" i="6"/>
  <c r="E158" i="6"/>
  <c r="H146" i="6"/>
  <c r="H147" i="6" s="1"/>
  <c r="L146" i="6"/>
  <c r="L147" i="6" s="1"/>
  <c r="P146" i="6"/>
  <c r="P147" i="6" s="1"/>
  <c r="F148" i="6"/>
  <c r="J148" i="6"/>
  <c r="N148" i="6"/>
  <c r="R148" i="6"/>
  <c r="K149" i="6" a="1"/>
  <c r="K149" i="6" s="1"/>
  <c r="H150" i="6"/>
  <c r="L150" i="6"/>
  <c r="P150" i="6"/>
  <c r="I141" i="6"/>
  <c r="M141" i="6"/>
  <c r="Q141" i="6"/>
  <c r="F145" i="6"/>
  <c r="J145" i="6"/>
  <c r="N145" i="6"/>
  <c r="R145" i="6"/>
  <c r="G136" i="6"/>
  <c r="G137" i="6" s="1"/>
  <c r="K136" i="6"/>
  <c r="K137" i="6" s="1"/>
  <c r="O136" i="6"/>
  <c r="O137" i="6" s="1"/>
  <c r="I138" i="6"/>
  <c r="M138" i="6"/>
  <c r="Q138" i="6"/>
  <c r="H140" i="6"/>
  <c r="L140" i="6"/>
  <c r="P140" i="6"/>
  <c r="I135" i="6"/>
  <c r="M135" i="6"/>
  <c r="Q135" i="6"/>
  <c r="I133" i="6"/>
  <c r="M133" i="6"/>
  <c r="Q133" i="6"/>
  <c r="I131" i="6"/>
  <c r="I132" i="6" s="1"/>
  <c r="M131" i="6"/>
  <c r="M132" i="6" s="1"/>
  <c r="Q131" i="6"/>
  <c r="Q132" i="6" s="1"/>
  <c r="F131" i="6"/>
  <c r="F132" i="6" s="1"/>
  <c r="N131" i="6"/>
  <c r="N132" i="6" s="1"/>
  <c r="K158" i="6"/>
  <c r="F158" i="6"/>
  <c r="J158" i="6"/>
  <c r="N158" i="6"/>
  <c r="R158" i="6"/>
  <c r="I146" i="6"/>
  <c r="I147" i="6" s="1"/>
  <c r="M146" i="6"/>
  <c r="M147" i="6" s="1"/>
  <c r="Q146" i="6"/>
  <c r="Q147" i="6" s="1"/>
  <c r="G148" i="6"/>
  <c r="K148" i="6"/>
  <c r="O148" i="6"/>
  <c r="I150" i="6"/>
  <c r="M150" i="6"/>
  <c r="Q150" i="6"/>
  <c r="F141" i="6"/>
  <c r="J141" i="6"/>
  <c r="N141" i="6"/>
  <c r="R141" i="6"/>
  <c r="H144" i="6" a="1"/>
  <c r="H144" i="6" s="1"/>
  <c r="G145" i="6"/>
  <c r="K145" i="6"/>
  <c r="O145" i="6"/>
  <c r="H136" i="6"/>
  <c r="H137" i="6" s="1"/>
  <c r="L136" i="6"/>
  <c r="L137" i="6" s="1"/>
  <c r="P136" i="6"/>
  <c r="P137" i="6" s="1"/>
  <c r="F138" i="6"/>
  <c r="J138" i="6"/>
  <c r="N138" i="6"/>
  <c r="R138" i="6"/>
  <c r="R139" i="6" a="1"/>
  <c r="R139" i="6" s="1"/>
  <c r="I140" i="6"/>
  <c r="M140" i="6"/>
  <c r="Q140" i="6"/>
  <c r="F135" i="6"/>
  <c r="J135" i="6"/>
  <c r="N135" i="6"/>
  <c r="F133" i="6"/>
  <c r="J133" i="6"/>
  <c r="N133" i="6"/>
  <c r="J131" i="6"/>
  <c r="J132" i="6" s="1"/>
  <c r="G158" i="6"/>
  <c r="O158" i="6"/>
  <c r="N146" i="6"/>
  <c r="N147" i="6" s="1"/>
  <c r="H148" i="6"/>
  <c r="J150" i="6"/>
  <c r="K141" i="6"/>
  <c r="J144" i="6" a="1"/>
  <c r="J144" i="6" s="1"/>
  <c r="P145" i="6"/>
  <c r="Q136" i="6"/>
  <c r="Q137" i="6" s="1"/>
  <c r="K138" i="6"/>
  <c r="N140" i="6"/>
  <c r="O135" i="6"/>
  <c r="G133" i="6"/>
  <c r="O131" i="6"/>
  <c r="O132" i="6" s="1"/>
  <c r="R146" i="6"/>
  <c r="R147" i="6" s="1"/>
  <c r="L148" i="6"/>
  <c r="N150" i="6"/>
  <c r="O141" i="6"/>
  <c r="P144" i="6" a="1"/>
  <c r="P144" i="6" s="1"/>
  <c r="O138" i="6"/>
  <c r="R140" i="6"/>
  <c r="K133" i="6"/>
  <c r="G138" i="6"/>
  <c r="O134" i="6" a="1"/>
  <c r="O134" i="6" s="1"/>
  <c r="F146" i="6"/>
  <c r="F147" i="6" s="1"/>
  <c r="P148" i="6"/>
  <c r="R150" i="6"/>
  <c r="H145" i="6"/>
  <c r="I136" i="6"/>
  <c r="I137" i="6" s="1"/>
  <c r="F140" i="6"/>
  <c r="G135" i="6"/>
  <c r="O133" i="6"/>
  <c r="G131" i="6"/>
  <c r="G132" i="6" s="1"/>
  <c r="J146" i="6"/>
  <c r="J147" i="6" s="1"/>
  <c r="F150" i="6"/>
  <c r="M136" i="6"/>
  <c r="M137" i="6" s="1"/>
  <c r="K135" i="6"/>
  <c r="G141" i="6"/>
  <c r="L145" i="6"/>
  <c r="J140" i="6"/>
  <c r="K131" i="6"/>
  <c r="K132" i="6" s="1"/>
  <c r="O144" i="6" a="1"/>
  <c r="O144" i="6" s="1"/>
  <c r="N139" i="6" a="1"/>
  <c r="N139" i="6" s="1"/>
  <c r="N149" i="6" a="1"/>
  <c r="N149" i="6" s="1"/>
  <c r="C155" i="7"/>
  <c r="J158" i="7" a="1"/>
  <c r="J158" i="7" s="1"/>
  <c r="F158" i="7" a="1"/>
  <c r="F158" i="7" s="1"/>
  <c r="I158" i="7" a="1"/>
  <c r="I158" i="7" s="1"/>
  <c r="H158" i="7" a="1"/>
  <c r="H158" i="7" s="1"/>
  <c r="E133" i="6"/>
  <c r="E158" i="7" a="1"/>
  <c r="E158" i="7" s="1"/>
  <c r="C158" i="6"/>
  <c r="E146" i="6"/>
  <c r="E147" i="6" s="1"/>
  <c r="E150" i="6"/>
  <c r="C153" i="6"/>
  <c r="C136" i="6"/>
  <c r="C147" i="6"/>
  <c r="C131" i="6"/>
  <c r="C137" i="6"/>
  <c r="C146" i="6"/>
  <c r="C132" i="6"/>
  <c r="E145" i="6"/>
  <c r="E141" i="6"/>
  <c r="C142" i="6"/>
  <c r="E140" i="6"/>
  <c r="C141" i="6"/>
  <c r="E135" i="6"/>
  <c r="E136" i="6"/>
  <c r="E137" i="6" s="1"/>
  <c r="E131" i="6"/>
  <c r="E132" i="6" s="1"/>
  <c r="C156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5" i="7"/>
  <c r="F134" i="2"/>
  <c r="G134" i="2"/>
  <c r="H134" i="2"/>
  <c r="I134" i="2"/>
  <c r="J134" i="2"/>
  <c r="K134" i="2"/>
  <c r="E134" i="2"/>
  <c r="F129" i="2"/>
  <c r="G129" i="2"/>
  <c r="H129" i="2"/>
  <c r="I129" i="2"/>
  <c r="J129" i="2"/>
  <c r="K129" i="2"/>
  <c r="L129" i="2"/>
  <c r="M129" i="2"/>
  <c r="N129" i="2"/>
  <c r="E129" i="2"/>
  <c r="F128" i="2"/>
  <c r="G128" i="2"/>
  <c r="H128" i="2"/>
  <c r="I128" i="2"/>
  <c r="J128" i="2"/>
  <c r="K128" i="2"/>
  <c r="L128" i="2"/>
  <c r="M128" i="2"/>
  <c r="N128" i="2"/>
  <c r="E128" i="2"/>
  <c r="F124" i="2"/>
  <c r="G124" i="2"/>
  <c r="H124" i="2"/>
  <c r="I124" i="2"/>
  <c r="J124" i="2"/>
  <c r="K124" i="2"/>
  <c r="L124" i="2"/>
  <c r="E124" i="2"/>
  <c r="F123" i="2"/>
  <c r="G123" i="2"/>
  <c r="H123" i="2"/>
  <c r="I123" i="2"/>
  <c r="J123" i="2"/>
  <c r="K123" i="2"/>
  <c r="L123" i="2"/>
  <c r="E123" i="2"/>
  <c r="F119" i="2"/>
  <c r="G119" i="2"/>
  <c r="H119" i="2"/>
  <c r="I119" i="2"/>
  <c r="E119" i="2"/>
  <c r="F114" i="2"/>
  <c r="G114" i="2"/>
  <c r="H114" i="2"/>
  <c r="I114" i="2"/>
  <c r="J114" i="2"/>
  <c r="K114" i="2"/>
  <c r="L114" i="2"/>
  <c r="E114" i="2"/>
  <c r="N109" i="2"/>
  <c r="M109" i="2"/>
  <c r="L109" i="2"/>
  <c r="K109" i="2"/>
  <c r="J109" i="2"/>
  <c r="I109" i="2"/>
  <c r="H109" i="2"/>
  <c r="G109" i="2"/>
  <c r="F109" i="2"/>
  <c r="E109" i="2"/>
  <c r="F116" i="2"/>
  <c r="F118" i="2" s="1"/>
  <c r="G116" i="2"/>
  <c r="G118" i="2" s="1"/>
  <c r="H116" i="2"/>
  <c r="H118" i="2" s="1"/>
  <c r="I116" i="2"/>
  <c r="I118" i="2" s="1"/>
  <c r="J116" i="2"/>
  <c r="K116" i="2"/>
  <c r="E116" i="2"/>
  <c r="E118" i="2" s="1"/>
  <c r="F111" i="2"/>
  <c r="F113" i="2" s="1"/>
  <c r="G111" i="2"/>
  <c r="G113" i="2" s="1"/>
  <c r="H111" i="2"/>
  <c r="H113" i="2" s="1"/>
  <c r="I111" i="2"/>
  <c r="I113" i="2" s="1"/>
  <c r="J111" i="2"/>
  <c r="J113" i="2" s="1"/>
  <c r="K111" i="2"/>
  <c r="K113" i="2" s="1"/>
  <c r="L111" i="2"/>
  <c r="L113" i="2" s="1"/>
  <c r="M111" i="2"/>
  <c r="N111" i="2"/>
  <c r="E111" i="2"/>
  <c r="E113" i="2" s="1"/>
  <c r="F106" i="2"/>
  <c r="F108" i="2" s="1"/>
  <c r="G106" i="2"/>
  <c r="G108" i="2" s="1"/>
  <c r="H106" i="2"/>
  <c r="H108" i="2" s="1"/>
  <c r="I106" i="2"/>
  <c r="I108" i="2" s="1"/>
  <c r="J106" i="2"/>
  <c r="J108" i="2" s="1"/>
  <c r="K106" i="2"/>
  <c r="K108" i="2" s="1"/>
  <c r="L106" i="2"/>
  <c r="L108" i="2" s="1"/>
  <c r="M106" i="2"/>
  <c r="M108" i="2" s="1"/>
  <c r="N106" i="2"/>
  <c r="N108" i="2" s="1"/>
  <c r="E106" i="2"/>
  <c r="E108" i="2" s="1"/>
  <c r="H149" i="6" l="1" a="1"/>
  <c r="H149" i="6" s="1"/>
  <c r="O149" i="6" a="1"/>
  <c r="O149" i="6" s="1"/>
  <c r="F134" i="6" a="1"/>
  <c r="F134" i="6" s="1"/>
  <c r="P139" i="6" a="1"/>
  <c r="P139" i="6" s="1"/>
  <c r="J139" i="6" a="1"/>
  <c r="J139" i="6" s="1"/>
  <c r="I144" i="6" a="1"/>
  <c r="I144" i="6" s="1"/>
  <c r="K144" i="6" a="1"/>
  <c r="K144" i="6" s="1"/>
  <c r="O139" i="6" a="1"/>
  <c r="O139" i="6" s="1"/>
  <c r="N144" i="6" a="1"/>
  <c r="N144" i="6" s="1"/>
  <c r="M134" i="6" a="1"/>
  <c r="M134" i="6" s="1"/>
  <c r="P149" i="6" a="1"/>
  <c r="P149" i="6" s="1"/>
  <c r="L139" i="6" a="1"/>
  <c r="L139" i="6" s="1"/>
  <c r="N134" i="6" a="1"/>
  <c r="N134" i="6" s="1"/>
  <c r="F139" i="6" a="1"/>
  <c r="F139" i="6" s="1"/>
  <c r="M144" i="6" a="1"/>
  <c r="M144" i="6" s="1"/>
  <c r="P134" i="6" a="1"/>
  <c r="P134" i="6" s="1"/>
  <c r="C140" i="6" a="1"/>
  <c r="C140" i="6" s="1"/>
  <c r="L149" i="6" a="1"/>
  <c r="L149" i="6" s="1"/>
  <c r="K139" i="6" a="1"/>
  <c r="K139" i="6" s="1"/>
  <c r="I149" i="6" a="1"/>
  <c r="I149" i="6" s="1"/>
  <c r="G149" i="6" a="1"/>
  <c r="G149" i="6" s="1"/>
  <c r="H139" i="6" a="1"/>
  <c r="H139" i="6" s="1"/>
  <c r="Q144" i="6" a="1"/>
  <c r="Q144" i="6" s="1"/>
  <c r="L144" i="6" a="1"/>
  <c r="L144" i="6" s="1"/>
  <c r="C145" i="6" a="1"/>
  <c r="C145" i="6" s="1"/>
  <c r="C135" i="6" a="1"/>
  <c r="C135" i="6" s="1"/>
  <c r="K134" i="6" a="1"/>
  <c r="K134" i="6" s="1"/>
  <c r="J134" i="6" a="1"/>
  <c r="J134" i="6" s="1"/>
  <c r="H134" i="6" a="1"/>
  <c r="H134" i="6" s="1"/>
  <c r="Q139" i="6" a="1"/>
  <c r="Q139" i="6" s="1"/>
  <c r="F144" i="6" a="1"/>
  <c r="F144" i="6" s="1"/>
  <c r="M149" i="6" a="1"/>
  <c r="M149" i="6" s="1"/>
  <c r="C150" i="6" a="1"/>
  <c r="C150" i="6" s="1"/>
  <c r="G134" i="6" a="1"/>
  <c r="G134" i="6" s="1"/>
  <c r="F149" i="6" a="1"/>
  <c r="F149" i="6" s="1"/>
  <c r="Q134" i="6" a="1"/>
  <c r="Q134" i="6" s="1"/>
  <c r="M139" i="6" a="1"/>
  <c r="M139" i="6" s="1"/>
  <c r="J149" i="6" a="1"/>
  <c r="J149" i="6" s="1"/>
  <c r="I139" i="6" a="1"/>
  <c r="I139" i="6" s="1"/>
  <c r="R149" i="6" a="1"/>
  <c r="R149" i="6" s="1"/>
  <c r="G144" i="6" a="1"/>
  <c r="G144" i="6" s="1"/>
  <c r="R144" i="6" a="1"/>
  <c r="R144" i="6" s="1"/>
  <c r="E149" i="6" a="1"/>
  <c r="E149" i="6" s="1"/>
  <c r="I134" i="6" a="1"/>
  <c r="I134" i="6" s="1"/>
  <c r="L134" i="6" a="1"/>
  <c r="L134" i="6" s="1"/>
  <c r="G139" i="6" a="1"/>
  <c r="G139" i="6" s="1"/>
  <c r="Q149" i="6" a="1"/>
  <c r="Q149" i="6" s="1"/>
  <c r="H153" i="7" a="1"/>
  <c r="H153" i="7" s="1"/>
  <c r="E153" i="7" a="1"/>
  <c r="E153" i="7" s="1"/>
  <c r="F153" i="7" a="1"/>
  <c r="F153" i="7" s="1"/>
  <c r="I153" i="7" a="1"/>
  <c r="I153" i="7" s="1"/>
  <c r="C150" i="7"/>
  <c r="C151" i="7" s="1"/>
  <c r="G153" i="7" a="1"/>
  <c r="G153" i="7" s="1"/>
  <c r="J153" i="7" a="1"/>
  <c r="J153" i="7" s="1"/>
  <c r="C134" i="6"/>
  <c r="C139" i="6"/>
  <c r="C144" i="6"/>
  <c r="C148" i="6"/>
  <c r="G142" i="7"/>
  <c r="G147" i="7"/>
  <c r="E147" i="7"/>
  <c r="H147" i="7"/>
  <c r="I147" i="7"/>
  <c r="F147" i="7"/>
  <c r="C149" i="6"/>
  <c r="I142" i="7"/>
  <c r="F137" i="7"/>
  <c r="E144" i="6" a="1"/>
  <c r="E144" i="6" s="1"/>
  <c r="C138" i="6"/>
  <c r="E137" i="7"/>
  <c r="I132" i="7"/>
  <c r="E139" i="6" a="1"/>
  <c r="E139" i="6" s="1"/>
  <c r="E134" i="6" a="1"/>
  <c r="E134" i="6" s="1"/>
  <c r="G139" i="7"/>
  <c r="I146" i="7"/>
  <c r="C140" i="7"/>
  <c r="F146" i="7"/>
  <c r="G146" i="7"/>
  <c r="E146" i="7"/>
  <c r="H146" i="7"/>
  <c r="J146" i="7"/>
  <c r="J142" i="7"/>
  <c r="J147" i="7"/>
  <c r="J137" i="7"/>
  <c r="C143" i="6"/>
  <c r="C133" i="6"/>
  <c r="J134" i="7"/>
  <c r="J135" i="7" s="1"/>
  <c r="I129" i="7"/>
  <c r="I130" i="7" s="1"/>
  <c r="I131" i="7"/>
  <c r="C129" i="7"/>
  <c r="J132" i="7"/>
  <c r="F132" i="7"/>
  <c r="G137" i="7"/>
  <c r="H136" i="7"/>
  <c r="G134" i="7"/>
  <c r="G135" i="7" s="1"/>
  <c r="F142" i="7"/>
  <c r="I139" i="7"/>
  <c r="H131" i="7"/>
  <c r="E139" i="7"/>
  <c r="E143" i="7" s="1" a="1"/>
  <c r="E143" i="7" s="1"/>
  <c r="E142" i="7"/>
  <c r="H139" i="7"/>
  <c r="H129" i="7"/>
  <c r="H130" i="7" s="1"/>
  <c r="C130" i="7"/>
  <c r="G136" i="7"/>
  <c r="E129" i="7"/>
  <c r="E130" i="7" s="1"/>
  <c r="G129" i="7"/>
  <c r="G130" i="7" s="1"/>
  <c r="E131" i="7"/>
  <c r="G131" i="7"/>
  <c r="H132" i="7"/>
  <c r="E136" i="7"/>
  <c r="I137" i="7"/>
  <c r="J136" i="7"/>
  <c r="F136" i="7"/>
  <c r="I134" i="7"/>
  <c r="I135" i="7" s="1"/>
  <c r="C134" i="7"/>
  <c r="G143" i="7" a="1"/>
  <c r="G143" i="7" s="1"/>
  <c r="H142" i="7"/>
  <c r="C144" i="7"/>
  <c r="I144" i="7"/>
  <c r="I145" i="7" s="1"/>
  <c r="G144" i="7"/>
  <c r="G145" i="7" s="1"/>
  <c r="F144" i="7"/>
  <c r="F145" i="7" s="1"/>
  <c r="J144" i="7"/>
  <c r="J145" i="7" s="1"/>
  <c r="C145" i="7"/>
  <c r="H144" i="7"/>
  <c r="H145" i="7" s="1"/>
  <c r="E144" i="7"/>
  <c r="E145" i="7" s="1"/>
  <c r="G133" i="7" a="1"/>
  <c r="G133" i="7" s="1"/>
  <c r="F134" i="7"/>
  <c r="F135" i="7" s="1"/>
  <c r="J129" i="7"/>
  <c r="J130" i="7" s="1"/>
  <c r="F129" i="7"/>
  <c r="F130" i="7" s="1"/>
  <c r="J131" i="7"/>
  <c r="F131" i="7"/>
  <c r="E132" i="7"/>
  <c r="G132" i="7"/>
  <c r="E134" i="7"/>
  <c r="E135" i="7" s="1"/>
  <c r="G138" i="7" a="1"/>
  <c r="G138" i="7" s="1"/>
  <c r="H137" i="7"/>
  <c r="I136" i="7"/>
  <c r="H134" i="7"/>
  <c r="H135" i="7" s="1"/>
  <c r="C135" i="7"/>
  <c r="C138" i="7" s="1"/>
  <c r="C139" i="7"/>
  <c r="J143" i="7" a="1"/>
  <c r="J143" i="7" s="1"/>
  <c r="F143" i="7" a="1"/>
  <c r="F143" i="7" s="1"/>
  <c r="J139" i="7"/>
  <c r="F139" i="7"/>
  <c r="C153" i="7"/>
  <c r="C158" i="7"/>
  <c r="F133" i="2"/>
  <c r="G133" i="2"/>
  <c r="H133" i="2"/>
  <c r="I133" i="2"/>
  <c r="J133" i="2"/>
  <c r="K133" i="2"/>
  <c r="E133" i="2"/>
  <c r="F131" i="2"/>
  <c r="G131" i="2"/>
  <c r="H131" i="2"/>
  <c r="I131" i="2"/>
  <c r="J131" i="2"/>
  <c r="K131" i="2"/>
  <c r="E131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40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5" i="2"/>
  <c r="I138" i="7" l="1" a="1"/>
  <c r="I138" i="7" s="1"/>
  <c r="C132" i="2"/>
  <c r="U181" i="2"/>
  <c r="I133" i="7" a="1"/>
  <c r="I133" i="7" s="1"/>
  <c r="C146" i="7"/>
  <c r="C148" i="7"/>
  <c r="C141" i="7"/>
  <c r="E138" i="7" a="1"/>
  <c r="E138" i="7" s="1"/>
  <c r="J138" i="7" a="1"/>
  <c r="J138" i="7" s="1"/>
  <c r="H148" i="7" a="1"/>
  <c r="H148" i="7" s="1"/>
  <c r="F148" i="7" a="1"/>
  <c r="F148" i="7" s="1"/>
  <c r="C131" i="7"/>
  <c r="E148" i="7" a="1"/>
  <c r="E148" i="7" s="1"/>
  <c r="G148" i="7" a="1"/>
  <c r="G148" i="7" s="1"/>
  <c r="J148" i="7" a="1"/>
  <c r="J148" i="7" s="1"/>
  <c r="I148" i="7" a="1"/>
  <c r="I148" i="7" s="1"/>
  <c r="C143" i="7"/>
  <c r="C136" i="7"/>
  <c r="C133" i="7"/>
  <c r="J133" i="7" a="1"/>
  <c r="J133" i="7" s="1"/>
  <c r="H143" i="7" a="1"/>
  <c r="H143" i="7" s="1"/>
  <c r="I143" i="7" a="1"/>
  <c r="I143" i="7" s="1"/>
  <c r="F138" i="7" a="1"/>
  <c r="F138" i="7" s="1"/>
  <c r="E133" i="7" a="1"/>
  <c r="E133" i="7" s="1"/>
  <c r="F133" i="7" a="1"/>
  <c r="F133" i="7" s="1"/>
  <c r="H138" i="7" a="1"/>
  <c r="H138" i="7" s="1"/>
  <c r="H133" i="7" a="1"/>
  <c r="H133" i="7" s="1"/>
  <c r="C135" i="2"/>
  <c r="C133" i="2"/>
  <c r="U180" i="2"/>
  <c r="S105" i="2"/>
  <c r="U104" i="12"/>
  <c r="U105" i="12" s="1"/>
  <c r="T104" i="12"/>
  <c r="T105" i="12" s="1"/>
  <c r="S104" i="12"/>
  <c r="S105" i="12" s="1"/>
  <c r="R104" i="12"/>
  <c r="R105" i="12" s="1"/>
  <c r="C121" i="2"/>
  <c r="C116" i="2"/>
  <c r="C111" i="2"/>
  <c r="C106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5" i="2"/>
  <c r="U105" i="2" l="1"/>
  <c r="U106" i="2"/>
  <c r="X105" i="2"/>
  <c r="Y105" i="2"/>
  <c r="Z105" i="2"/>
  <c r="W105" i="2"/>
  <c r="W108" i="2"/>
  <c r="X110" i="2"/>
  <c r="X111" i="2"/>
  <c r="Y108" i="2"/>
  <c r="X107" i="2"/>
  <c r="Y107" i="2"/>
  <c r="Z107" i="2"/>
  <c r="W107" i="2"/>
  <c r="X106" i="2"/>
  <c r="Y106" i="2"/>
  <c r="Z106" i="2"/>
  <c r="W106" i="2"/>
  <c r="F204" i="7" l="1"/>
  <c r="G204" i="7"/>
  <c r="H204" i="7"/>
  <c r="I204" i="7"/>
  <c r="J204" i="7"/>
  <c r="E204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163" i="7"/>
  <c r="F126" i="7"/>
  <c r="G126" i="7"/>
  <c r="H126" i="7"/>
  <c r="I126" i="7"/>
  <c r="J126" i="7"/>
  <c r="E126" i="7"/>
  <c r="M126" i="7"/>
  <c r="F203" i="7"/>
  <c r="G203" i="7"/>
  <c r="H203" i="7"/>
  <c r="I203" i="7"/>
  <c r="J203" i="7"/>
  <c r="E20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163" i="7"/>
  <c r="F125" i="7"/>
  <c r="G125" i="7"/>
  <c r="H125" i="7"/>
  <c r="I125" i="7"/>
  <c r="J125" i="7"/>
  <c r="E125" i="7"/>
  <c r="L203" i="7" l="1"/>
  <c r="M204" i="7"/>
  <c r="E36" i="3" a="1"/>
  <c r="E36" i="3" s="1"/>
  <c r="E39" i="3" s="1"/>
  <c r="F36" i="3" a="1"/>
  <c r="F36" i="3" s="1"/>
  <c r="F39" i="3" s="1"/>
  <c r="G36" i="3" a="1"/>
  <c r="G36" i="3" s="1"/>
  <c r="H36" i="3" a="1"/>
  <c r="H36" i="3" s="1"/>
  <c r="H39" i="3" s="1"/>
  <c r="I36" i="3" a="1"/>
  <c r="I36" i="3" s="1"/>
  <c r="I39" i="3" s="1"/>
  <c r="J36" i="3" a="1"/>
  <c r="J36" i="3" s="1"/>
  <c r="K36" i="3" a="1"/>
  <c r="K36" i="3" s="1"/>
  <c r="K39" i="3" s="1"/>
  <c r="L36" i="3" a="1"/>
  <c r="L36" i="3" s="1"/>
  <c r="M36" i="3" a="1"/>
  <c r="M36" i="3" s="1"/>
  <c r="M39" i="3" s="1"/>
  <c r="N36" i="3" a="1"/>
  <c r="N36" i="3" s="1"/>
  <c r="N39" i="3" s="1"/>
  <c r="O36" i="3" a="1"/>
  <c r="O36" i="3" s="1"/>
  <c r="P36" i="3" a="1"/>
  <c r="P36" i="3" s="1"/>
  <c r="P39" i="3" s="1"/>
  <c r="Q36" i="3" a="1"/>
  <c r="Q36" i="3" s="1"/>
  <c r="Q39" i="3" s="1"/>
  <c r="R36" i="3" a="1"/>
  <c r="R36" i="3" s="1"/>
  <c r="S36" i="3" a="1"/>
  <c r="S36" i="3" s="1"/>
  <c r="S39" i="3" s="1"/>
  <c r="T36" i="3" a="1"/>
  <c r="T36" i="3" s="1"/>
  <c r="T39" i="3" s="1"/>
  <c r="U36" i="3" a="1"/>
  <c r="U36" i="3" s="1"/>
  <c r="U39" i="3" s="1"/>
  <c r="V36" i="3" a="1"/>
  <c r="V36" i="3" s="1"/>
  <c r="V39" i="3" s="1"/>
  <c r="W36" i="3" a="1"/>
  <c r="W36" i="3" s="1"/>
  <c r="X36" i="3" a="1"/>
  <c r="X36" i="3" s="1"/>
  <c r="X39" i="3" s="1"/>
  <c r="Y36" i="3" a="1"/>
  <c r="Y36" i="3" s="1"/>
  <c r="Y39" i="3" s="1"/>
  <c r="Z36" i="3" a="1"/>
  <c r="Z36" i="3" s="1"/>
  <c r="AA36" i="3" a="1"/>
  <c r="AA36" i="3" s="1"/>
  <c r="AA39" i="3" s="1"/>
  <c r="AB36" i="3" a="1"/>
  <c r="AB36" i="3" s="1"/>
  <c r="AB39" i="3" s="1"/>
  <c r="AC36" i="3" a="1"/>
  <c r="AC36" i="3" s="1"/>
  <c r="AC39" i="3" s="1"/>
  <c r="AD36" i="3" a="1"/>
  <c r="AD36" i="3" s="1"/>
  <c r="AD39" i="3" s="1"/>
  <c r="AE36" i="3" a="1"/>
  <c r="AE36" i="3" s="1"/>
  <c r="D38" i="3"/>
  <c r="P9" i="11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5" i="2"/>
  <c r="C28" i="3"/>
  <c r="AZ154" i="8"/>
  <c r="AZ155" i="8"/>
  <c r="AZ156" i="8"/>
  <c r="AZ157" i="8"/>
  <c r="AZ158" i="8"/>
  <c r="AZ159" i="8"/>
  <c r="AZ160" i="8"/>
  <c r="BU160" i="8" s="1"/>
  <c r="AZ161" i="8"/>
  <c r="AZ162" i="8"/>
  <c r="AZ163" i="8"/>
  <c r="AZ164" i="8"/>
  <c r="BU164" i="8" s="1"/>
  <c r="AZ165" i="8"/>
  <c r="AZ166" i="8"/>
  <c r="AZ167" i="8"/>
  <c r="AZ168" i="8"/>
  <c r="BU168" i="8" s="1"/>
  <c r="AZ169" i="8"/>
  <c r="AZ170" i="8"/>
  <c r="AZ171" i="8"/>
  <c r="AZ172" i="8"/>
  <c r="AZ173" i="8"/>
  <c r="AZ174" i="8"/>
  <c r="BU174" i="8" s="1"/>
  <c r="AZ175" i="8"/>
  <c r="AZ176" i="8"/>
  <c r="AZ177" i="8"/>
  <c r="AZ178" i="8"/>
  <c r="AZ179" i="8"/>
  <c r="AZ180" i="8"/>
  <c r="BU180" i="8" s="1"/>
  <c r="AZ181" i="8"/>
  <c r="AZ182" i="8"/>
  <c r="AZ183" i="8"/>
  <c r="AZ184" i="8"/>
  <c r="BU184" i="8" s="1"/>
  <c r="AZ185" i="8"/>
  <c r="AZ186" i="8"/>
  <c r="BU186" i="8" s="1"/>
  <c r="AZ187" i="8"/>
  <c r="AZ188" i="8"/>
  <c r="AZ189" i="8"/>
  <c r="AZ190" i="8"/>
  <c r="AZ191" i="8"/>
  <c r="AZ192" i="8"/>
  <c r="AZ153" i="8"/>
  <c r="BB8" i="8"/>
  <c r="BW8" i="8" s="1"/>
  <c r="BB9" i="8"/>
  <c r="BW9" i="8" s="1"/>
  <c r="BB10" i="8"/>
  <c r="BW10" i="8" s="1"/>
  <c r="BB11" i="8"/>
  <c r="BW11" i="8" s="1"/>
  <c r="BB12" i="8"/>
  <c r="BB13" i="8"/>
  <c r="BW13" i="8" s="1"/>
  <c r="BB14" i="8"/>
  <c r="BB15" i="8"/>
  <c r="BW15" i="8" s="1"/>
  <c r="BB16" i="8"/>
  <c r="BB17" i="8"/>
  <c r="BW17" i="8" s="1"/>
  <c r="BB18" i="8"/>
  <c r="BW18" i="8" s="1"/>
  <c r="BB19" i="8"/>
  <c r="BW19" i="8" s="1"/>
  <c r="BB20" i="8"/>
  <c r="BW20" i="8" s="1"/>
  <c r="BB21" i="8"/>
  <c r="BW21" i="8" s="1"/>
  <c r="BB22" i="8"/>
  <c r="BW22" i="8" s="1"/>
  <c r="BB23" i="8"/>
  <c r="BB24" i="8"/>
  <c r="BW24" i="8" s="1"/>
  <c r="BB25" i="8"/>
  <c r="BB26" i="8"/>
  <c r="BW26" i="8" s="1"/>
  <c r="BB27" i="8"/>
  <c r="BW27" i="8" s="1"/>
  <c r="BB28" i="8"/>
  <c r="BW28" i="8" s="1"/>
  <c r="BB29" i="8"/>
  <c r="BW29" i="8" s="1"/>
  <c r="BB30" i="8"/>
  <c r="BW30" i="8" s="1"/>
  <c r="BB31" i="8"/>
  <c r="BW31" i="8" s="1"/>
  <c r="BB32" i="8"/>
  <c r="BB33" i="8"/>
  <c r="BB34" i="8"/>
  <c r="BW34" i="8" s="1"/>
  <c r="BB35" i="8"/>
  <c r="BW35" i="8" s="1"/>
  <c r="BB36" i="8"/>
  <c r="BB37" i="8"/>
  <c r="BB38" i="8"/>
  <c r="BW38" i="8" s="1"/>
  <c r="BB39" i="8"/>
  <c r="BW39" i="8" s="1"/>
  <c r="BB40" i="8"/>
  <c r="BW40" i="8" s="1"/>
  <c r="BB41" i="8"/>
  <c r="BW41" i="8" s="1"/>
  <c r="BB42" i="8"/>
  <c r="BW42" i="8" s="1"/>
  <c r="BB43" i="8"/>
  <c r="BW43" i="8" s="1"/>
  <c r="BB44" i="8"/>
  <c r="BW44" i="8" s="1"/>
  <c r="BB45" i="8"/>
  <c r="BB46" i="8"/>
  <c r="BB47" i="8"/>
  <c r="BW47" i="8" s="1"/>
  <c r="BB48" i="8"/>
  <c r="BB49" i="8"/>
  <c r="BB50" i="8"/>
  <c r="BW50" i="8" s="1"/>
  <c r="BB51" i="8"/>
  <c r="BW51" i="8" s="1"/>
  <c r="BB52" i="8"/>
  <c r="BB53" i="8"/>
  <c r="BB54" i="8"/>
  <c r="BW54" i="8" s="1"/>
  <c r="BB55" i="8"/>
  <c r="BB56" i="8"/>
  <c r="BB57" i="8"/>
  <c r="BW57" i="8" s="1"/>
  <c r="BB58" i="8"/>
  <c r="BB59" i="8"/>
  <c r="BW59" i="8" s="1"/>
  <c r="BB60" i="8"/>
  <c r="BW60" i="8" s="1"/>
  <c r="BB61" i="8"/>
  <c r="BW61" i="8" s="1"/>
  <c r="BB62" i="8"/>
  <c r="BW62" i="8" s="1"/>
  <c r="BB63" i="8"/>
  <c r="BW63" i="8" s="1"/>
  <c r="BB64" i="8"/>
  <c r="BB65" i="8"/>
  <c r="BB66" i="8"/>
  <c r="BB67" i="8"/>
  <c r="BW67" i="8" s="1"/>
  <c r="BB68" i="8"/>
  <c r="BW68" i="8" s="1"/>
  <c r="BB69" i="8"/>
  <c r="BB70" i="8"/>
  <c r="BB71" i="8"/>
  <c r="BB72" i="8"/>
  <c r="BW72" i="8" s="1"/>
  <c r="BB73" i="8"/>
  <c r="BB74" i="8"/>
  <c r="BB75" i="8"/>
  <c r="BB76" i="8"/>
  <c r="BB77" i="8"/>
  <c r="BB78" i="8"/>
  <c r="BW78" i="8" s="1"/>
  <c r="BB79" i="8"/>
  <c r="BB80" i="8"/>
  <c r="BW80" i="8" s="1"/>
  <c r="BB81" i="8"/>
  <c r="BB82" i="8"/>
  <c r="BB83" i="8"/>
  <c r="BB84" i="8"/>
  <c r="BB85" i="8"/>
  <c r="BB86" i="8"/>
  <c r="BW86" i="8" s="1"/>
  <c r="BB87" i="8"/>
  <c r="BB88" i="8"/>
  <c r="BB89" i="8"/>
  <c r="BB90" i="8"/>
  <c r="BB91" i="8"/>
  <c r="BB92" i="8"/>
  <c r="BB93" i="8"/>
  <c r="BB94" i="8"/>
  <c r="BW94" i="8" s="1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7" i="8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D21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10" i="6"/>
  <c r="T211" i="6"/>
  <c r="T172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9" i="6"/>
  <c r="S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D128" i="6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53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7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T193" i="8"/>
  <c r="U193" i="8"/>
  <c r="V193" i="8"/>
  <c r="D193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T107" i="8"/>
  <c r="U107" i="8"/>
  <c r="V107" i="8"/>
  <c r="D107" i="8"/>
  <c r="BF106" i="8" l="1"/>
  <c r="BW106" i="8"/>
  <c r="BF102" i="8"/>
  <c r="BW102" i="8"/>
  <c r="BF98" i="8"/>
  <c r="BW98" i="8"/>
  <c r="BH90" i="8"/>
  <c r="BW90" i="8"/>
  <c r="BE82" i="8"/>
  <c r="BW82" i="8"/>
  <c r="BS74" i="8"/>
  <c r="BW74" i="8"/>
  <c r="BL70" i="8"/>
  <c r="BW70" i="8"/>
  <c r="BL66" i="8"/>
  <c r="BW66" i="8"/>
  <c r="BG58" i="8"/>
  <c r="BW58" i="8"/>
  <c r="BT46" i="8"/>
  <c r="BW46" i="8"/>
  <c r="BT14" i="8"/>
  <c r="BW14" i="8"/>
  <c r="BM192" i="8"/>
  <c r="BU192" i="8"/>
  <c r="BZ188" i="8"/>
  <c r="BU188" i="8"/>
  <c r="BV176" i="8"/>
  <c r="BU176" i="8"/>
  <c r="BD172" i="8"/>
  <c r="BU172" i="8"/>
  <c r="BN156" i="8"/>
  <c r="BU156" i="8"/>
  <c r="BD105" i="8"/>
  <c r="BW105" i="8"/>
  <c r="BD101" i="8"/>
  <c r="BW101" i="8"/>
  <c r="BG97" i="8"/>
  <c r="BW97" i="8"/>
  <c r="BX93" i="8"/>
  <c r="BW93" i="8"/>
  <c r="BV89" i="8"/>
  <c r="BW89" i="8"/>
  <c r="BN85" i="8"/>
  <c r="BW85" i="8"/>
  <c r="BG81" i="8"/>
  <c r="BW81" i="8"/>
  <c r="CA77" i="8"/>
  <c r="BW77" i="8"/>
  <c r="BM73" i="8"/>
  <c r="BW73" i="8"/>
  <c r="CB69" i="8"/>
  <c r="BW69" i="8"/>
  <c r="BQ65" i="8"/>
  <c r="BW65" i="8"/>
  <c r="BI53" i="8"/>
  <c r="BW53" i="8"/>
  <c r="CB49" i="8"/>
  <c r="BW49" i="8"/>
  <c r="BY45" i="8"/>
  <c r="BW45" i="8"/>
  <c r="BZ37" i="8"/>
  <c r="BW37" i="8"/>
  <c r="BQ33" i="8"/>
  <c r="BW33" i="8"/>
  <c r="BR25" i="8"/>
  <c r="BW25" i="8"/>
  <c r="BD191" i="8"/>
  <c r="BU191" i="8"/>
  <c r="BB187" i="8"/>
  <c r="BU187" i="8"/>
  <c r="BK183" i="8"/>
  <c r="BU183" i="8"/>
  <c r="BK179" i="8"/>
  <c r="BU179" i="8"/>
  <c r="BO175" i="8"/>
  <c r="BU175" i="8"/>
  <c r="BI171" i="8"/>
  <c r="BU171" i="8"/>
  <c r="BO167" i="8"/>
  <c r="BU167" i="8"/>
  <c r="BB163" i="8"/>
  <c r="BU163" i="8"/>
  <c r="BN159" i="8"/>
  <c r="BU159" i="8"/>
  <c r="BT155" i="8"/>
  <c r="BU155" i="8"/>
  <c r="BF104" i="8"/>
  <c r="BW104" i="8"/>
  <c r="BF100" i="8"/>
  <c r="BW100" i="8"/>
  <c r="BD96" i="8"/>
  <c r="BW96" i="8"/>
  <c r="BM92" i="8"/>
  <c r="BW92" i="8"/>
  <c r="BE88" i="8"/>
  <c r="BW88" i="8"/>
  <c r="BX84" i="8"/>
  <c r="BW84" i="8"/>
  <c r="BU76" i="8"/>
  <c r="BW76" i="8"/>
  <c r="BV64" i="8"/>
  <c r="BW64" i="8"/>
  <c r="BP56" i="8"/>
  <c r="BW56" i="8"/>
  <c r="BN52" i="8"/>
  <c r="BW52" i="8"/>
  <c r="BK48" i="8"/>
  <c r="BW48" i="8"/>
  <c r="BO36" i="8"/>
  <c r="BW36" i="8"/>
  <c r="BE32" i="8"/>
  <c r="BW32" i="8"/>
  <c r="BY16" i="8"/>
  <c r="BW16" i="8"/>
  <c r="BO12" i="8"/>
  <c r="BW12" i="8"/>
  <c r="BX190" i="8"/>
  <c r="BU190" i="8"/>
  <c r="BI182" i="8"/>
  <c r="BU182" i="8"/>
  <c r="BI178" i="8"/>
  <c r="BU178" i="8"/>
  <c r="BP170" i="8"/>
  <c r="BU170" i="8"/>
  <c r="BM166" i="8"/>
  <c r="BU166" i="8"/>
  <c r="BS162" i="8"/>
  <c r="BU162" i="8"/>
  <c r="BW158" i="8"/>
  <c r="BU158" i="8"/>
  <c r="BG154" i="8"/>
  <c r="BU154" i="8"/>
  <c r="BF7" i="8"/>
  <c r="BW7" i="8"/>
  <c r="BD103" i="8"/>
  <c r="BW103" i="8"/>
  <c r="BD99" i="8"/>
  <c r="BW99" i="8"/>
  <c r="BD95" i="8"/>
  <c r="BW95" i="8"/>
  <c r="BR91" i="8"/>
  <c r="BW91" i="8"/>
  <c r="BJ87" i="8"/>
  <c r="BW87" i="8"/>
  <c r="BR83" i="8"/>
  <c r="BW83" i="8"/>
  <c r="BG79" i="8"/>
  <c r="BW79" i="8"/>
  <c r="BO75" i="8"/>
  <c r="BW75" i="8"/>
  <c r="BR71" i="8"/>
  <c r="BW71" i="8"/>
  <c r="BU55" i="8"/>
  <c r="BW55" i="8"/>
  <c r="BN23" i="8"/>
  <c r="BW23" i="8"/>
  <c r="BD153" i="8"/>
  <c r="BU153" i="8"/>
  <c r="BD189" i="8"/>
  <c r="BU189" i="8"/>
  <c r="BF185" i="8"/>
  <c r="BU185" i="8"/>
  <c r="BE181" i="8"/>
  <c r="BU181" i="8"/>
  <c r="BC177" i="8"/>
  <c r="BU177" i="8"/>
  <c r="BB173" i="8"/>
  <c r="BU173" i="8"/>
  <c r="BI169" i="8"/>
  <c r="BU169" i="8"/>
  <c r="BL165" i="8"/>
  <c r="BU165" i="8"/>
  <c r="BB161" i="8"/>
  <c r="BU161" i="8"/>
  <c r="BJ157" i="8"/>
  <c r="BU157" i="8"/>
  <c r="BR165" i="8"/>
  <c r="CC106" i="8"/>
  <c r="CC102" i="8"/>
  <c r="CC98" i="8"/>
  <c r="CC94" i="8"/>
  <c r="CC90" i="8"/>
  <c r="CC86" i="8"/>
  <c r="CC82" i="8"/>
  <c r="CC78" i="8"/>
  <c r="CC74" i="8"/>
  <c r="CC34" i="8"/>
  <c r="CC18" i="8"/>
  <c r="CA192" i="8"/>
  <c r="CA188" i="8"/>
  <c r="CA184" i="8"/>
  <c r="CA180" i="8"/>
  <c r="CA176" i="8"/>
  <c r="CA172" i="8"/>
  <c r="CA168" i="8"/>
  <c r="CA164" i="8"/>
  <c r="CA160" i="8"/>
  <c r="CA156" i="8"/>
  <c r="BI181" i="8"/>
  <c r="BL189" i="8"/>
  <c r="CC100" i="8"/>
  <c r="CC92" i="8"/>
  <c r="CC84" i="8"/>
  <c r="CC76" i="8"/>
  <c r="CC68" i="8"/>
  <c r="CC60" i="8"/>
  <c r="CC52" i="8"/>
  <c r="CC44" i="8"/>
  <c r="CC36" i="8"/>
  <c r="CC28" i="8"/>
  <c r="CC20" i="8"/>
  <c r="CC12" i="8"/>
  <c r="CC8" i="8"/>
  <c r="CC104" i="8"/>
  <c r="CC96" i="8"/>
  <c r="CC88" i="8"/>
  <c r="CC80" i="8"/>
  <c r="CC72" i="8"/>
  <c r="CC64" i="8"/>
  <c r="CC56" i="8"/>
  <c r="CC48" i="8"/>
  <c r="CC40" i="8"/>
  <c r="CC32" i="8"/>
  <c r="CC24" i="8"/>
  <c r="CC16" i="8"/>
  <c r="BK169" i="8"/>
  <c r="CC105" i="8"/>
  <c r="CC101" i="8"/>
  <c r="CC97" i="8"/>
  <c r="CC93" i="8"/>
  <c r="CC89" i="8"/>
  <c r="CC85" i="8"/>
  <c r="CC81" i="8"/>
  <c r="CC77" i="8"/>
  <c r="CC73" i="8"/>
  <c r="CC69" i="8"/>
  <c r="CC65" i="8"/>
  <c r="CC61" i="8"/>
  <c r="CC57" i="8"/>
  <c r="CC53" i="8"/>
  <c r="CC49" i="8"/>
  <c r="CC45" i="8"/>
  <c r="CC41" i="8"/>
  <c r="CC37" i="8"/>
  <c r="CC33" i="8"/>
  <c r="CC29" i="8"/>
  <c r="CC25" i="8"/>
  <c r="CC21" i="8"/>
  <c r="CC17" i="8"/>
  <c r="CC13" i="8"/>
  <c r="CC9" i="8"/>
  <c r="BO191" i="8"/>
  <c r="BM183" i="8"/>
  <c r="BG173" i="8"/>
  <c r="BR157" i="8"/>
  <c r="BL187" i="8"/>
  <c r="BE179" i="8"/>
  <c r="BN185" i="8"/>
  <c r="BS175" i="8"/>
  <c r="BY161" i="8"/>
  <c r="BZ103" i="8"/>
  <c r="CC103" i="8"/>
  <c r="CC99" i="8"/>
  <c r="CC95" i="8"/>
  <c r="CC91" i="8"/>
  <c r="CC87" i="8"/>
  <c r="CC83" i="8"/>
  <c r="CC79" i="8"/>
  <c r="CC75" i="8"/>
  <c r="CC71" i="8"/>
  <c r="CC67" i="8"/>
  <c r="CC63" i="8"/>
  <c r="CC59" i="8"/>
  <c r="CC55" i="8"/>
  <c r="CC51" i="8"/>
  <c r="CC47" i="8"/>
  <c r="CC43" i="8"/>
  <c r="CC39" i="8"/>
  <c r="CC35" i="8"/>
  <c r="CC31" i="8"/>
  <c r="CC27" i="8"/>
  <c r="CC23" i="8"/>
  <c r="CC19" i="8"/>
  <c r="CC15" i="8"/>
  <c r="CC11" i="8"/>
  <c r="BR103" i="8"/>
  <c r="BR99" i="8"/>
  <c r="BO95" i="8"/>
  <c r="BT87" i="8"/>
  <c r="BI153" i="8"/>
  <c r="BV189" i="8"/>
  <c r="BZ187" i="8"/>
  <c r="BY185" i="8"/>
  <c r="BC185" i="8"/>
  <c r="BW181" i="8"/>
  <c r="BY179" i="8"/>
  <c r="BN177" i="8"/>
  <c r="BZ173" i="8"/>
  <c r="BC171" i="8"/>
  <c r="BS167" i="8"/>
  <c r="BX163" i="8"/>
  <c r="BZ159" i="8"/>
  <c r="BJ155" i="8"/>
  <c r="BF103" i="8"/>
  <c r="BF99" i="8"/>
  <c r="CB91" i="8"/>
  <c r="BJ103" i="8"/>
  <c r="BN99" i="8"/>
  <c r="BJ95" i="8"/>
  <c r="BV191" i="8"/>
  <c r="BQ189" i="8"/>
  <c r="BS187" i="8"/>
  <c r="BT185" i="8"/>
  <c r="BX183" i="8"/>
  <c r="BO181" i="8"/>
  <c r="BO179" i="8"/>
  <c r="BG177" i="8"/>
  <c r="BQ173" i="8"/>
  <c r="BV169" i="8"/>
  <c r="BD167" i="8"/>
  <c r="BD163" i="8"/>
  <c r="BF159" i="8"/>
  <c r="CA190" i="8"/>
  <c r="CA186" i="8"/>
  <c r="CA182" i="8"/>
  <c r="CA178" i="8"/>
  <c r="CA174" i="8"/>
  <c r="CA170" i="8"/>
  <c r="CA166" i="8"/>
  <c r="CA162" i="8"/>
  <c r="CA158" i="8"/>
  <c r="CA154" i="8"/>
  <c r="BV103" i="8"/>
  <c r="BV99" i="8"/>
  <c r="BT95" i="8"/>
  <c r="BQ153" i="8"/>
  <c r="BH191" i="8"/>
  <c r="BF189" i="8"/>
  <c r="BD187" i="8"/>
  <c r="BI185" i="8"/>
  <c r="BE183" i="8"/>
  <c r="BB181" i="8"/>
  <c r="BV177" i="8"/>
  <c r="BH175" i="8"/>
  <c r="BO171" i="8"/>
  <c r="BC169" i="8"/>
  <c r="BH165" i="8"/>
  <c r="BL161" i="8"/>
  <c r="BV156" i="8"/>
  <c r="Q129" i="6"/>
  <c r="Q130" i="6" s="1"/>
  <c r="R213" i="6"/>
  <c r="R214" i="6" s="1"/>
  <c r="BL91" i="8"/>
  <c r="BD87" i="8"/>
  <c r="BZ87" i="8"/>
  <c r="BO87" i="8"/>
  <c r="BJ83" i="8"/>
  <c r="BZ105" i="8"/>
  <c r="BJ105" i="8"/>
  <c r="BT104" i="8"/>
  <c r="BD104" i="8"/>
  <c r="BN103" i="8"/>
  <c r="BV101" i="8"/>
  <c r="BF101" i="8"/>
  <c r="BP100" i="8"/>
  <c r="BZ99" i="8"/>
  <c r="BJ99" i="8"/>
  <c r="BP97" i="8"/>
  <c r="BU96" i="8"/>
  <c r="BZ95" i="8"/>
  <c r="BX92" i="8"/>
  <c r="BG91" i="8"/>
  <c r="BP88" i="8"/>
  <c r="BX85" i="8"/>
  <c r="CB83" i="8"/>
  <c r="BV105" i="8"/>
  <c r="BF105" i="8"/>
  <c r="BP104" i="8"/>
  <c r="BR101" i="8"/>
  <c r="CB100" i="8"/>
  <c r="BL100" i="8"/>
  <c r="BK97" i="8"/>
  <c r="BP96" i="8"/>
  <c r="BM190" i="8"/>
  <c r="BQ190" i="8"/>
  <c r="BI190" i="8"/>
  <c r="BH186" i="8"/>
  <c r="BL186" i="8"/>
  <c r="BW186" i="8"/>
  <c r="BV182" i="8"/>
  <c r="BD182" i="8"/>
  <c r="BN182" i="8"/>
  <c r="BX178" i="8"/>
  <c r="BD178" i="8"/>
  <c r="BN178" i="8"/>
  <c r="BY174" i="8"/>
  <c r="BM174" i="8"/>
  <c r="BC190" i="8"/>
  <c r="S128" i="6"/>
  <c r="BD93" i="8"/>
  <c r="BH93" i="8"/>
  <c r="BG89" i="8"/>
  <c r="BP89" i="8"/>
  <c r="BF89" i="8"/>
  <c r="CA89" i="8"/>
  <c r="BD85" i="8"/>
  <c r="BH85" i="8"/>
  <c r="BS85" i="8"/>
  <c r="BO77" i="8"/>
  <c r="BK77" i="8"/>
  <c r="BR105" i="8"/>
  <c r="CB104" i="8"/>
  <c r="BL104" i="8"/>
  <c r="BN101" i="8"/>
  <c r="BX100" i="8"/>
  <c r="BH100" i="8"/>
  <c r="BZ97" i="8"/>
  <c r="BF97" i="8"/>
  <c r="BJ96" i="8"/>
  <c r="BS93" i="8"/>
  <c r="BK89" i="8"/>
  <c r="BS81" i="8"/>
  <c r="BF92" i="8"/>
  <c r="BH92" i="8"/>
  <c r="BR92" i="8"/>
  <c r="BD88" i="8"/>
  <c r="BU88" i="8"/>
  <c r="BJ88" i="8"/>
  <c r="BF84" i="8"/>
  <c r="BH84" i="8"/>
  <c r="BR84" i="8"/>
  <c r="BI80" i="8"/>
  <c r="BM80" i="8"/>
  <c r="BQ76" i="8"/>
  <c r="BE76" i="8"/>
  <c r="BV68" i="8"/>
  <c r="BK68" i="8"/>
  <c r="BN105" i="8"/>
  <c r="BX104" i="8"/>
  <c r="BH104" i="8"/>
  <c r="BZ101" i="8"/>
  <c r="BJ101" i="8"/>
  <c r="BT100" i="8"/>
  <c r="BD100" i="8"/>
  <c r="BV97" i="8"/>
  <c r="BZ96" i="8"/>
  <c r="BE96" i="8"/>
  <c r="BN93" i="8"/>
  <c r="BZ88" i="8"/>
  <c r="BM84" i="8"/>
  <c r="BE73" i="8"/>
  <c r="BF49" i="8"/>
  <c r="BB192" i="8"/>
  <c r="BF192" i="8"/>
  <c r="BO188" i="8"/>
  <c r="BK188" i="8"/>
  <c r="BS188" i="8"/>
  <c r="BE188" i="8"/>
  <c r="BB184" i="8"/>
  <c r="BO184" i="8"/>
  <c r="BX184" i="8"/>
  <c r="BG184" i="8"/>
  <c r="BB180" i="8"/>
  <c r="BP180" i="8"/>
  <c r="BX180" i="8"/>
  <c r="BG180" i="8"/>
  <c r="BP176" i="8"/>
  <c r="BK176" i="8"/>
  <c r="BH172" i="8"/>
  <c r="BO172" i="8"/>
  <c r="BT168" i="8"/>
  <c r="BB168" i="8"/>
  <c r="BN168" i="8"/>
  <c r="BS164" i="8"/>
  <c r="BE164" i="8"/>
  <c r="BG160" i="8"/>
  <c r="BP186" i="8"/>
  <c r="BJ153" i="8"/>
  <c r="BX191" i="8"/>
  <c r="BP191" i="8"/>
  <c r="BJ191" i="8"/>
  <c r="BC191" i="8"/>
  <c r="BX189" i="8"/>
  <c r="BR189" i="8"/>
  <c r="BM189" i="8"/>
  <c r="BH189" i="8"/>
  <c r="BB189" i="8"/>
  <c r="BT187" i="8"/>
  <c r="BN187" i="8"/>
  <c r="BG187" i="8"/>
  <c r="BZ185" i="8"/>
  <c r="BP185" i="8"/>
  <c r="BJ185" i="8"/>
  <c r="BE185" i="8"/>
  <c r="BQ183" i="8"/>
  <c r="BG183" i="8"/>
  <c r="BY181" i="8"/>
  <c r="BR181" i="8"/>
  <c r="BJ181" i="8"/>
  <c r="BC181" i="8"/>
  <c r="BQ179" i="8"/>
  <c r="BG179" i="8"/>
  <c r="BW177" i="8"/>
  <c r="BQ177" i="8"/>
  <c r="BI177" i="8"/>
  <c r="BB177" i="8"/>
  <c r="BX175" i="8"/>
  <c r="BI175" i="8"/>
  <c r="BR173" i="8"/>
  <c r="BJ173" i="8"/>
  <c r="BS171" i="8"/>
  <c r="BD171" i="8"/>
  <c r="BY169" i="8"/>
  <c r="BO169" i="8"/>
  <c r="BE169" i="8"/>
  <c r="BX167" i="8"/>
  <c r="BH167" i="8"/>
  <c r="BV165" i="8"/>
  <c r="BJ165" i="8"/>
  <c r="BL163" i="8"/>
  <c r="BM161" i="8"/>
  <c r="BJ159" i="8"/>
  <c r="BF157" i="8"/>
  <c r="BL155" i="8"/>
  <c r="D39" i="3"/>
  <c r="BY153" i="8"/>
  <c r="BP153" i="8"/>
  <c r="BF153" i="8"/>
  <c r="BT191" i="8"/>
  <c r="BN191" i="8"/>
  <c r="BF191" i="8"/>
  <c r="BZ189" i="8"/>
  <c r="BP189" i="8"/>
  <c r="BJ189" i="8"/>
  <c r="BE189" i="8"/>
  <c r="BX187" i="8"/>
  <c r="BR187" i="8"/>
  <c r="BJ187" i="8"/>
  <c r="BC187" i="8"/>
  <c r="BX185" i="8"/>
  <c r="BR185" i="8"/>
  <c r="BM185" i="8"/>
  <c r="BH185" i="8"/>
  <c r="BL183" i="8"/>
  <c r="BC183" i="8"/>
  <c r="BN181" i="8"/>
  <c r="BG181" i="8"/>
  <c r="BL179" i="8"/>
  <c r="BD179" i="8"/>
  <c r="BS177" i="8"/>
  <c r="BM177" i="8"/>
  <c r="BF177" i="8"/>
  <c r="BP175" i="8"/>
  <c r="BD175" i="8"/>
  <c r="BW173" i="8"/>
  <c r="BO173" i="8"/>
  <c r="BE173" i="8"/>
  <c r="BX171" i="8"/>
  <c r="BL171" i="8"/>
  <c r="BS169" i="8"/>
  <c r="BJ169" i="8"/>
  <c r="BP167" i="8"/>
  <c r="BQ165" i="8"/>
  <c r="BB165" i="8"/>
  <c r="BS163" i="8"/>
  <c r="BC163" i="8"/>
  <c r="BX161" i="8"/>
  <c r="BF161" i="8"/>
  <c r="BX159" i="8"/>
  <c r="BL157" i="8"/>
  <c r="BX155" i="8"/>
  <c r="BD155" i="8"/>
  <c r="D37" i="3"/>
  <c r="E37" i="3" s="1"/>
  <c r="F37" i="3" s="1"/>
  <c r="BV153" i="8"/>
  <c r="BN153" i="8"/>
  <c r="BZ191" i="8"/>
  <c r="BS191" i="8"/>
  <c r="BK191" i="8"/>
  <c r="BY189" i="8"/>
  <c r="BT189" i="8"/>
  <c r="BN189" i="8"/>
  <c r="BI189" i="8"/>
  <c r="BW187" i="8"/>
  <c r="BO187" i="8"/>
  <c r="BH187" i="8"/>
  <c r="BV185" i="8"/>
  <c r="BQ185" i="8"/>
  <c r="BL185" i="8"/>
  <c r="BS183" i="8"/>
  <c r="BZ181" i="8"/>
  <c r="BS181" i="8"/>
  <c r="BM181" i="8"/>
  <c r="BT179" i="8"/>
  <c r="BY177" i="8"/>
  <c r="BR177" i="8"/>
  <c r="BK177" i="8"/>
  <c r="BY175" i="8"/>
  <c r="BV173" i="8"/>
  <c r="BK173" i="8"/>
  <c r="BW171" i="8"/>
  <c r="BZ169" i="8"/>
  <c r="BQ169" i="8"/>
  <c r="BZ165" i="8"/>
  <c r="BO163" i="8"/>
  <c r="BT161" i="8"/>
  <c r="BZ157" i="8"/>
  <c r="T105" i="2"/>
  <c r="I110" i="2" a="1"/>
  <c r="I110" i="2" s="1"/>
  <c r="M110" i="2" a="1"/>
  <c r="M110" i="2" s="1"/>
  <c r="G115" i="2" a="1"/>
  <c r="G115" i="2" s="1"/>
  <c r="K115" i="2" a="1"/>
  <c r="K115" i="2" s="1"/>
  <c r="G125" i="2" a="1"/>
  <c r="G125" i="2" s="1"/>
  <c r="K125" i="2" a="1"/>
  <c r="K125" i="2" s="1"/>
  <c r="G120" i="2" a="1"/>
  <c r="G120" i="2" s="1"/>
  <c r="F110" i="2" a="1"/>
  <c r="F110" i="2" s="1"/>
  <c r="J110" i="2" a="1"/>
  <c r="J110" i="2" s="1"/>
  <c r="N110" i="2" a="1"/>
  <c r="N110" i="2" s="1"/>
  <c r="H115" i="2" a="1"/>
  <c r="H115" i="2" s="1"/>
  <c r="L115" i="2" a="1"/>
  <c r="L115" i="2" s="1"/>
  <c r="H125" i="2" a="1"/>
  <c r="H125" i="2" s="1"/>
  <c r="L125" i="2" a="1"/>
  <c r="L125" i="2" s="1"/>
  <c r="H120" i="2" a="1"/>
  <c r="H120" i="2" s="1"/>
  <c r="G110" i="2" a="1"/>
  <c r="G110" i="2" s="1"/>
  <c r="K110" i="2" a="1"/>
  <c r="K110" i="2" s="1"/>
  <c r="E110" i="2" a="1"/>
  <c r="E110" i="2" s="1"/>
  <c r="I115" i="2" a="1"/>
  <c r="I115" i="2" s="1"/>
  <c r="E115" i="2" a="1"/>
  <c r="E115" i="2" s="1"/>
  <c r="I125" i="2" a="1"/>
  <c r="I125" i="2" s="1"/>
  <c r="E125" i="2" a="1"/>
  <c r="E125" i="2" s="1"/>
  <c r="I120" i="2" a="1"/>
  <c r="I120" i="2" s="1"/>
  <c r="H110" i="2" a="1"/>
  <c r="H110" i="2" s="1"/>
  <c r="L110" i="2" a="1"/>
  <c r="L110" i="2" s="1"/>
  <c r="F115" i="2" a="1"/>
  <c r="F115" i="2" s="1"/>
  <c r="J115" i="2" a="1"/>
  <c r="J115" i="2" s="1"/>
  <c r="F125" i="2" a="1"/>
  <c r="F125" i="2" s="1"/>
  <c r="J125" i="2" a="1"/>
  <c r="J125" i="2" s="1"/>
  <c r="F120" i="2" a="1"/>
  <c r="F120" i="2" s="1"/>
  <c r="E120" i="2" a="1"/>
  <c r="E120" i="2" s="1"/>
  <c r="J135" i="2" a="1"/>
  <c r="J135" i="2" s="1"/>
  <c r="K135" i="2" a="1"/>
  <c r="K135" i="2" s="1"/>
  <c r="G135" i="2" a="1"/>
  <c r="G135" i="2" s="1"/>
  <c r="F135" i="2" a="1"/>
  <c r="F135" i="2" s="1"/>
  <c r="H135" i="2" a="1"/>
  <c r="H135" i="2" s="1"/>
  <c r="E135" i="2" a="1"/>
  <c r="E135" i="2" s="1"/>
  <c r="I135" i="2" a="1"/>
  <c r="I135" i="2" s="1"/>
  <c r="C127" i="2"/>
  <c r="C117" i="2"/>
  <c r="C112" i="2"/>
  <c r="C107" i="2"/>
  <c r="C122" i="2"/>
  <c r="BG94" i="8"/>
  <c r="BK94" i="8"/>
  <c r="BO94" i="8"/>
  <c r="BS94" i="8"/>
  <c r="CA94" i="8"/>
  <c r="BG86" i="8"/>
  <c r="BK86" i="8"/>
  <c r="BO86" i="8"/>
  <c r="BS86" i="8"/>
  <c r="CA86" i="8"/>
  <c r="BF78" i="8"/>
  <c r="BJ78" i="8"/>
  <c r="BN78" i="8"/>
  <c r="BR78" i="8"/>
  <c r="BV78" i="8"/>
  <c r="BZ78" i="8"/>
  <c r="BG78" i="8"/>
  <c r="BK78" i="8"/>
  <c r="BO78" i="8"/>
  <c r="BS78" i="8"/>
  <c r="CA78" i="8"/>
  <c r="BD78" i="8"/>
  <c r="BH78" i="8"/>
  <c r="BL78" i="8"/>
  <c r="BP78" i="8"/>
  <c r="BT78" i="8"/>
  <c r="BX78" i="8"/>
  <c r="CB78" i="8"/>
  <c r="BE62" i="8"/>
  <c r="BI62" i="8"/>
  <c r="BM62" i="8"/>
  <c r="BQ62" i="8"/>
  <c r="BU62" i="8"/>
  <c r="BY62" i="8"/>
  <c r="BG62" i="8"/>
  <c r="BL62" i="8"/>
  <c r="BR62" i="8"/>
  <c r="CB62" i="8"/>
  <c r="BH62" i="8"/>
  <c r="BN62" i="8"/>
  <c r="BS62" i="8"/>
  <c r="BX62" i="8"/>
  <c r="BF62" i="8"/>
  <c r="BK62" i="8"/>
  <c r="BP62" i="8"/>
  <c r="BV62" i="8"/>
  <c r="CA62" i="8"/>
  <c r="BO62" i="8"/>
  <c r="BT62" i="8"/>
  <c r="BD62" i="8"/>
  <c r="BZ62" i="8"/>
  <c r="BE50" i="8"/>
  <c r="BI50" i="8"/>
  <c r="BM50" i="8"/>
  <c r="BQ50" i="8"/>
  <c r="BU50" i="8"/>
  <c r="BY50" i="8"/>
  <c r="BD50" i="8"/>
  <c r="BJ50" i="8"/>
  <c r="BO50" i="8"/>
  <c r="BT50" i="8"/>
  <c r="BZ50" i="8"/>
  <c r="BF50" i="8"/>
  <c r="BK50" i="8"/>
  <c r="BP50" i="8"/>
  <c r="BV50" i="8"/>
  <c r="CA50" i="8"/>
  <c r="BH50" i="8"/>
  <c r="BN50" i="8"/>
  <c r="BS50" i="8"/>
  <c r="BX50" i="8"/>
  <c r="BG50" i="8"/>
  <c r="CB50" i="8"/>
  <c r="BL50" i="8"/>
  <c r="BR50" i="8"/>
  <c r="BF38" i="8"/>
  <c r="BJ38" i="8"/>
  <c r="BN38" i="8"/>
  <c r="BR38" i="8"/>
  <c r="BV38" i="8"/>
  <c r="BZ38" i="8"/>
  <c r="BG38" i="8"/>
  <c r="BL38" i="8"/>
  <c r="BQ38" i="8"/>
  <c r="CB38" i="8"/>
  <c r="BI38" i="8"/>
  <c r="BP38" i="8"/>
  <c r="BX38" i="8"/>
  <c r="BE38" i="8"/>
  <c r="BO38" i="8"/>
  <c r="BY38" i="8"/>
  <c r="BH38" i="8"/>
  <c r="BS38" i="8"/>
  <c r="CA38" i="8"/>
  <c r="BD38" i="8"/>
  <c r="BM38" i="8"/>
  <c r="BU38" i="8"/>
  <c r="BK38" i="8"/>
  <c r="BT38" i="8"/>
  <c r="BF22" i="8"/>
  <c r="BJ22" i="8"/>
  <c r="BN22" i="8"/>
  <c r="BR22" i="8"/>
  <c r="BV22" i="8"/>
  <c r="BZ22" i="8"/>
  <c r="BG22" i="8"/>
  <c r="BL22" i="8"/>
  <c r="BQ22" i="8"/>
  <c r="CB22" i="8"/>
  <c r="BI22" i="8"/>
  <c r="BP22" i="8"/>
  <c r="BX22" i="8"/>
  <c r="BE22" i="8"/>
  <c r="BM22" i="8"/>
  <c r="BT22" i="8"/>
  <c r="CA22" i="8"/>
  <c r="BD22" i="8"/>
  <c r="BS22" i="8"/>
  <c r="BH22" i="8"/>
  <c r="BU22" i="8"/>
  <c r="BO22" i="8"/>
  <c r="BK22" i="8"/>
  <c r="BY22" i="8"/>
  <c r="BF10" i="8"/>
  <c r="BJ10" i="8"/>
  <c r="BN10" i="8"/>
  <c r="BR10" i="8"/>
  <c r="BV10" i="8"/>
  <c r="BZ10" i="8"/>
  <c r="BD10" i="8"/>
  <c r="BI10" i="8"/>
  <c r="BO10" i="8"/>
  <c r="BT10" i="8"/>
  <c r="BY10" i="8"/>
  <c r="BH10" i="8"/>
  <c r="BP10" i="8"/>
  <c r="BE10" i="8"/>
  <c r="BL10" i="8"/>
  <c r="BS10" i="8"/>
  <c r="CA10" i="8"/>
  <c r="BQ10" i="8"/>
  <c r="BG10" i="8"/>
  <c r="BU10" i="8"/>
  <c r="BM10" i="8"/>
  <c r="CB10" i="8"/>
  <c r="BX10" i="8"/>
  <c r="BX106" i="8"/>
  <c r="BT102" i="8"/>
  <c r="CB98" i="8"/>
  <c r="BP98" i="8"/>
  <c r="BV90" i="8"/>
  <c r="BT86" i="8"/>
  <c r="BI86" i="8"/>
  <c r="CB82" i="8"/>
  <c r="BI82" i="8"/>
  <c r="AZ107" i="8"/>
  <c r="BU107" i="8" s="1"/>
  <c r="BE95" i="8"/>
  <c r="BI95" i="8"/>
  <c r="BM95" i="8"/>
  <c r="BQ95" i="8"/>
  <c r="BU95" i="8"/>
  <c r="BY95" i="8"/>
  <c r="BE91" i="8"/>
  <c r="BI91" i="8"/>
  <c r="BM91" i="8"/>
  <c r="BQ91" i="8"/>
  <c r="BU91" i="8"/>
  <c r="BY91" i="8"/>
  <c r="BE87" i="8"/>
  <c r="BI87" i="8"/>
  <c r="BM87" i="8"/>
  <c r="BQ87" i="8"/>
  <c r="BU87" i="8"/>
  <c r="BY87" i="8"/>
  <c r="BD83" i="8"/>
  <c r="BH83" i="8"/>
  <c r="BL83" i="8"/>
  <c r="BP83" i="8"/>
  <c r="BE83" i="8"/>
  <c r="BI83" i="8"/>
  <c r="BM83" i="8"/>
  <c r="BQ83" i="8"/>
  <c r="BU83" i="8"/>
  <c r="BY83" i="8"/>
  <c r="BD79" i="8"/>
  <c r="BH79" i="8"/>
  <c r="BL79" i="8"/>
  <c r="BP79" i="8"/>
  <c r="BT79" i="8"/>
  <c r="BX79" i="8"/>
  <c r="CB79" i="8"/>
  <c r="BE79" i="8"/>
  <c r="BI79" i="8"/>
  <c r="BM79" i="8"/>
  <c r="BQ79" i="8"/>
  <c r="BU79" i="8"/>
  <c r="BY79" i="8"/>
  <c r="BF79" i="8"/>
  <c r="BJ79" i="8"/>
  <c r="BN79" i="8"/>
  <c r="BR79" i="8"/>
  <c r="BV79" i="8"/>
  <c r="BZ79" i="8"/>
  <c r="BD75" i="8"/>
  <c r="BH75" i="8"/>
  <c r="BL75" i="8"/>
  <c r="BP75" i="8"/>
  <c r="BT75" i="8"/>
  <c r="BX75" i="8"/>
  <c r="CB75" i="8"/>
  <c r="BE75" i="8"/>
  <c r="BI75" i="8"/>
  <c r="BM75" i="8"/>
  <c r="BQ75" i="8"/>
  <c r="BU75" i="8"/>
  <c r="BY75" i="8"/>
  <c r="BF75" i="8"/>
  <c r="BJ75" i="8"/>
  <c r="BN75" i="8"/>
  <c r="BR75" i="8"/>
  <c r="BV75" i="8"/>
  <c r="BZ75" i="8"/>
  <c r="BG71" i="8"/>
  <c r="BK71" i="8"/>
  <c r="BO71" i="8"/>
  <c r="BS71" i="8"/>
  <c r="CA71" i="8"/>
  <c r="BE71" i="8"/>
  <c r="BJ71" i="8"/>
  <c r="BP71" i="8"/>
  <c r="BU71" i="8"/>
  <c r="BZ71" i="8"/>
  <c r="BD71" i="8"/>
  <c r="BI71" i="8"/>
  <c r="BN71" i="8"/>
  <c r="BT71" i="8"/>
  <c r="BY71" i="8"/>
  <c r="BL71" i="8"/>
  <c r="BV71" i="8"/>
  <c r="BM71" i="8"/>
  <c r="BX71" i="8"/>
  <c r="BF71" i="8"/>
  <c r="BQ71" i="8"/>
  <c r="CB71" i="8"/>
  <c r="BG67" i="8"/>
  <c r="BK67" i="8"/>
  <c r="BO67" i="8"/>
  <c r="BS67" i="8"/>
  <c r="CA67" i="8"/>
  <c r="BH67" i="8"/>
  <c r="BM67" i="8"/>
  <c r="BR67" i="8"/>
  <c r="BX67" i="8"/>
  <c r="BF67" i="8"/>
  <c r="BL67" i="8"/>
  <c r="BQ67" i="8"/>
  <c r="BV67" i="8"/>
  <c r="CB67" i="8"/>
  <c r="BI67" i="8"/>
  <c r="BT67" i="8"/>
  <c r="BJ67" i="8"/>
  <c r="BU67" i="8"/>
  <c r="BD67" i="8"/>
  <c r="BN67" i="8"/>
  <c r="BY67" i="8"/>
  <c r="BG63" i="8"/>
  <c r="BK63" i="8"/>
  <c r="BO63" i="8"/>
  <c r="BS63" i="8"/>
  <c r="CA63" i="8"/>
  <c r="BH63" i="8"/>
  <c r="BM63" i="8"/>
  <c r="BR63" i="8"/>
  <c r="BX63" i="8"/>
  <c r="BD63" i="8"/>
  <c r="BI63" i="8"/>
  <c r="BN63" i="8"/>
  <c r="BT63" i="8"/>
  <c r="BY63" i="8"/>
  <c r="BF63" i="8"/>
  <c r="BL63" i="8"/>
  <c r="BQ63" i="8"/>
  <c r="BV63" i="8"/>
  <c r="CB63" i="8"/>
  <c r="BJ63" i="8"/>
  <c r="BP63" i="8"/>
  <c r="BU63" i="8"/>
  <c r="BG59" i="8"/>
  <c r="BK59" i="8"/>
  <c r="BO59" i="8"/>
  <c r="BS59" i="8"/>
  <c r="CA59" i="8"/>
  <c r="BE59" i="8"/>
  <c r="BJ59" i="8"/>
  <c r="BP59" i="8"/>
  <c r="BU59" i="8"/>
  <c r="BZ59" i="8"/>
  <c r="BF59" i="8"/>
  <c r="BL59" i="8"/>
  <c r="BQ59" i="8"/>
  <c r="BV59" i="8"/>
  <c r="CB59" i="8"/>
  <c r="BD59" i="8"/>
  <c r="BI59" i="8"/>
  <c r="BN59" i="8"/>
  <c r="BT59" i="8"/>
  <c r="BY59" i="8"/>
  <c r="BH59" i="8"/>
  <c r="BM59" i="8"/>
  <c r="BR59" i="8"/>
  <c r="BG55" i="8"/>
  <c r="BK55" i="8"/>
  <c r="BO55" i="8"/>
  <c r="BS55" i="8"/>
  <c r="CA55" i="8"/>
  <c r="BH55" i="8"/>
  <c r="BM55" i="8"/>
  <c r="BR55" i="8"/>
  <c r="BX55" i="8"/>
  <c r="BD55" i="8"/>
  <c r="BI55" i="8"/>
  <c r="BN55" i="8"/>
  <c r="BT55" i="8"/>
  <c r="BY55" i="8"/>
  <c r="BF55" i="8"/>
  <c r="BL55" i="8"/>
  <c r="BQ55" i="8"/>
  <c r="BV55" i="8"/>
  <c r="CB55" i="8"/>
  <c r="BE55" i="8"/>
  <c r="BZ55" i="8"/>
  <c r="BJ55" i="8"/>
  <c r="BP55" i="8"/>
  <c r="BG51" i="8"/>
  <c r="BK51" i="8"/>
  <c r="BO51" i="8"/>
  <c r="BS51" i="8"/>
  <c r="CA51" i="8"/>
  <c r="BE51" i="8"/>
  <c r="BJ51" i="8"/>
  <c r="BP51" i="8"/>
  <c r="BU51" i="8"/>
  <c r="BZ51" i="8"/>
  <c r="BF51" i="8"/>
  <c r="BL51" i="8"/>
  <c r="BQ51" i="8"/>
  <c r="BV51" i="8"/>
  <c r="CB51" i="8"/>
  <c r="BD51" i="8"/>
  <c r="BI51" i="8"/>
  <c r="BN51" i="8"/>
  <c r="BT51" i="8"/>
  <c r="BY51" i="8"/>
  <c r="BX51" i="8"/>
  <c r="BH51" i="8"/>
  <c r="BM51" i="8"/>
  <c r="BG47" i="8"/>
  <c r="BK47" i="8"/>
  <c r="BO47" i="8"/>
  <c r="BS47" i="8"/>
  <c r="CA47" i="8"/>
  <c r="BH47" i="8"/>
  <c r="BM47" i="8"/>
  <c r="BR47" i="8"/>
  <c r="BX47" i="8"/>
  <c r="BD47" i="8"/>
  <c r="BI47" i="8"/>
  <c r="BN47" i="8"/>
  <c r="BT47" i="8"/>
  <c r="BY47" i="8"/>
  <c r="BF47" i="8"/>
  <c r="BL47" i="8"/>
  <c r="BQ47" i="8"/>
  <c r="BV47" i="8"/>
  <c r="CB47" i="8"/>
  <c r="BU47" i="8"/>
  <c r="BE47" i="8"/>
  <c r="BZ47" i="8"/>
  <c r="BJ47" i="8"/>
  <c r="BG43" i="8"/>
  <c r="BK43" i="8"/>
  <c r="BO43" i="8"/>
  <c r="BS43" i="8"/>
  <c r="CA43" i="8"/>
  <c r="BE43" i="8"/>
  <c r="BJ43" i="8"/>
  <c r="BP43" i="8"/>
  <c r="BU43" i="8"/>
  <c r="BZ43" i="8"/>
  <c r="BF43" i="8"/>
  <c r="BL43" i="8"/>
  <c r="BQ43" i="8"/>
  <c r="BV43" i="8"/>
  <c r="CB43" i="8"/>
  <c r="BD43" i="8"/>
  <c r="BI43" i="8"/>
  <c r="BN43" i="8"/>
  <c r="BT43" i="8"/>
  <c r="BY43" i="8"/>
  <c r="BR43" i="8"/>
  <c r="BX43" i="8"/>
  <c r="BH43" i="8"/>
  <c r="BD39" i="8"/>
  <c r="BG39" i="8"/>
  <c r="BK39" i="8"/>
  <c r="BO39" i="8"/>
  <c r="BS39" i="8"/>
  <c r="CA39" i="8"/>
  <c r="BE39" i="8"/>
  <c r="BJ39" i="8"/>
  <c r="BP39" i="8"/>
  <c r="BU39" i="8"/>
  <c r="BZ39" i="8"/>
  <c r="BH39" i="8"/>
  <c r="BN39" i="8"/>
  <c r="BV39" i="8"/>
  <c r="BI39" i="8"/>
  <c r="BQ39" i="8"/>
  <c r="BX39" i="8"/>
  <c r="BF39" i="8"/>
  <c r="BM39" i="8"/>
  <c r="BT39" i="8"/>
  <c r="CB39" i="8"/>
  <c r="BR39" i="8"/>
  <c r="BY39" i="8"/>
  <c r="BD35" i="8"/>
  <c r="BH35" i="8"/>
  <c r="BL35" i="8"/>
  <c r="BP35" i="8"/>
  <c r="BT35" i="8"/>
  <c r="BX35" i="8"/>
  <c r="CB35" i="8"/>
  <c r="BE35" i="8"/>
  <c r="BJ35" i="8"/>
  <c r="BO35" i="8"/>
  <c r="BU35" i="8"/>
  <c r="BZ35" i="8"/>
  <c r="BI35" i="8"/>
  <c r="BQ35" i="8"/>
  <c r="BG35" i="8"/>
  <c r="BR35" i="8"/>
  <c r="CA35" i="8"/>
  <c r="BK35" i="8"/>
  <c r="BS35" i="8"/>
  <c r="BF35" i="8"/>
  <c r="BN35" i="8"/>
  <c r="BY35" i="8"/>
  <c r="BM35" i="8"/>
  <c r="BV35" i="8"/>
  <c r="BD31" i="8"/>
  <c r="BH31" i="8"/>
  <c r="BL31" i="8"/>
  <c r="BP31" i="8"/>
  <c r="BT31" i="8"/>
  <c r="BX31" i="8"/>
  <c r="CB31" i="8"/>
  <c r="BG31" i="8"/>
  <c r="BM31" i="8"/>
  <c r="BR31" i="8"/>
  <c r="BJ31" i="8"/>
  <c r="BQ31" i="8"/>
  <c r="BY31" i="8"/>
  <c r="BF31" i="8"/>
  <c r="BN31" i="8"/>
  <c r="BU31" i="8"/>
  <c r="CA31" i="8"/>
  <c r="BK31" i="8"/>
  <c r="BZ31" i="8"/>
  <c r="BO31" i="8"/>
  <c r="BI31" i="8"/>
  <c r="BV31" i="8"/>
  <c r="BE31" i="8"/>
  <c r="BS31" i="8"/>
  <c r="BD27" i="8"/>
  <c r="BH27" i="8"/>
  <c r="BL27" i="8"/>
  <c r="BP27" i="8"/>
  <c r="BT27" i="8"/>
  <c r="BX27" i="8"/>
  <c r="CB27" i="8"/>
  <c r="BE27" i="8"/>
  <c r="BJ27" i="8"/>
  <c r="BO27" i="8"/>
  <c r="BU27" i="8"/>
  <c r="BZ27" i="8"/>
  <c r="BG27" i="8"/>
  <c r="BN27" i="8"/>
  <c r="BV27" i="8"/>
  <c r="BK27" i="8"/>
  <c r="BR27" i="8"/>
  <c r="BY27" i="8"/>
  <c r="BQ27" i="8"/>
  <c r="BF27" i="8"/>
  <c r="BS27" i="8"/>
  <c r="BM27" i="8"/>
  <c r="CA27" i="8"/>
  <c r="BI27" i="8"/>
  <c r="BD23" i="8"/>
  <c r="BH23" i="8"/>
  <c r="BL23" i="8"/>
  <c r="BP23" i="8"/>
  <c r="BT23" i="8"/>
  <c r="BX23" i="8"/>
  <c r="CB23" i="8"/>
  <c r="BG23" i="8"/>
  <c r="BM23" i="8"/>
  <c r="BR23" i="8"/>
  <c r="BE23" i="8"/>
  <c r="BK23" i="8"/>
  <c r="BS23" i="8"/>
  <c r="BZ23" i="8"/>
  <c r="BI23" i="8"/>
  <c r="BO23" i="8"/>
  <c r="BV23" i="8"/>
  <c r="BF23" i="8"/>
  <c r="BU23" i="8"/>
  <c r="BJ23" i="8"/>
  <c r="BY23" i="8"/>
  <c r="BQ23" i="8"/>
  <c r="CA23" i="8"/>
  <c r="BD19" i="8"/>
  <c r="BH19" i="8"/>
  <c r="BL19" i="8"/>
  <c r="BP19" i="8"/>
  <c r="BT19" i="8"/>
  <c r="BX19" i="8"/>
  <c r="CB19" i="8"/>
  <c r="BE19" i="8"/>
  <c r="BJ19" i="8"/>
  <c r="BO19" i="8"/>
  <c r="BU19" i="8"/>
  <c r="BZ19" i="8"/>
  <c r="BI19" i="8"/>
  <c r="BQ19" i="8"/>
  <c r="BF19" i="8"/>
  <c r="BM19" i="8"/>
  <c r="BS19" i="8"/>
  <c r="CA19" i="8"/>
  <c r="BK19" i="8"/>
  <c r="BY19" i="8"/>
  <c r="BN19" i="8"/>
  <c r="BG19" i="8"/>
  <c r="BV19" i="8"/>
  <c r="BR19" i="8"/>
  <c r="BD15" i="8"/>
  <c r="BH15" i="8"/>
  <c r="BL15" i="8"/>
  <c r="BP15" i="8"/>
  <c r="BT15" i="8"/>
  <c r="BX15" i="8"/>
  <c r="CB15" i="8"/>
  <c r="BG15" i="8"/>
  <c r="BM15" i="8"/>
  <c r="BR15" i="8"/>
  <c r="BF15" i="8"/>
  <c r="BN15" i="8"/>
  <c r="BU15" i="8"/>
  <c r="CA15" i="8"/>
  <c r="BJ15" i="8"/>
  <c r="BQ15" i="8"/>
  <c r="BY15" i="8"/>
  <c r="BO15" i="8"/>
  <c r="BE15" i="8"/>
  <c r="BS15" i="8"/>
  <c r="BK15" i="8"/>
  <c r="BZ15" i="8"/>
  <c r="BI15" i="8"/>
  <c r="BV15" i="8"/>
  <c r="BD11" i="8"/>
  <c r="BH11" i="8"/>
  <c r="BL11" i="8"/>
  <c r="BP11" i="8"/>
  <c r="BT11" i="8"/>
  <c r="BX11" i="8"/>
  <c r="CB11" i="8"/>
  <c r="BE11" i="8"/>
  <c r="BJ11" i="8"/>
  <c r="BO11" i="8"/>
  <c r="BU11" i="8"/>
  <c r="BZ11" i="8"/>
  <c r="BK11" i="8"/>
  <c r="BR11" i="8"/>
  <c r="BY11" i="8"/>
  <c r="BG11" i="8"/>
  <c r="BN11" i="8"/>
  <c r="BV11" i="8"/>
  <c r="BF11" i="8"/>
  <c r="BS11" i="8"/>
  <c r="BI11" i="8"/>
  <c r="BQ11" i="8"/>
  <c r="BM11" i="8"/>
  <c r="CA11" i="8"/>
  <c r="BY106" i="8"/>
  <c r="BU106" i="8"/>
  <c r="BQ106" i="8"/>
  <c r="BM106" i="8"/>
  <c r="BI106" i="8"/>
  <c r="BE106" i="8"/>
  <c r="CA105" i="8"/>
  <c r="BS105" i="8"/>
  <c r="BO105" i="8"/>
  <c r="BK105" i="8"/>
  <c r="BG105" i="8"/>
  <c r="BY104" i="8"/>
  <c r="BU104" i="8"/>
  <c r="BQ104" i="8"/>
  <c r="BM104" i="8"/>
  <c r="BI104" i="8"/>
  <c r="BE104" i="8"/>
  <c r="CA103" i="8"/>
  <c r="BS103" i="8"/>
  <c r="BO103" i="8"/>
  <c r="BK103" i="8"/>
  <c r="BG103" i="8"/>
  <c r="BY102" i="8"/>
  <c r="BU102" i="8"/>
  <c r="BQ102" i="8"/>
  <c r="BM102" i="8"/>
  <c r="BI102" i="8"/>
  <c r="BE102" i="8"/>
  <c r="CA101" i="8"/>
  <c r="BS101" i="8"/>
  <c r="BO101" i="8"/>
  <c r="BK101" i="8"/>
  <c r="BG101" i="8"/>
  <c r="BY100" i="8"/>
  <c r="BU100" i="8"/>
  <c r="BQ100" i="8"/>
  <c r="BM100" i="8"/>
  <c r="BI100" i="8"/>
  <c r="BE100" i="8"/>
  <c r="CA99" i="8"/>
  <c r="BS99" i="8"/>
  <c r="BO99" i="8"/>
  <c r="BK99" i="8"/>
  <c r="BG99" i="8"/>
  <c r="BY98" i="8"/>
  <c r="BU98" i="8"/>
  <c r="BQ98" i="8"/>
  <c r="BM98" i="8"/>
  <c r="BI98" i="8"/>
  <c r="BE98" i="8"/>
  <c r="CA97" i="8"/>
  <c r="BR97" i="8"/>
  <c r="BL97" i="8"/>
  <c r="CB96" i="8"/>
  <c r="BV96" i="8"/>
  <c r="BQ96" i="8"/>
  <c r="BL96" i="8"/>
  <c r="BF96" i="8"/>
  <c r="CA95" i="8"/>
  <c r="BV95" i="8"/>
  <c r="BP95" i="8"/>
  <c r="BK95" i="8"/>
  <c r="BF95" i="8"/>
  <c r="BZ94" i="8"/>
  <c r="BU94" i="8"/>
  <c r="BP94" i="8"/>
  <c r="BJ94" i="8"/>
  <c r="BE94" i="8"/>
  <c r="BZ93" i="8"/>
  <c r="BT93" i="8"/>
  <c r="BO93" i="8"/>
  <c r="BJ93" i="8"/>
  <c r="BY92" i="8"/>
  <c r="BT92" i="8"/>
  <c r="BN92" i="8"/>
  <c r="BI92" i="8"/>
  <c r="BD92" i="8"/>
  <c r="BX91" i="8"/>
  <c r="BS91" i="8"/>
  <c r="BN91" i="8"/>
  <c r="BH91" i="8"/>
  <c r="BX90" i="8"/>
  <c r="BR90" i="8"/>
  <c r="BM90" i="8"/>
  <c r="CB89" i="8"/>
  <c r="BR89" i="8"/>
  <c r="BL89" i="8"/>
  <c r="CB88" i="8"/>
  <c r="BV88" i="8"/>
  <c r="BQ88" i="8"/>
  <c r="BL88" i="8"/>
  <c r="BF88" i="8"/>
  <c r="CA87" i="8"/>
  <c r="BV87" i="8"/>
  <c r="BP87" i="8"/>
  <c r="BK87" i="8"/>
  <c r="BF87" i="8"/>
  <c r="BZ86" i="8"/>
  <c r="BU86" i="8"/>
  <c r="BP86" i="8"/>
  <c r="BJ86" i="8"/>
  <c r="BE86" i="8"/>
  <c r="BZ85" i="8"/>
  <c r="BT85" i="8"/>
  <c r="BO85" i="8"/>
  <c r="BJ85" i="8"/>
  <c r="BY84" i="8"/>
  <c r="BT84" i="8"/>
  <c r="BN84" i="8"/>
  <c r="BI84" i="8"/>
  <c r="BD84" i="8"/>
  <c r="BX83" i="8"/>
  <c r="BS83" i="8"/>
  <c r="BK83" i="8"/>
  <c r="BU82" i="8"/>
  <c r="BM82" i="8"/>
  <c r="BQ80" i="8"/>
  <c r="CA79" i="8"/>
  <c r="BK79" i="8"/>
  <c r="BU78" i="8"/>
  <c r="BE78" i="8"/>
  <c r="BY76" i="8"/>
  <c r="BI76" i="8"/>
  <c r="BS75" i="8"/>
  <c r="BH74" i="8"/>
  <c r="BE67" i="8"/>
  <c r="BE63" i="8"/>
  <c r="BX59" i="8"/>
  <c r="BM43" i="8"/>
  <c r="BL39" i="8"/>
  <c r="AZ193" i="8"/>
  <c r="BU193" i="8" s="1"/>
  <c r="BG90" i="8"/>
  <c r="BK90" i="8"/>
  <c r="BO90" i="8"/>
  <c r="BS90" i="8"/>
  <c r="CA90" i="8"/>
  <c r="BE70" i="8"/>
  <c r="BI70" i="8"/>
  <c r="BM70" i="8"/>
  <c r="BQ70" i="8"/>
  <c r="BU70" i="8"/>
  <c r="BY70" i="8"/>
  <c r="BD70" i="8"/>
  <c r="BJ70" i="8"/>
  <c r="BO70" i="8"/>
  <c r="BT70" i="8"/>
  <c r="BZ70" i="8"/>
  <c r="BH70" i="8"/>
  <c r="BN70" i="8"/>
  <c r="BS70" i="8"/>
  <c r="BX70" i="8"/>
  <c r="BF70" i="8"/>
  <c r="BP70" i="8"/>
  <c r="CA70" i="8"/>
  <c r="BG70" i="8"/>
  <c r="BR70" i="8"/>
  <c r="CB70" i="8"/>
  <c r="BK70" i="8"/>
  <c r="BV70" i="8"/>
  <c r="BE66" i="8"/>
  <c r="BI66" i="8"/>
  <c r="BM66" i="8"/>
  <c r="BQ66" i="8"/>
  <c r="BU66" i="8"/>
  <c r="BY66" i="8"/>
  <c r="BD66" i="8"/>
  <c r="BJ66" i="8"/>
  <c r="BO66" i="8"/>
  <c r="BT66" i="8"/>
  <c r="BZ66" i="8"/>
  <c r="BF66" i="8"/>
  <c r="BK66" i="8"/>
  <c r="BP66" i="8"/>
  <c r="BV66" i="8"/>
  <c r="CA66" i="8"/>
  <c r="BH66" i="8"/>
  <c r="BN66" i="8"/>
  <c r="BS66" i="8"/>
  <c r="BX66" i="8"/>
  <c r="BR66" i="8"/>
  <c r="BG66" i="8"/>
  <c r="CB66" i="8"/>
  <c r="BE54" i="8"/>
  <c r="BI54" i="8"/>
  <c r="BM54" i="8"/>
  <c r="BQ54" i="8"/>
  <c r="BU54" i="8"/>
  <c r="BY54" i="8"/>
  <c r="BG54" i="8"/>
  <c r="BL54" i="8"/>
  <c r="BR54" i="8"/>
  <c r="CB54" i="8"/>
  <c r="BH54" i="8"/>
  <c r="BN54" i="8"/>
  <c r="BS54" i="8"/>
  <c r="BX54" i="8"/>
  <c r="BF54" i="8"/>
  <c r="BK54" i="8"/>
  <c r="BP54" i="8"/>
  <c r="BV54" i="8"/>
  <c r="CA54" i="8"/>
  <c r="BJ54" i="8"/>
  <c r="BO54" i="8"/>
  <c r="BT54" i="8"/>
  <c r="BE42" i="8"/>
  <c r="BI42" i="8"/>
  <c r="BM42" i="8"/>
  <c r="BQ42" i="8"/>
  <c r="BU42" i="8"/>
  <c r="BY42" i="8"/>
  <c r="BG42" i="8"/>
  <c r="BL42" i="8"/>
  <c r="BH42" i="8"/>
  <c r="BO42" i="8"/>
  <c r="BT42" i="8"/>
  <c r="BZ42" i="8"/>
  <c r="BJ42" i="8"/>
  <c r="BP42" i="8"/>
  <c r="BV42" i="8"/>
  <c r="CA42" i="8"/>
  <c r="BF42" i="8"/>
  <c r="BN42" i="8"/>
  <c r="BS42" i="8"/>
  <c r="BX42" i="8"/>
  <c r="BD42" i="8"/>
  <c r="CB42" i="8"/>
  <c r="BK42" i="8"/>
  <c r="BF30" i="8"/>
  <c r="BJ30" i="8"/>
  <c r="BN30" i="8"/>
  <c r="BR30" i="8"/>
  <c r="BV30" i="8"/>
  <c r="BZ30" i="8"/>
  <c r="BG30" i="8"/>
  <c r="BL30" i="8"/>
  <c r="BQ30" i="8"/>
  <c r="CB30" i="8"/>
  <c r="BH30" i="8"/>
  <c r="BO30" i="8"/>
  <c r="BU30" i="8"/>
  <c r="BD30" i="8"/>
  <c r="BK30" i="8"/>
  <c r="BS30" i="8"/>
  <c r="BY30" i="8"/>
  <c r="BI30" i="8"/>
  <c r="BX30" i="8"/>
  <c r="BM30" i="8"/>
  <c r="CA30" i="8"/>
  <c r="BE30" i="8"/>
  <c r="BT30" i="8"/>
  <c r="BP30" i="8"/>
  <c r="BF18" i="8"/>
  <c r="BJ18" i="8"/>
  <c r="BN18" i="8"/>
  <c r="BR18" i="8"/>
  <c r="BV18" i="8"/>
  <c r="BZ18" i="8"/>
  <c r="BD18" i="8"/>
  <c r="BI18" i="8"/>
  <c r="BO18" i="8"/>
  <c r="BT18" i="8"/>
  <c r="BY18" i="8"/>
  <c r="BG18" i="8"/>
  <c r="BM18" i="8"/>
  <c r="BU18" i="8"/>
  <c r="CB18" i="8"/>
  <c r="BK18" i="8"/>
  <c r="BQ18" i="8"/>
  <c r="BX18" i="8"/>
  <c r="BH18" i="8"/>
  <c r="BL18" i="8"/>
  <c r="CA18" i="8"/>
  <c r="BE18" i="8"/>
  <c r="BS18" i="8"/>
  <c r="BP18" i="8"/>
  <c r="CB106" i="8"/>
  <c r="BP106" i="8"/>
  <c r="BH106" i="8"/>
  <c r="BX102" i="8"/>
  <c r="BL102" i="8"/>
  <c r="BX98" i="8"/>
  <c r="BH98" i="8"/>
  <c r="BY94" i="8"/>
  <c r="BN94" i="8"/>
  <c r="CB90" i="8"/>
  <c r="BL90" i="8"/>
  <c r="BY86" i="8"/>
  <c r="BD86" i="8"/>
  <c r="BT82" i="8"/>
  <c r="BJ62" i="8"/>
  <c r="CB58" i="8"/>
  <c r="BR42" i="8"/>
  <c r="T212" i="6"/>
  <c r="BE97" i="8"/>
  <c r="BI97" i="8"/>
  <c r="BM97" i="8"/>
  <c r="BQ97" i="8"/>
  <c r="BU97" i="8"/>
  <c r="BE93" i="8"/>
  <c r="BI93" i="8"/>
  <c r="BM93" i="8"/>
  <c r="BQ93" i="8"/>
  <c r="BU93" i="8"/>
  <c r="BY93" i="8"/>
  <c r="BE89" i="8"/>
  <c r="BI89" i="8"/>
  <c r="BM89" i="8"/>
  <c r="BQ89" i="8"/>
  <c r="BU89" i="8"/>
  <c r="BY89" i="8"/>
  <c r="BE85" i="8"/>
  <c r="BI85" i="8"/>
  <c r="BM85" i="8"/>
  <c r="BQ85" i="8"/>
  <c r="BU85" i="8"/>
  <c r="BY85" i="8"/>
  <c r="BD81" i="8"/>
  <c r="BH81" i="8"/>
  <c r="BL81" i="8"/>
  <c r="BP81" i="8"/>
  <c r="BT81" i="8"/>
  <c r="BX81" i="8"/>
  <c r="CB81" i="8"/>
  <c r="BE81" i="8"/>
  <c r="BI81" i="8"/>
  <c r="BM81" i="8"/>
  <c r="BQ81" i="8"/>
  <c r="BU81" i="8"/>
  <c r="BY81" i="8"/>
  <c r="BF81" i="8"/>
  <c r="BJ81" i="8"/>
  <c r="BN81" i="8"/>
  <c r="BR81" i="8"/>
  <c r="BV81" i="8"/>
  <c r="BZ81" i="8"/>
  <c r="BD77" i="8"/>
  <c r="BH77" i="8"/>
  <c r="BL77" i="8"/>
  <c r="BP77" i="8"/>
  <c r="BT77" i="8"/>
  <c r="BX77" i="8"/>
  <c r="CB77" i="8"/>
  <c r="BE77" i="8"/>
  <c r="BI77" i="8"/>
  <c r="BM77" i="8"/>
  <c r="BQ77" i="8"/>
  <c r="BU77" i="8"/>
  <c r="BY77" i="8"/>
  <c r="BF77" i="8"/>
  <c r="BJ77" i="8"/>
  <c r="BN77" i="8"/>
  <c r="BR77" i="8"/>
  <c r="BV77" i="8"/>
  <c r="BZ77" i="8"/>
  <c r="BG73" i="8"/>
  <c r="BK73" i="8"/>
  <c r="BO73" i="8"/>
  <c r="BS73" i="8"/>
  <c r="CA73" i="8"/>
  <c r="BF73" i="8"/>
  <c r="BJ73" i="8"/>
  <c r="BH73" i="8"/>
  <c r="BN73" i="8"/>
  <c r="BT73" i="8"/>
  <c r="BY73" i="8"/>
  <c r="BI73" i="8"/>
  <c r="BP73" i="8"/>
  <c r="BU73" i="8"/>
  <c r="BZ73" i="8"/>
  <c r="BD73" i="8"/>
  <c r="BL73" i="8"/>
  <c r="BQ73" i="8"/>
  <c r="BV73" i="8"/>
  <c r="CB73" i="8"/>
  <c r="BG69" i="8"/>
  <c r="BK69" i="8"/>
  <c r="BO69" i="8"/>
  <c r="BS69" i="8"/>
  <c r="CA69" i="8"/>
  <c r="BD69" i="8"/>
  <c r="BI69" i="8"/>
  <c r="BN69" i="8"/>
  <c r="BT69" i="8"/>
  <c r="BY69" i="8"/>
  <c r="BH69" i="8"/>
  <c r="BM69" i="8"/>
  <c r="BR69" i="8"/>
  <c r="BX69" i="8"/>
  <c r="BJ69" i="8"/>
  <c r="BU69" i="8"/>
  <c r="BL69" i="8"/>
  <c r="BV69" i="8"/>
  <c r="BE69" i="8"/>
  <c r="BP69" i="8"/>
  <c r="BZ69" i="8"/>
  <c r="BG65" i="8"/>
  <c r="BK65" i="8"/>
  <c r="BO65" i="8"/>
  <c r="BS65" i="8"/>
  <c r="CA65" i="8"/>
  <c r="BD65" i="8"/>
  <c r="BI65" i="8"/>
  <c r="BN65" i="8"/>
  <c r="BT65" i="8"/>
  <c r="BY65" i="8"/>
  <c r="BE65" i="8"/>
  <c r="BJ65" i="8"/>
  <c r="BP65" i="8"/>
  <c r="BU65" i="8"/>
  <c r="BZ65" i="8"/>
  <c r="BH65" i="8"/>
  <c r="BM65" i="8"/>
  <c r="BR65" i="8"/>
  <c r="BX65" i="8"/>
  <c r="BV65" i="8"/>
  <c r="BF65" i="8"/>
  <c r="CB65" i="8"/>
  <c r="BL65" i="8"/>
  <c r="BG61" i="8"/>
  <c r="BK61" i="8"/>
  <c r="BO61" i="8"/>
  <c r="BS61" i="8"/>
  <c r="CA61" i="8"/>
  <c r="BF61" i="8"/>
  <c r="BL61" i="8"/>
  <c r="BQ61" i="8"/>
  <c r="BV61" i="8"/>
  <c r="CB61" i="8"/>
  <c r="BH61" i="8"/>
  <c r="BM61" i="8"/>
  <c r="BR61" i="8"/>
  <c r="BX61" i="8"/>
  <c r="BE61" i="8"/>
  <c r="BJ61" i="8"/>
  <c r="BP61" i="8"/>
  <c r="BU61" i="8"/>
  <c r="BZ61" i="8"/>
  <c r="BT61" i="8"/>
  <c r="BD61" i="8"/>
  <c r="BY61" i="8"/>
  <c r="BI61" i="8"/>
  <c r="BG57" i="8"/>
  <c r="BK57" i="8"/>
  <c r="BO57" i="8"/>
  <c r="BS57" i="8"/>
  <c r="CA57" i="8"/>
  <c r="BD57" i="8"/>
  <c r="BI57" i="8"/>
  <c r="BN57" i="8"/>
  <c r="BT57" i="8"/>
  <c r="BY57" i="8"/>
  <c r="BE57" i="8"/>
  <c r="BJ57" i="8"/>
  <c r="BP57" i="8"/>
  <c r="BU57" i="8"/>
  <c r="BZ57" i="8"/>
  <c r="BH57" i="8"/>
  <c r="BM57" i="8"/>
  <c r="BR57" i="8"/>
  <c r="BX57" i="8"/>
  <c r="BQ57" i="8"/>
  <c r="BV57" i="8"/>
  <c r="BF57" i="8"/>
  <c r="CB57" i="8"/>
  <c r="BG53" i="8"/>
  <c r="BK53" i="8"/>
  <c r="BO53" i="8"/>
  <c r="BS53" i="8"/>
  <c r="CA53" i="8"/>
  <c r="BF53" i="8"/>
  <c r="BL53" i="8"/>
  <c r="BQ53" i="8"/>
  <c r="BV53" i="8"/>
  <c r="CB53" i="8"/>
  <c r="BH53" i="8"/>
  <c r="BM53" i="8"/>
  <c r="BR53" i="8"/>
  <c r="BX53" i="8"/>
  <c r="BE53" i="8"/>
  <c r="BJ53" i="8"/>
  <c r="BP53" i="8"/>
  <c r="BU53" i="8"/>
  <c r="BZ53" i="8"/>
  <c r="BN53" i="8"/>
  <c r="BT53" i="8"/>
  <c r="BD53" i="8"/>
  <c r="BY53" i="8"/>
  <c r="BG49" i="8"/>
  <c r="BK49" i="8"/>
  <c r="BO49" i="8"/>
  <c r="BS49" i="8"/>
  <c r="CA49" i="8"/>
  <c r="BD49" i="8"/>
  <c r="BI49" i="8"/>
  <c r="BN49" i="8"/>
  <c r="BT49" i="8"/>
  <c r="BY49" i="8"/>
  <c r="BE49" i="8"/>
  <c r="BJ49" i="8"/>
  <c r="BP49" i="8"/>
  <c r="BU49" i="8"/>
  <c r="BZ49" i="8"/>
  <c r="BH49" i="8"/>
  <c r="BM49" i="8"/>
  <c r="BR49" i="8"/>
  <c r="BX49" i="8"/>
  <c r="BL49" i="8"/>
  <c r="BQ49" i="8"/>
  <c r="BV49" i="8"/>
  <c r="BG45" i="8"/>
  <c r="BK45" i="8"/>
  <c r="BO45" i="8"/>
  <c r="BS45" i="8"/>
  <c r="CA45" i="8"/>
  <c r="BF45" i="8"/>
  <c r="BL45" i="8"/>
  <c r="BQ45" i="8"/>
  <c r="BV45" i="8"/>
  <c r="CB45" i="8"/>
  <c r="BH45" i="8"/>
  <c r="BM45" i="8"/>
  <c r="BR45" i="8"/>
  <c r="BX45" i="8"/>
  <c r="BE45" i="8"/>
  <c r="BJ45" i="8"/>
  <c r="BP45" i="8"/>
  <c r="BU45" i="8"/>
  <c r="BZ45" i="8"/>
  <c r="BI45" i="8"/>
  <c r="BN45" i="8"/>
  <c r="BT45" i="8"/>
  <c r="BG41" i="8"/>
  <c r="BK41" i="8"/>
  <c r="BO41" i="8"/>
  <c r="BS41" i="8"/>
  <c r="CA41" i="8"/>
  <c r="BF41" i="8"/>
  <c r="BL41" i="8"/>
  <c r="BQ41" i="8"/>
  <c r="BV41" i="8"/>
  <c r="CB41" i="8"/>
  <c r="BE41" i="8"/>
  <c r="BM41" i="8"/>
  <c r="BT41" i="8"/>
  <c r="BZ41" i="8"/>
  <c r="BH41" i="8"/>
  <c r="BN41" i="8"/>
  <c r="BU41" i="8"/>
  <c r="BD41" i="8"/>
  <c r="BJ41" i="8"/>
  <c r="BR41" i="8"/>
  <c r="BY41" i="8"/>
  <c r="BX41" i="8"/>
  <c r="BI41" i="8"/>
  <c r="BD37" i="8"/>
  <c r="BH37" i="8"/>
  <c r="BL37" i="8"/>
  <c r="BP37" i="8"/>
  <c r="BT37" i="8"/>
  <c r="BX37" i="8"/>
  <c r="CB37" i="8"/>
  <c r="BF37" i="8"/>
  <c r="BK37" i="8"/>
  <c r="BQ37" i="8"/>
  <c r="BV37" i="8"/>
  <c r="CA37" i="8"/>
  <c r="BG37" i="8"/>
  <c r="BN37" i="8"/>
  <c r="BU37" i="8"/>
  <c r="BM37" i="8"/>
  <c r="BE37" i="8"/>
  <c r="BO37" i="8"/>
  <c r="BY37" i="8"/>
  <c r="BJ37" i="8"/>
  <c r="BS37" i="8"/>
  <c r="BI37" i="8"/>
  <c r="BR37" i="8"/>
  <c r="BD33" i="8"/>
  <c r="BH33" i="8"/>
  <c r="BL33" i="8"/>
  <c r="BP33" i="8"/>
  <c r="BT33" i="8"/>
  <c r="BX33" i="8"/>
  <c r="CB33" i="8"/>
  <c r="BI33" i="8"/>
  <c r="BN33" i="8"/>
  <c r="BS33" i="8"/>
  <c r="BY33" i="8"/>
  <c r="BE33" i="8"/>
  <c r="BK33" i="8"/>
  <c r="BR33" i="8"/>
  <c r="BZ33" i="8"/>
  <c r="BM33" i="8"/>
  <c r="BV33" i="8"/>
  <c r="BF33" i="8"/>
  <c r="BO33" i="8"/>
  <c r="BJ33" i="8"/>
  <c r="BU33" i="8"/>
  <c r="CA33" i="8"/>
  <c r="BG33" i="8"/>
  <c r="BD29" i="8"/>
  <c r="BH29" i="8"/>
  <c r="BL29" i="8"/>
  <c r="BP29" i="8"/>
  <c r="BT29" i="8"/>
  <c r="BX29" i="8"/>
  <c r="CB29" i="8"/>
  <c r="BF29" i="8"/>
  <c r="BK29" i="8"/>
  <c r="BQ29" i="8"/>
  <c r="BV29" i="8"/>
  <c r="CA29" i="8"/>
  <c r="BE29" i="8"/>
  <c r="BM29" i="8"/>
  <c r="BS29" i="8"/>
  <c r="BZ29" i="8"/>
  <c r="BI29" i="8"/>
  <c r="BO29" i="8"/>
  <c r="BG29" i="8"/>
  <c r="BU29" i="8"/>
  <c r="BJ29" i="8"/>
  <c r="BY29" i="8"/>
  <c r="BR29" i="8"/>
  <c r="BN29" i="8"/>
  <c r="BD25" i="8"/>
  <c r="BH25" i="8"/>
  <c r="BL25" i="8"/>
  <c r="BP25" i="8"/>
  <c r="BT25" i="8"/>
  <c r="BX25" i="8"/>
  <c r="CB25" i="8"/>
  <c r="BI25" i="8"/>
  <c r="BN25" i="8"/>
  <c r="BS25" i="8"/>
  <c r="BY25" i="8"/>
  <c r="BJ25" i="8"/>
  <c r="BQ25" i="8"/>
  <c r="BF25" i="8"/>
  <c r="BM25" i="8"/>
  <c r="BU25" i="8"/>
  <c r="CA25" i="8"/>
  <c r="BK25" i="8"/>
  <c r="BZ25" i="8"/>
  <c r="BO25" i="8"/>
  <c r="BG25" i="8"/>
  <c r="BV25" i="8"/>
  <c r="BE25" i="8"/>
  <c r="BD21" i="8"/>
  <c r="BH21" i="8"/>
  <c r="BL21" i="8"/>
  <c r="BP21" i="8"/>
  <c r="BT21" i="8"/>
  <c r="BX21" i="8"/>
  <c r="CB21" i="8"/>
  <c r="BF21" i="8"/>
  <c r="BK21" i="8"/>
  <c r="BQ21" i="8"/>
  <c r="BV21" i="8"/>
  <c r="CA21" i="8"/>
  <c r="BG21" i="8"/>
  <c r="BN21" i="8"/>
  <c r="BU21" i="8"/>
  <c r="BJ21" i="8"/>
  <c r="BR21" i="8"/>
  <c r="BY21" i="8"/>
  <c r="BO21" i="8"/>
  <c r="BE21" i="8"/>
  <c r="BS21" i="8"/>
  <c r="BM21" i="8"/>
  <c r="BZ21" i="8"/>
  <c r="BD17" i="8"/>
  <c r="BH17" i="8"/>
  <c r="BL17" i="8"/>
  <c r="BP17" i="8"/>
  <c r="BT17" i="8"/>
  <c r="BX17" i="8"/>
  <c r="CB17" i="8"/>
  <c r="BI17" i="8"/>
  <c r="BN17" i="8"/>
  <c r="BS17" i="8"/>
  <c r="BY17" i="8"/>
  <c r="BE17" i="8"/>
  <c r="BK17" i="8"/>
  <c r="BR17" i="8"/>
  <c r="BZ17" i="8"/>
  <c r="BG17" i="8"/>
  <c r="BO17" i="8"/>
  <c r="BV17" i="8"/>
  <c r="BF17" i="8"/>
  <c r="BU17" i="8"/>
  <c r="BJ17" i="8"/>
  <c r="BQ17" i="8"/>
  <c r="BM17" i="8"/>
  <c r="CA17" i="8"/>
  <c r="BD13" i="8"/>
  <c r="BH13" i="8"/>
  <c r="BL13" i="8"/>
  <c r="BP13" i="8"/>
  <c r="BT13" i="8"/>
  <c r="BX13" i="8"/>
  <c r="CB13" i="8"/>
  <c r="BF13" i="8"/>
  <c r="BK13" i="8"/>
  <c r="BQ13" i="8"/>
  <c r="BV13" i="8"/>
  <c r="CA13" i="8"/>
  <c r="BI13" i="8"/>
  <c r="BO13" i="8"/>
  <c r="BE13" i="8"/>
  <c r="BM13" i="8"/>
  <c r="BS13" i="8"/>
  <c r="BZ13" i="8"/>
  <c r="BJ13" i="8"/>
  <c r="BY13" i="8"/>
  <c r="BN13" i="8"/>
  <c r="BG13" i="8"/>
  <c r="BU13" i="8"/>
  <c r="BR13" i="8"/>
  <c r="BD9" i="8"/>
  <c r="BH9" i="8"/>
  <c r="BL9" i="8"/>
  <c r="BP9" i="8"/>
  <c r="BT9" i="8"/>
  <c r="BX9" i="8"/>
  <c r="CB9" i="8"/>
  <c r="BI9" i="8"/>
  <c r="BN9" i="8"/>
  <c r="BS9" i="8"/>
  <c r="BY9" i="8"/>
  <c r="BF9" i="8"/>
  <c r="BK9" i="8"/>
  <c r="BQ9" i="8"/>
  <c r="BV9" i="8"/>
  <c r="CA9" i="8"/>
  <c r="BE9" i="8"/>
  <c r="BO9" i="8"/>
  <c r="BZ9" i="8"/>
  <c r="BJ9" i="8"/>
  <c r="BU9" i="8"/>
  <c r="BG9" i="8"/>
  <c r="BM9" i="8"/>
  <c r="BR9" i="8"/>
  <c r="CA106" i="8"/>
  <c r="BS106" i="8"/>
  <c r="BO106" i="8"/>
  <c r="BK106" i="8"/>
  <c r="BG106" i="8"/>
  <c r="BY105" i="8"/>
  <c r="BU105" i="8"/>
  <c r="BQ105" i="8"/>
  <c r="BM105" i="8"/>
  <c r="BI105" i="8"/>
  <c r="BE105" i="8"/>
  <c r="CA104" i="8"/>
  <c r="BS104" i="8"/>
  <c r="BO104" i="8"/>
  <c r="BK104" i="8"/>
  <c r="BG104" i="8"/>
  <c r="BY103" i="8"/>
  <c r="BU103" i="8"/>
  <c r="BQ103" i="8"/>
  <c r="BM103" i="8"/>
  <c r="BI103" i="8"/>
  <c r="BE103" i="8"/>
  <c r="CA102" i="8"/>
  <c r="BS102" i="8"/>
  <c r="BO102" i="8"/>
  <c r="BK102" i="8"/>
  <c r="BG102" i="8"/>
  <c r="BY101" i="8"/>
  <c r="BU101" i="8"/>
  <c r="BQ101" i="8"/>
  <c r="BM101" i="8"/>
  <c r="BI101" i="8"/>
  <c r="BE101" i="8"/>
  <c r="CA100" i="8"/>
  <c r="BS100" i="8"/>
  <c r="BO100" i="8"/>
  <c r="BK100" i="8"/>
  <c r="BG100" i="8"/>
  <c r="BY99" i="8"/>
  <c r="BU99" i="8"/>
  <c r="BQ99" i="8"/>
  <c r="BM99" i="8"/>
  <c r="BI99" i="8"/>
  <c r="BE99" i="8"/>
  <c r="CA98" i="8"/>
  <c r="BS98" i="8"/>
  <c r="BO98" i="8"/>
  <c r="BK98" i="8"/>
  <c r="BG98" i="8"/>
  <c r="BY97" i="8"/>
  <c r="BT97" i="8"/>
  <c r="BO97" i="8"/>
  <c r="BJ97" i="8"/>
  <c r="BD97" i="8"/>
  <c r="BY96" i="8"/>
  <c r="BT96" i="8"/>
  <c r="BN96" i="8"/>
  <c r="BI96" i="8"/>
  <c r="BX95" i="8"/>
  <c r="BS95" i="8"/>
  <c r="BN95" i="8"/>
  <c r="BH95" i="8"/>
  <c r="BX94" i="8"/>
  <c r="BR94" i="8"/>
  <c r="BM94" i="8"/>
  <c r="BH94" i="8"/>
  <c r="CB93" i="8"/>
  <c r="BR93" i="8"/>
  <c r="BL93" i="8"/>
  <c r="BG93" i="8"/>
  <c r="CB92" i="8"/>
  <c r="BV92" i="8"/>
  <c r="BQ92" i="8"/>
  <c r="BL92" i="8"/>
  <c r="CA91" i="8"/>
  <c r="BV91" i="8"/>
  <c r="BP91" i="8"/>
  <c r="BK91" i="8"/>
  <c r="BF91" i="8"/>
  <c r="BZ90" i="8"/>
  <c r="BU90" i="8"/>
  <c r="BP90" i="8"/>
  <c r="BJ90" i="8"/>
  <c r="BE90" i="8"/>
  <c r="BZ89" i="8"/>
  <c r="BT89" i="8"/>
  <c r="BO89" i="8"/>
  <c r="BJ89" i="8"/>
  <c r="BD89" i="8"/>
  <c r="BY88" i="8"/>
  <c r="BT88" i="8"/>
  <c r="BN88" i="8"/>
  <c r="BI88" i="8"/>
  <c r="BX87" i="8"/>
  <c r="BS87" i="8"/>
  <c r="BN87" i="8"/>
  <c r="BH87" i="8"/>
  <c r="BX86" i="8"/>
  <c r="BR86" i="8"/>
  <c r="BM86" i="8"/>
  <c r="BH86" i="8"/>
  <c r="CB85" i="8"/>
  <c r="BR85" i="8"/>
  <c r="BL85" i="8"/>
  <c r="BG85" i="8"/>
  <c r="CB84" i="8"/>
  <c r="BV84" i="8"/>
  <c r="BQ84" i="8"/>
  <c r="BL84" i="8"/>
  <c r="CA83" i="8"/>
  <c r="BV83" i="8"/>
  <c r="BO83" i="8"/>
  <c r="BG83" i="8"/>
  <c r="BY82" i="8"/>
  <c r="BQ82" i="8"/>
  <c r="BO81" i="8"/>
  <c r="BY80" i="8"/>
  <c r="BS79" i="8"/>
  <c r="BM78" i="8"/>
  <c r="BG77" i="8"/>
  <c r="CA75" i="8"/>
  <c r="BK75" i="8"/>
  <c r="BX73" i="8"/>
  <c r="BH71" i="8"/>
  <c r="BQ69" i="8"/>
  <c r="BZ67" i="8"/>
  <c r="BN61" i="8"/>
  <c r="BZ54" i="8"/>
  <c r="BR51" i="8"/>
  <c r="BD45" i="8"/>
  <c r="BP41" i="8"/>
  <c r="BI21" i="8"/>
  <c r="BF82" i="8"/>
  <c r="BJ82" i="8"/>
  <c r="BN82" i="8"/>
  <c r="BR82" i="8"/>
  <c r="BV82" i="8"/>
  <c r="BZ82" i="8"/>
  <c r="BG82" i="8"/>
  <c r="BK82" i="8"/>
  <c r="BO82" i="8"/>
  <c r="BS82" i="8"/>
  <c r="CA82" i="8"/>
  <c r="BD82" i="8"/>
  <c r="BH82" i="8"/>
  <c r="BL82" i="8"/>
  <c r="BE74" i="8"/>
  <c r="BI74" i="8"/>
  <c r="BM74" i="8"/>
  <c r="BQ74" i="8"/>
  <c r="BU74" i="8"/>
  <c r="BY74" i="8"/>
  <c r="BD74" i="8"/>
  <c r="BJ74" i="8"/>
  <c r="BO74" i="8"/>
  <c r="BT74" i="8"/>
  <c r="BZ74" i="8"/>
  <c r="BF74" i="8"/>
  <c r="BK74" i="8"/>
  <c r="BP74" i="8"/>
  <c r="BV74" i="8"/>
  <c r="CA74" i="8"/>
  <c r="BG74" i="8"/>
  <c r="BL74" i="8"/>
  <c r="BR74" i="8"/>
  <c r="CB74" i="8"/>
  <c r="BE58" i="8"/>
  <c r="BI58" i="8"/>
  <c r="BM58" i="8"/>
  <c r="BQ58" i="8"/>
  <c r="BU58" i="8"/>
  <c r="BY58" i="8"/>
  <c r="BD58" i="8"/>
  <c r="BJ58" i="8"/>
  <c r="BO58" i="8"/>
  <c r="BT58" i="8"/>
  <c r="BZ58" i="8"/>
  <c r="BF58" i="8"/>
  <c r="BK58" i="8"/>
  <c r="BP58" i="8"/>
  <c r="BV58" i="8"/>
  <c r="CA58" i="8"/>
  <c r="BH58" i="8"/>
  <c r="BN58" i="8"/>
  <c r="BS58" i="8"/>
  <c r="BX58" i="8"/>
  <c r="BL58" i="8"/>
  <c r="BR58" i="8"/>
  <c r="BE46" i="8"/>
  <c r="BI46" i="8"/>
  <c r="BM46" i="8"/>
  <c r="BQ46" i="8"/>
  <c r="BU46" i="8"/>
  <c r="BY46" i="8"/>
  <c r="BG46" i="8"/>
  <c r="BL46" i="8"/>
  <c r="BR46" i="8"/>
  <c r="CB46" i="8"/>
  <c r="BH46" i="8"/>
  <c r="BN46" i="8"/>
  <c r="BS46" i="8"/>
  <c r="BX46" i="8"/>
  <c r="BF46" i="8"/>
  <c r="BK46" i="8"/>
  <c r="BP46" i="8"/>
  <c r="BV46" i="8"/>
  <c r="CA46" i="8"/>
  <c r="BD46" i="8"/>
  <c r="BZ46" i="8"/>
  <c r="BJ46" i="8"/>
  <c r="BO46" i="8"/>
  <c r="BF34" i="8"/>
  <c r="BJ34" i="8"/>
  <c r="BN34" i="8"/>
  <c r="BR34" i="8"/>
  <c r="BV34" i="8"/>
  <c r="BZ34" i="8"/>
  <c r="BD34" i="8"/>
  <c r="BI34" i="8"/>
  <c r="BO34" i="8"/>
  <c r="BT34" i="8"/>
  <c r="BY34" i="8"/>
  <c r="BG34" i="8"/>
  <c r="BM34" i="8"/>
  <c r="BU34" i="8"/>
  <c r="CB34" i="8"/>
  <c r="BE34" i="8"/>
  <c r="BP34" i="8"/>
  <c r="BX34" i="8"/>
  <c r="BH34" i="8"/>
  <c r="BQ34" i="8"/>
  <c r="CA34" i="8"/>
  <c r="BL34" i="8"/>
  <c r="BK34" i="8"/>
  <c r="BS34" i="8"/>
  <c r="BF26" i="8"/>
  <c r="BJ26" i="8"/>
  <c r="BN26" i="8"/>
  <c r="BR26" i="8"/>
  <c r="BV26" i="8"/>
  <c r="BZ26" i="8"/>
  <c r="BD26" i="8"/>
  <c r="BI26" i="8"/>
  <c r="BO26" i="8"/>
  <c r="BT26" i="8"/>
  <c r="BY26" i="8"/>
  <c r="BE26" i="8"/>
  <c r="BL26" i="8"/>
  <c r="BS26" i="8"/>
  <c r="CA26" i="8"/>
  <c r="BH26" i="8"/>
  <c r="BP26" i="8"/>
  <c r="BM26" i="8"/>
  <c r="CB26" i="8"/>
  <c r="BQ26" i="8"/>
  <c r="BK26" i="8"/>
  <c r="BX26" i="8"/>
  <c r="BG26" i="8"/>
  <c r="BU26" i="8"/>
  <c r="BF14" i="8"/>
  <c r="BJ14" i="8"/>
  <c r="BN14" i="8"/>
  <c r="BR14" i="8"/>
  <c r="BV14" i="8"/>
  <c r="BZ14" i="8"/>
  <c r="BG14" i="8"/>
  <c r="BL14" i="8"/>
  <c r="BQ14" i="8"/>
  <c r="CB14" i="8"/>
  <c r="BD14" i="8"/>
  <c r="BK14" i="8"/>
  <c r="BS14" i="8"/>
  <c r="BY14" i="8"/>
  <c r="BH14" i="8"/>
  <c r="BO14" i="8"/>
  <c r="BU14" i="8"/>
  <c r="BM14" i="8"/>
  <c r="CA14" i="8"/>
  <c r="BP14" i="8"/>
  <c r="BI14" i="8"/>
  <c r="BX14" i="8"/>
  <c r="BE14" i="8"/>
  <c r="BT106" i="8"/>
  <c r="BL106" i="8"/>
  <c r="BD106" i="8"/>
  <c r="CB102" i="8"/>
  <c r="BP102" i="8"/>
  <c r="BH102" i="8"/>
  <c r="BD102" i="8"/>
  <c r="BT98" i="8"/>
  <c r="BL98" i="8"/>
  <c r="BD98" i="8"/>
  <c r="BT94" i="8"/>
  <c r="BI94" i="8"/>
  <c r="BD94" i="8"/>
  <c r="BQ90" i="8"/>
  <c r="BF90" i="8"/>
  <c r="BN86" i="8"/>
  <c r="BQ78" i="8"/>
  <c r="BX74" i="8"/>
  <c r="BN193" i="8"/>
  <c r="CC70" i="8"/>
  <c r="CC66" i="8"/>
  <c r="CC62" i="8"/>
  <c r="CC58" i="8"/>
  <c r="CC54" i="8"/>
  <c r="CC50" i="8"/>
  <c r="CC46" i="8"/>
  <c r="CC42" i="8"/>
  <c r="CC38" i="8"/>
  <c r="CC30" i="8"/>
  <c r="CC26" i="8"/>
  <c r="CC22" i="8"/>
  <c r="CC14" i="8"/>
  <c r="CC10" i="8"/>
  <c r="BG96" i="8"/>
  <c r="BK96" i="8"/>
  <c r="BO96" i="8"/>
  <c r="BS96" i="8"/>
  <c r="CA96" i="8"/>
  <c r="BG92" i="8"/>
  <c r="BK92" i="8"/>
  <c r="BO92" i="8"/>
  <c r="BS92" i="8"/>
  <c r="CA92" i="8"/>
  <c r="BG88" i="8"/>
  <c r="BK88" i="8"/>
  <c r="BO88" i="8"/>
  <c r="BS88" i="8"/>
  <c r="CA88" i="8"/>
  <c r="BG84" i="8"/>
  <c r="BK84" i="8"/>
  <c r="BO84" i="8"/>
  <c r="BS84" i="8"/>
  <c r="CA84" i="8"/>
  <c r="BF80" i="8"/>
  <c r="BJ80" i="8"/>
  <c r="BN80" i="8"/>
  <c r="BR80" i="8"/>
  <c r="BV80" i="8"/>
  <c r="BZ80" i="8"/>
  <c r="BG80" i="8"/>
  <c r="BK80" i="8"/>
  <c r="BO80" i="8"/>
  <c r="BS80" i="8"/>
  <c r="CA80" i="8"/>
  <c r="BD80" i="8"/>
  <c r="BH80" i="8"/>
  <c r="BL80" i="8"/>
  <c r="BP80" i="8"/>
  <c r="BT80" i="8"/>
  <c r="BX80" i="8"/>
  <c r="CB80" i="8"/>
  <c r="BF76" i="8"/>
  <c r="BJ76" i="8"/>
  <c r="BN76" i="8"/>
  <c r="BR76" i="8"/>
  <c r="BV76" i="8"/>
  <c r="BZ76" i="8"/>
  <c r="BG76" i="8"/>
  <c r="BK76" i="8"/>
  <c r="BO76" i="8"/>
  <c r="BS76" i="8"/>
  <c r="CA76" i="8"/>
  <c r="BD76" i="8"/>
  <c r="BH76" i="8"/>
  <c r="BL76" i="8"/>
  <c r="BP76" i="8"/>
  <c r="BT76" i="8"/>
  <c r="BX76" i="8"/>
  <c r="CB76" i="8"/>
  <c r="BE72" i="8"/>
  <c r="BI72" i="8"/>
  <c r="BM72" i="8"/>
  <c r="BQ72" i="8"/>
  <c r="BF72" i="8"/>
  <c r="BK72" i="8"/>
  <c r="BP72" i="8"/>
  <c r="BU72" i="8"/>
  <c r="BY72" i="8"/>
  <c r="BD72" i="8"/>
  <c r="BJ72" i="8"/>
  <c r="BO72" i="8"/>
  <c r="BT72" i="8"/>
  <c r="BX72" i="8"/>
  <c r="CB72" i="8"/>
  <c r="BG72" i="8"/>
  <c r="BR72" i="8"/>
  <c r="BZ72" i="8"/>
  <c r="BH72" i="8"/>
  <c r="BS72" i="8"/>
  <c r="CA72" i="8"/>
  <c r="BL72" i="8"/>
  <c r="BV72" i="8"/>
  <c r="BE68" i="8"/>
  <c r="BI68" i="8"/>
  <c r="BM68" i="8"/>
  <c r="BQ68" i="8"/>
  <c r="BU68" i="8"/>
  <c r="BY68" i="8"/>
  <c r="BH68" i="8"/>
  <c r="BN68" i="8"/>
  <c r="BS68" i="8"/>
  <c r="BX68" i="8"/>
  <c r="BG68" i="8"/>
  <c r="BL68" i="8"/>
  <c r="BR68" i="8"/>
  <c r="CB68" i="8"/>
  <c r="BD68" i="8"/>
  <c r="BO68" i="8"/>
  <c r="BZ68" i="8"/>
  <c r="BF68" i="8"/>
  <c r="BP68" i="8"/>
  <c r="CA68" i="8"/>
  <c r="BJ68" i="8"/>
  <c r="BT68" i="8"/>
  <c r="BE64" i="8"/>
  <c r="BI64" i="8"/>
  <c r="BM64" i="8"/>
  <c r="BQ64" i="8"/>
  <c r="BU64" i="8"/>
  <c r="BY64" i="8"/>
  <c r="BH64" i="8"/>
  <c r="BN64" i="8"/>
  <c r="BS64" i="8"/>
  <c r="BX64" i="8"/>
  <c r="BD64" i="8"/>
  <c r="BJ64" i="8"/>
  <c r="BO64" i="8"/>
  <c r="BT64" i="8"/>
  <c r="BZ64" i="8"/>
  <c r="BG64" i="8"/>
  <c r="BL64" i="8"/>
  <c r="BR64" i="8"/>
  <c r="CB64" i="8"/>
  <c r="BF64" i="8"/>
  <c r="CA64" i="8"/>
  <c r="BK64" i="8"/>
  <c r="BP64" i="8"/>
  <c r="BE60" i="8"/>
  <c r="BI60" i="8"/>
  <c r="BM60" i="8"/>
  <c r="BQ60" i="8"/>
  <c r="BU60" i="8"/>
  <c r="BY60" i="8"/>
  <c r="BF60" i="8"/>
  <c r="BK60" i="8"/>
  <c r="BP60" i="8"/>
  <c r="BV60" i="8"/>
  <c r="CA60" i="8"/>
  <c r="BG60" i="8"/>
  <c r="BL60" i="8"/>
  <c r="BR60" i="8"/>
  <c r="CB60" i="8"/>
  <c r="BD60" i="8"/>
  <c r="BJ60" i="8"/>
  <c r="BO60" i="8"/>
  <c r="BT60" i="8"/>
  <c r="BZ60" i="8"/>
  <c r="BX60" i="8"/>
  <c r="BH60" i="8"/>
  <c r="BN60" i="8"/>
  <c r="BE56" i="8"/>
  <c r="BI56" i="8"/>
  <c r="BM56" i="8"/>
  <c r="BQ56" i="8"/>
  <c r="BU56" i="8"/>
  <c r="BY56" i="8"/>
  <c r="BH56" i="8"/>
  <c r="BN56" i="8"/>
  <c r="BS56" i="8"/>
  <c r="BX56" i="8"/>
  <c r="BD56" i="8"/>
  <c r="BJ56" i="8"/>
  <c r="BO56" i="8"/>
  <c r="BT56" i="8"/>
  <c r="BZ56" i="8"/>
  <c r="BG56" i="8"/>
  <c r="BL56" i="8"/>
  <c r="BR56" i="8"/>
  <c r="CB56" i="8"/>
  <c r="BV56" i="8"/>
  <c r="BF56" i="8"/>
  <c r="CA56" i="8"/>
  <c r="BK56" i="8"/>
  <c r="BE52" i="8"/>
  <c r="BI52" i="8"/>
  <c r="BM52" i="8"/>
  <c r="BQ52" i="8"/>
  <c r="BU52" i="8"/>
  <c r="BY52" i="8"/>
  <c r="BF52" i="8"/>
  <c r="BK52" i="8"/>
  <c r="BP52" i="8"/>
  <c r="BV52" i="8"/>
  <c r="CA52" i="8"/>
  <c r="BG52" i="8"/>
  <c r="BL52" i="8"/>
  <c r="BR52" i="8"/>
  <c r="CB52" i="8"/>
  <c r="BD52" i="8"/>
  <c r="BJ52" i="8"/>
  <c r="BO52" i="8"/>
  <c r="BT52" i="8"/>
  <c r="BZ52" i="8"/>
  <c r="BS52" i="8"/>
  <c r="BX52" i="8"/>
  <c r="BH52" i="8"/>
  <c r="BE48" i="8"/>
  <c r="BI48" i="8"/>
  <c r="BM48" i="8"/>
  <c r="BQ48" i="8"/>
  <c r="BU48" i="8"/>
  <c r="BY48" i="8"/>
  <c r="BH48" i="8"/>
  <c r="BN48" i="8"/>
  <c r="BS48" i="8"/>
  <c r="BX48" i="8"/>
  <c r="BD48" i="8"/>
  <c r="BJ48" i="8"/>
  <c r="BO48" i="8"/>
  <c r="BT48" i="8"/>
  <c r="BZ48" i="8"/>
  <c r="BG48" i="8"/>
  <c r="BL48" i="8"/>
  <c r="BR48" i="8"/>
  <c r="CB48" i="8"/>
  <c r="BP48" i="8"/>
  <c r="BV48" i="8"/>
  <c r="BF48" i="8"/>
  <c r="CA48" i="8"/>
  <c r="BE44" i="8"/>
  <c r="BI44" i="8"/>
  <c r="BM44" i="8"/>
  <c r="BQ44" i="8"/>
  <c r="BU44" i="8"/>
  <c r="BY44" i="8"/>
  <c r="BF44" i="8"/>
  <c r="BK44" i="8"/>
  <c r="BP44" i="8"/>
  <c r="BV44" i="8"/>
  <c r="CA44" i="8"/>
  <c r="BG44" i="8"/>
  <c r="BL44" i="8"/>
  <c r="BR44" i="8"/>
  <c r="CB44" i="8"/>
  <c r="BD44" i="8"/>
  <c r="BJ44" i="8"/>
  <c r="BO44" i="8"/>
  <c r="BT44" i="8"/>
  <c r="BZ44" i="8"/>
  <c r="BN44" i="8"/>
  <c r="BS44" i="8"/>
  <c r="BX44" i="8"/>
  <c r="BE40" i="8"/>
  <c r="BI40" i="8"/>
  <c r="BM40" i="8"/>
  <c r="BQ40" i="8"/>
  <c r="BU40" i="8"/>
  <c r="BY40" i="8"/>
  <c r="BF40" i="8"/>
  <c r="BK40" i="8"/>
  <c r="BP40" i="8"/>
  <c r="BV40" i="8"/>
  <c r="CA40" i="8"/>
  <c r="BJ40" i="8"/>
  <c r="BR40" i="8"/>
  <c r="BX40" i="8"/>
  <c r="BD40" i="8"/>
  <c r="BL40" i="8"/>
  <c r="BS40" i="8"/>
  <c r="BZ40" i="8"/>
  <c r="BH40" i="8"/>
  <c r="BO40" i="8"/>
  <c r="BT40" i="8"/>
  <c r="CB40" i="8"/>
  <c r="BG40" i="8"/>
  <c r="BF36" i="8"/>
  <c r="BJ36" i="8"/>
  <c r="BN36" i="8"/>
  <c r="BR36" i="8"/>
  <c r="BV36" i="8"/>
  <c r="BZ36" i="8"/>
  <c r="BE36" i="8"/>
  <c r="BK36" i="8"/>
  <c r="BP36" i="8"/>
  <c r="BU36" i="8"/>
  <c r="CA36" i="8"/>
  <c r="BD36" i="8"/>
  <c r="BL36" i="8"/>
  <c r="BS36" i="8"/>
  <c r="BY36" i="8"/>
  <c r="BI36" i="8"/>
  <c r="BT36" i="8"/>
  <c r="BM36" i="8"/>
  <c r="BH36" i="8"/>
  <c r="BQ36" i="8"/>
  <c r="CB36" i="8"/>
  <c r="BX36" i="8"/>
  <c r="BG36" i="8"/>
  <c r="BF32" i="8"/>
  <c r="BJ32" i="8"/>
  <c r="BN32" i="8"/>
  <c r="BR32" i="8"/>
  <c r="BV32" i="8"/>
  <c r="BZ32" i="8"/>
  <c r="BH32" i="8"/>
  <c r="BM32" i="8"/>
  <c r="BS32" i="8"/>
  <c r="BX32" i="8"/>
  <c r="BI32" i="8"/>
  <c r="BP32" i="8"/>
  <c r="BK32" i="8"/>
  <c r="BT32" i="8"/>
  <c r="CB32" i="8"/>
  <c r="BD32" i="8"/>
  <c r="BL32" i="8"/>
  <c r="BU32" i="8"/>
  <c r="BG32" i="8"/>
  <c r="BQ32" i="8"/>
  <c r="CA32" i="8"/>
  <c r="BO32" i="8"/>
  <c r="BY32" i="8"/>
  <c r="BF28" i="8"/>
  <c r="BJ28" i="8"/>
  <c r="BN28" i="8"/>
  <c r="BR28" i="8"/>
  <c r="BV28" i="8"/>
  <c r="BZ28" i="8"/>
  <c r="BE28" i="8"/>
  <c r="BK28" i="8"/>
  <c r="BP28" i="8"/>
  <c r="BU28" i="8"/>
  <c r="CA28" i="8"/>
  <c r="BI28" i="8"/>
  <c r="BQ28" i="8"/>
  <c r="BX28" i="8"/>
  <c r="BG28" i="8"/>
  <c r="BM28" i="8"/>
  <c r="BT28" i="8"/>
  <c r="CB28" i="8"/>
  <c r="BD28" i="8"/>
  <c r="BS28" i="8"/>
  <c r="BH28" i="8"/>
  <c r="BO28" i="8"/>
  <c r="BL28" i="8"/>
  <c r="BY28" i="8"/>
  <c r="BF24" i="8"/>
  <c r="BJ24" i="8"/>
  <c r="BN24" i="8"/>
  <c r="BR24" i="8"/>
  <c r="BV24" i="8"/>
  <c r="BZ24" i="8"/>
  <c r="BH24" i="8"/>
  <c r="BM24" i="8"/>
  <c r="BS24" i="8"/>
  <c r="BX24" i="8"/>
  <c r="BG24" i="8"/>
  <c r="BO24" i="8"/>
  <c r="BU24" i="8"/>
  <c r="CB24" i="8"/>
  <c r="BD24" i="8"/>
  <c r="BK24" i="8"/>
  <c r="BQ24" i="8"/>
  <c r="BY24" i="8"/>
  <c r="BI24" i="8"/>
  <c r="BL24" i="8"/>
  <c r="CA24" i="8"/>
  <c r="BE24" i="8"/>
  <c r="BT24" i="8"/>
  <c r="BP24" i="8"/>
  <c r="BF20" i="8"/>
  <c r="BJ20" i="8"/>
  <c r="BN20" i="8"/>
  <c r="BR20" i="8"/>
  <c r="BV20" i="8"/>
  <c r="BZ20" i="8"/>
  <c r="BE20" i="8"/>
  <c r="BK20" i="8"/>
  <c r="BP20" i="8"/>
  <c r="BU20" i="8"/>
  <c r="CA20" i="8"/>
  <c r="BD20" i="8"/>
  <c r="BL20" i="8"/>
  <c r="BS20" i="8"/>
  <c r="BY20" i="8"/>
  <c r="BH20" i="8"/>
  <c r="BO20" i="8"/>
  <c r="BM20" i="8"/>
  <c r="CB20" i="8"/>
  <c r="BQ20" i="8"/>
  <c r="BI20" i="8"/>
  <c r="BX20" i="8"/>
  <c r="BG20" i="8"/>
  <c r="BT20" i="8"/>
  <c r="BF16" i="8"/>
  <c r="BJ16" i="8"/>
  <c r="BN16" i="8"/>
  <c r="BR16" i="8"/>
  <c r="BV16" i="8"/>
  <c r="BZ16" i="8"/>
  <c r="BH16" i="8"/>
  <c r="BM16" i="8"/>
  <c r="BS16" i="8"/>
  <c r="BX16" i="8"/>
  <c r="BI16" i="8"/>
  <c r="BP16" i="8"/>
  <c r="BE16" i="8"/>
  <c r="BL16" i="8"/>
  <c r="BT16" i="8"/>
  <c r="CA16" i="8"/>
  <c r="BD16" i="8"/>
  <c r="BQ16" i="8"/>
  <c r="BG16" i="8"/>
  <c r="BU16" i="8"/>
  <c r="BO16" i="8"/>
  <c r="CB16" i="8"/>
  <c r="BK16" i="8"/>
  <c r="BF12" i="8"/>
  <c r="BJ12" i="8"/>
  <c r="BN12" i="8"/>
  <c r="BR12" i="8"/>
  <c r="BV12" i="8"/>
  <c r="BZ12" i="8"/>
  <c r="BE12" i="8"/>
  <c r="BK12" i="8"/>
  <c r="BP12" i="8"/>
  <c r="BU12" i="8"/>
  <c r="CA12" i="8"/>
  <c r="BG12" i="8"/>
  <c r="BM12" i="8"/>
  <c r="BT12" i="8"/>
  <c r="CB12" i="8"/>
  <c r="BI12" i="8"/>
  <c r="BQ12" i="8"/>
  <c r="BX12" i="8"/>
  <c r="BH12" i="8"/>
  <c r="BL12" i="8"/>
  <c r="BY12" i="8"/>
  <c r="BD12" i="8"/>
  <c r="BS12" i="8"/>
  <c r="BF8" i="8"/>
  <c r="BJ8" i="8"/>
  <c r="BN8" i="8"/>
  <c r="BR8" i="8"/>
  <c r="BV8" i="8"/>
  <c r="BZ8" i="8"/>
  <c r="BH8" i="8"/>
  <c r="BM8" i="8"/>
  <c r="BS8" i="8"/>
  <c r="BX8" i="8"/>
  <c r="BE8" i="8"/>
  <c r="BK8" i="8"/>
  <c r="BP8" i="8"/>
  <c r="BU8" i="8"/>
  <c r="CA8" i="8"/>
  <c r="BI8" i="8"/>
  <c r="BT8" i="8"/>
  <c r="BD8" i="8"/>
  <c r="BO8" i="8"/>
  <c r="BY8" i="8"/>
  <c r="BL8" i="8"/>
  <c r="BQ8" i="8"/>
  <c r="BG8" i="8"/>
  <c r="CB8" i="8"/>
  <c r="BZ106" i="8"/>
  <c r="BV106" i="8"/>
  <c r="BR106" i="8"/>
  <c r="BN106" i="8"/>
  <c r="BJ106" i="8"/>
  <c r="CB105" i="8"/>
  <c r="BX105" i="8"/>
  <c r="BT105" i="8"/>
  <c r="BP105" i="8"/>
  <c r="BL105" i="8"/>
  <c r="BH105" i="8"/>
  <c r="BZ104" i="8"/>
  <c r="BV104" i="8"/>
  <c r="BR104" i="8"/>
  <c r="BN104" i="8"/>
  <c r="BJ104" i="8"/>
  <c r="CB103" i="8"/>
  <c r="BX103" i="8"/>
  <c r="BT103" i="8"/>
  <c r="BP103" i="8"/>
  <c r="BL103" i="8"/>
  <c r="BH103" i="8"/>
  <c r="BZ102" i="8"/>
  <c r="BV102" i="8"/>
  <c r="BR102" i="8"/>
  <c r="BN102" i="8"/>
  <c r="BJ102" i="8"/>
  <c r="CB101" i="8"/>
  <c r="BX101" i="8"/>
  <c r="BT101" i="8"/>
  <c r="BP101" i="8"/>
  <c r="BL101" i="8"/>
  <c r="BH101" i="8"/>
  <c r="BZ100" i="8"/>
  <c r="BV100" i="8"/>
  <c r="BR100" i="8"/>
  <c r="BN100" i="8"/>
  <c r="BJ100" i="8"/>
  <c r="CB99" i="8"/>
  <c r="BX99" i="8"/>
  <c r="BT99" i="8"/>
  <c r="BP99" i="8"/>
  <c r="BL99" i="8"/>
  <c r="BH99" i="8"/>
  <c r="BZ98" i="8"/>
  <c r="BV98" i="8"/>
  <c r="BR98" i="8"/>
  <c r="BN98" i="8"/>
  <c r="BJ98" i="8"/>
  <c r="CB97" i="8"/>
  <c r="BX97" i="8"/>
  <c r="BS97" i="8"/>
  <c r="BN97" i="8"/>
  <c r="BH97" i="8"/>
  <c r="BX96" i="8"/>
  <c r="BR96" i="8"/>
  <c r="BM96" i="8"/>
  <c r="BH96" i="8"/>
  <c r="CB95" i="8"/>
  <c r="BR95" i="8"/>
  <c r="BL95" i="8"/>
  <c r="BG95" i="8"/>
  <c r="CB94" i="8"/>
  <c r="BV94" i="8"/>
  <c r="BQ94" i="8"/>
  <c r="BL94" i="8"/>
  <c r="BF94" i="8"/>
  <c r="CA93" i="8"/>
  <c r="BV93" i="8"/>
  <c r="BP93" i="8"/>
  <c r="BK93" i="8"/>
  <c r="BF93" i="8"/>
  <c r="BZ92" i="8"/>
  <c r="BU92" i="8"/>
  <c r="BP92" i="8"/>
  <c r="BJ92" i="8"/>
  <c r="BE92" i="8"/>
  <c r="BZ91" i="8"/>
  <c r="BT91" i="8"/>
  <c r="BO91" i="8"/>
  <c r="BJ91" i="8"/>
  <c r="BD91" i="8"/>
  <c r="BY90" i="8"/>
  <c r="BT90" i="8"/>
  <c r="BN90" i="8"/>
  <c r="BI90" i="8"/>
  <c r="BD90" i="8"/>
  <c r="BX89" i="8"/>
  <c r="BS89" i="8"/>
  <c r="BN89" i="8"/>
  <c r="BH89" i="8"/>
  <c r="BX88" i="8"/>
  <c r="BR88" i="8"/>
  <c r="BM88" i="8"/>
  <c r="BH88" i="8"/>
  <c r="CB87" i="8"/>
  <c r="BR87" i="8"/>
  <c r="BL87" i="8"/>
  <c r="BG87" i="8"/>
  <c r="CB86" i="8"/>
  <c r="BV86" i="8"/>
  <c r="BQ86" i="8"/>
  <c r="BL86" i="8"/>
  <c r="BF86" i="8"/>
  <c r="CA85" i="8"/>
  <c r="BV85" i="8"/>
  <c r="BP85" i="8"/>
  <c r="BK85" i="8"/>
  <c r="BF85" i="8"/>
  <c r="BZ84" i="8"/>
  <c r="BU84" i="8"/>
  <c r="BP84" i="8"/>
  <c r="BJ84" i="8"/>
  <c r="BE84" i="8"/>
  <c r="BZ83" i="8"/>
  <c r="BT83" i="8"/>
  <c r="BN83" i="8"/>
  <c r="BF83" i="8"/>
  <c r="BX82" i="8"/>
  <c r="BP82" i="8"/>
  <c r="CA81" i="8"/>
  <c r="BK81" i="8"/>
  <c r="BU80" i="8"/>
  <c r="BE80" i="8"/>
  <c r="BO79" i="8"/>
  <c r="BY78" i="8"/>
  <c r="BI78" i="8"/>
  <c r="BS77" i="8"/>
  <c r="BM76" i="8"/>
  <c r="BG75" i="8"/>
  <c r="BN74" i="8"/>
  <c r="BR73" i="8"/>
  <c r="BN72" i="8"/>
  <c r="BF69" i="8"/>
  <c r="BP67" i="8"/>
  <c r="BZ63" i="8"/>
  <c r="BS60" i="8"/>
  <c r="BL57" i="8"/>
  <c r="BD54" i="8"/>
  <c r="BP47" i="8"/>
  <c r="BH44" i="8"/>
  <c r="BN40" i="8"/>
  <c r="BK10" i="8"/>
  <c r="BB190" i="8"/>
  <c r="BF190" i="8"/>
  <c r="BJ190" i="8"/>
  <c r="BN190" i="8"/>
  <c r="BR190" i="8"/>
  <c r="BV190" i="8"/>
  <c r="BZ190" i="8"/>
  <c r="BE190" i="8"/>
  <c r="BK190" i="8"/>
  <c r="BP190" i="8"/>
  <c r="BD190" i="8"/>
  <c r="BL190" i="8"/>
  <c r="BS190" i="8"/>
  <c r="BY190" i="8"/>
  <c r="BH190" i="8"/>
  <c r="BO190" i="8"/>
  <c r="BW190" i="8"/>
  <c r="BB186" i="8"/>
  <c r="BF186" i="8"/>
  <c r="BJ186" i="8"/>
  <c r="BN186" i="8"/>
  <c r="BR186" i="8"/>
  <c r="BV186" i="8"/>
  <c r="BZ186" i="8"/>
  <c r="BD186" i="8"/>
  <c r="BI186" i="8"/>
  <c r="BO186" i="8"/>
  <c r="BT186" i="8"/>
  <c r="BY186" i="8"/>
  <c r="BG186" i="8"/>
  <c r="BM186" i="8"/>
  <c r="BC186" i="8"/>
  <c r="BK186" i="8"/>
  <c r="BQ186" i="8"/>
  <c r="BX186" i="8"/>
  <c r="BC182" i="8"/>
  <c r="BG182" i="8"/>
  <c r="BK182" i="8"/>
  <c r="BO182" i="8"/>
  <c r="BS182" i="8"/>
  <c r="BW182" i="8"/>
  <c r="BB182" i="8"/>
  <c r="BH182" i="8"/>
  <c r="BM182" i="8"/>
  <c r="BR182" i="8"/>
  <c r="BX182" i="8"/>
  <c r="BE182" i="8"/>
  <c r="BL182" i="8"/>
  <c r="BT182" i="8"/>
  <c r="BZ182" i="8"/>
  <c r="BJ182" i="8"/>
  <c r="BF182" i="8"/>
  <c r="BP182" i="8"/>
  <c r="BY182" i="8"/>
  <c r="BC178" i="8"/>
  <c r="BG178" i="8"/>
  <c r="BK178" i="8"/>
  <c r="BO178" i="8"/>
  <c r="BS178" i="8"/>
  <c r="BW178" i="8"/>
  <c r="BF178" i="8"/>
  <c r="BL178" i="8"/>
  <c r="BQ178" i="8"/>
  <c r="BV178" i="8"/>
  <c r="BE178" i="8"/>
  <c r="BM178" i="8"/>
  <c r="BT178" i="8"/>
  <c r="BZ178" i="8"/>
  <c r="BH178" i="8"/>
  <c r="BP178" i="8"/>
  <c r="BY178" i="8"/>
  <c r="BB178" i="8"/>
  <c r="BJ178" i="8"/>
  <c r="BC174" i="8"/>
  <c r="BG174" i="8"/>
  <c r="BK174" i="8"/>
  <c r="BO174" i="8"/>
  <c r="BS174" i="8"/>
  <c r="BW174" i="8"/>
  <c r="BE174" i="8"/>
  <c r="BJ174" i="8"/>
  <c r="BP174" i="8"/>
  <c r="BZ174" i="8"/>
  <c r="BB174" i="8"/>
  <c r="BI174" i="8"/>
  <c r="BQ174" i="8"/>
  <c r="BX174" i="8"/>
  <c r="BH174" i="8"/>
  <c r="BR174" i="8"/>
  <c r="BL174" i="8"/>
  <c r="BV174" i="8"/>
  <c r="BD174" i="8"/>
  <c r="BN174" i="8"/>
  <c r="BC170" i="8"/>
  <c r="BG170" i="8"/>
  <c r="BK170" i="8"/>
  <c r="BO170" i="8"/>
  <c r="BS170" i="8"/>
  <c r="BW170" i="8"/>
  <c r="BD170" i="8"/>
  <c r="BI170" i="8"/>
  <c r="BN170" i="8"/>
  <c r="BT170" i="8"/>
  <c r="BY170" i="8"/>
  <c r="BB170" i="8"/>
  <c r="BJ170" i="8"/>
  <c r="BQ170" i="8"/>
  <c r="BX170" i="8"/>
  <c r="BE170" i="8"/>
  <c r="BM170" i="8"/>
  <c r="BV170" i="8"/>
  <c r="BF170" i="8"/>
  <c r="BR170" i="8"/>
  <c r="BL170" i="8"/>
  <c r="BZ170" i="8"/>
  <c r="BB166" i="8"/>
  <c r="BF166" i="8"/>
  <c r="BJ166" i="8"/>
  <c r="BN166" i="8"/>
  <c r="BR166" i="8"/>
  <c r="BV166" i="8"/>
  <c r="BZ166" i="8"/>
  <c r="BE166" i="8"/>
  <c r="BK166" i="8"/>
  <c r="BP166" i="8"/>
  <c r="BC166" i="8"/>
  <c r="BI166" i="8"/>
  <c r="BQ166" i="8"/>
  <c r="BX166" i="8"/>
  <c r="BH166" i="8"/>
  <c r="BS166" i="8"/>
  <c r="BL166" i="8"/>
  <c r="BW166" i="8"/>
  <c r="BO166" i="8"/>
  <c r="BG166" i="8"/>
  <c r="BY166" i="8"/>
  <c r="BB162" i="8"/>
  <c r="BF162" i="8"/>
  <c r="BJ162" i="8"/>
  <c r="BN162" i="8"/>
  <c r="BR162" i="8"/>
  <c r="BV162" i="8"/>
  <c r="BZ162" i="8"/>
  <c r="BD162" i="8"/>
  <c r="BI162" i="8"/>
  <c r="BO162" i="8"/>
  <c r="BT162" i="8"/>
  <c r="BY162" i="8"/>
  <c r="BC162" i="8"/>
  <c r="BK162" i="8"/>
  <c r="BQ162" i="8"/>
  <c r="BX162" i="8"/>
  <c r="BE162" i="8"/>
  <c r="BM162" i="8"/>
  <c r="BW162" i="8"/>
  <c r="BH162" i="8"/>
  <c r="BG162" i="8"/>
  <c r="BP162" i="8"/>
  <c r="BB158" i="8"/>
  <c r="BF158" i="8"/>
  <c r="BJ158" i="8"/>
  <c r="BN158" i="8"/>
  <c r="BR158" i="8"/>
  <c r="BV158" i="8"/>
  <c r="BZ158" i="8"/>
  <c r="BE158" i="8"/>
  <c r="BK158" i="8"/>
  <c r="BP158" i="8"/>
  <c r="BD158" i="8"/>
  <c r="BL158" i="8"/>
  <c r="BS158" i="8"/>
  <c r="BY158" i="8"/>
  <c r="BH158" i="8"/>
  <c r="BQ158" i="8"/>
  <c r="BC158" i="8"/>
  <c r="BO158" i="8"/>
  <c r="BI158" i="8"/>
  <c r="BX158" i="8"/>
  <c r="BG158" i="8"/>
  <c r="BT158" i="8"/>
  <c r="BB154" i="8"/>
  <c r="BF154" i="8"/>
  <c r="BJ154" i="8"/>
  <c r="BN154" i="8"/>
  <c r="BR154" i="8"/>
  <c r="BV154" i="8"/>
  <c r="BZ154" i="8"/>
  <c r="BD154" i="8"/>
  <c r="BI154" i="8"/>
  <c r="BO154" i="8"/>
  <c r="BT154" i="8"/>
  <c r="BY154" i="8"/>
  <c r="BE154" i="8"/>
  <c r="BL154" i="8"/>
  <c r="BS154" i="8"/>
  <c r="BC154" i="8"/>
  <c r="BM154" i="8"/>
  <c r="BW154" i="8"/>
  <c r="BP154" i="8"/>
  <c r="BH154" i="8"/>
  <c r="BX154" i="8"/>
  <c r="BK154" i="8"/>
  <c r="BQ192" i="8"/>
  <c r="BT190" i="8"/>
  <c r="BG190" i="8"/>
  <c r="BS186" i="8"/>
  <c r="BE186" i="8"/>
  <c r="BT184" i="8"/>
  <c r="BQ182" i="8"/>
  <c r="BV180" i="8"/>
  <c r="BR178" i="8"/>
  <c r="BT174" i="8"/>
  <c r="BH170" i="8"/>
  <c r="BD166" i="8"/>
  <c r="BL162" i="8"/>
  <c r="BM158" i="8"/>
  <c r="BD192" i="8"/>
  <c r="BH192" i="8"/>
  <c r="BL192" i="8"/>
  <c r="BP192" i="8"/>
  <c r="BT192" i="8"/>
  <c r="BX192" i="8"/>
  <c r="BC192" i="8"/>
  <c r="BI192" i="8"/>
  <c r="BN192" i="8"/>
  <c r="BS192" i="8"/>
  <c r="BY192" i="8"/>
  <c r="BE192" i="8"/>
  <c r="BK192" i="8"/>
  <c r="BR192" i="8"/>
  <c r="BZ192" i="8"/>
  <c r="BG192" i="8"/>
  <c r="BO192" i="8"/>
  <c r="BV192" i="8"/>
  <c r="BD188" i="8"/>
  <c r="BH188" i="8"/>
  <c r="BL188" i="8"/>
  <c r="BP188" i="8"/>
  <c r="BT188" i="8"/>
  <c r="BX188" i="8"/>
  <c r="BB188" i="8"/>
  <c r="BG188" i="8"/>
  <c r="BM188" i="8"/>
  <c r="BR188" i="8"/>
  <c r="BW188" i="8"/>
  <c r="BF188" i="8"/>
  <c r="BN188" i="8"/>
  <c r="BC188" i="8"/>
  <c r="BJ188" i="8"/>
  <c r="BQ188" i="8"/>
  <c r="BY188" i="8"/>
  <c r="BE184" i="8"/>
  <c r="BI184" i="8"/>
  <c r="BM184" i="8"/>
  <c r="BQ184" i="8"/>
  <c r="BY184" i="8"/>
  <c r="BF184" i="8"/>
  <c r="BK184" i="8"/>
  <c r="BP184" i="8"/>
  <c r="BV184" i="8"/>
  <c r="BD184" i="8"/>
  <c r="BL184" i="8"/>
  <c r="BS184" i="8"/>
  <c r="BZ184" i="8"/>
  <c r="BH184" i="8"/>
  <c r="BR184" i="8"/>
  <c r="BC184" i="8"/>
  <c r="BN184" i="8"/>
  <c r="BW184" i="8"/>
  <c r="BE180" i="8"/>
  <c r="BI180" i="8"/>
  <c r="BM180" i="8"/>
  <c r="BQ180" i="8"/>
  <c r="BY180" i="8"/>
  <c r="BD180" i="8"/>
  <c r="BJ180" i="8"/>
  <c r="BO180" i="8"/>
  <c r="BT180" i="8"/>
  <c r="BZ180" i="8"/>
  <c r="BF180" i="8"/>
  <c r="BL180" i="8"/>
  <c r="BS180" i="8"/>
  <c r="BC180" i="8"/>
  <c r="BN180" i="8"/>
  <c r="BW180" i="8"/>
  <c r="BH180" i="8"/>
  <c r="BR180" i="8"/>
  <c r="BE176" i="8"/>
  <c r="BI176" i="8"/>
  <c r="BM176" i="8"/>
  <c r="BQ176" i="8"/>
  <c r="BY176" i="8"/>
  <c r="BC176" i="8"/>
  <c r="BB176" i="8"/>
  <c r="BH176" i="8"/>
  <c r="BN176" i="8"/>
  <c r="BS176" i="8"/>
  <c r="BX176" i="8"/>
  <c r="BF176" i="8"/>
  <c r="BL176" i="8"/>
  <c r="BT176" i="8"/>
  <c r="BJ176" i="8"/>
  <c r="BR176" i="8"/>
  <c r="BD176" i="8"/>
  <c r="BO176" i="8"/>
  <c r="BW176" i="8"/>
  <c r="BE172" i="8"/>
  <c r="BI172" i="8"/>
  <c r="BM172" i="8"/>
  <c r="BQ172" i="8"/>
  <c r="BY172" i="8"/>
  <c r="BB172" i="8"/>
  <c r="BG172" i="8"/>
  <c r="BL172" i="8"/>
  <c r="BR172" i="8"/>
  <c r="BW172" i="8"/>
  <c r="BC172" i="8"/>
  <c r="BJ172" i="8"/>
  <c r="BP172" i="8"/>
  <c r="BX172" i="8"/>
  <c r="BK172" i="8"/>
  <c r="BT172" i="8"/>
  <c r="BF172" i="8"/>
  <c r="BS172" i="8"/>
  <c r="BN172" i="8"/>
  <c r="BZ172" i="8"/>
  <c r="BE168" i="8"/>
  <c r="BI168" i="8"/>
  <c r="BM168" i="8"/>
  <c r="BQ168" i="8"/>
  <c r="BY168" i="8"/>
  <c r="BF168" i="8"/>
  <c r="BK168" i="8"/>
  <c r="BP168" i="8"/>
  <c r="BV168" i="8"/>
  <c r="BC168" i="8"/>
  <c r="BJ168" i="8"/>
  <c r="BR168" i="8"/>
  <c r="BX168" i="8"/>
  <c r="BG168" i="8"/>
  <c r="BO168" i="8"/>
  <c r="BZ168" i="8"/>
  <c r="BL168" i="8"/>
  <c r="BW168" i="8"/>
  <c r="BD168" i="8"/>
  <c r="BS168" i="8"/>
  <c r="BD164" i="8"/>
  <c r="BH164" i="8"/>
  <c r="BL164" i="8"/>
  <c r="BP164" i="8"/>
  <c r="BT164" i="8"/>
  <c r="BX164" i="8"/>
  <c r="BB164" i="8"/>
  <c r="BG164" i="8"/>
  <c r="BM164" i="8"/>
  <c r="BR164" i="8"/>
  <c r="BW164" i="8"/>
  <c r="BC164" i="8"/>
  <c r="BJ164" i="8"/>
  <c r="BQ164" i="8"/>
  <c r="BY164" i="8"/>
  <c r="BK164" i="8"/>
  <c r="BI164" i="8"/>
  <c r="BV164" i="8"/>
  <c r="BF164" i="8"/>
  <c r="BZ164" i="8"/>
  <c r="BO164" i="8"/>
  <c r="BD160" i="8"/>
  <c r="BH160" i="8"/>
  <c r="BL160" i="8"/>
  <c r="BP160" i="8"/>
  <c r="BT160" i="8"/>
  <c r="BX160" i="8"/>
  <c r="BC160" i="8"/>
  <c r="BI160" i="8"/>
  <c r="BN160" i="8"/>
  <c r="BS160" i="8"/>
  <c r="BY160" i="8"/>
  <c r="BE160" i="8"/>
  <c r="BK160" i="8"/>
  <c r="BR160" i="8"/>
  <c r="BZ160" i="8"/>
  <c r="BF160" i="8"/>
  <c r="BO160" i="8"/>
  <c r="BW160" i="8"/>
  <c r="BB160" i="8"/>
  <c r="BQ160" i="8"/>
  <c r="BJ160" i="8"/>
  <c r="BV160" i="8"/>
  <c r="BM160" i="8"/>
  <c r="BD156" i="8"/>
  <c r="BH156" i="8"/>
  <c r="BL156" i="8"/>
  <c r="BP156" i="8"/>
  <c r="BT156" i="8"/>
  <c r="BX156" i="8"/>
  <c r="BB156" i="8"/>
  <c r="BG156" i="8"/>
  <c r="BM156" i="8"/>
  <c r="BR156" i="8"/>
  <c r="BW156" i="8"/>
  <c r="BE156" i="8"/>
  <c r="BK156" i="8"/>
  <c r="BS156" i="8"/>
  <c r="BZ156" i="8"/>
  <c r="BJ156" i="8"/>
  <c r="BC156" i="8"/>
  <c r="BO156" i="8"/>
  <c r="BI156" i="8"/>
  <c r="BY156" i="8"/>
  <c r="BQ156" i="8"/>
  <c r="BF156" i="8"/>
  <c r="BW192" i="8"/>
  <c r="BJ192" i="8"/>
  <c r="BV188" i="8"/>
  <c r="BI188" i="8"/>
  <c r="BJ184" i="8"/>
  <c r="BK180" i="8"/>
  <c r="BZ176" i="8"/>
  <c r="BG176" i="8"/>
  <c r="BF174" i="8"/>
  <c r="BV172" i="8"/>
  <c r="BH168" i="8"/>
  <c r="BT166" i="8"/>
  <c r="BN164" i="8"/>
  <c r="BQ154" i="8"/>
  <c r="CA153" i="8"/>
  <c r="BC153" i="8"/>
  <c r="BG153" i="8"/>
  <c r="BK153" i="8"/>
  <c r="BO153" i="8"/>
  <c r="BS153" i="8"/>
  <c r="BW153" i="8"/>
  <c r="BB153" i="8"/>
  <c r="BH153" i="8"/>
  <c r="BM153" i="8"/>
  <c r="BR153" i="8"/>
  <c r="BX153" i="8"/>
  <c r="BZ153" i="8"/>
  <c r="BT153" i="8"/>
  <c r="BL153" i="8"/>
  <c r="BE153" i="8"/>
  <c r="CA191" i="8"/>
  <c r="BE191" i="8"/>
  <c r="BI191" i="8"/>
  <c r="BM191" i="8"/>
  <c r="BQ191" i="8"/>
  <c r="BY191" i="8"/>
  <c r="CA187" i="8"/>
  <c r="BE187" i="8"/>
  <c r="BI187" i="8"/>
  <c r="BM187" i="8"/>
  <c r="BQ187" i="8"/>
  <c r="BY187" i="8"/>
  <c r="CA183" i="8"/>
  <c r="BB183" i="8"/>
  <c r="BF183" i="8"/>
  <c r="BJ183" i="8"/>
  <c r="BN183" i="8"/>
  <c r="BR183" i="8"/>
  <c r="BV183" i="8"/>
  <c r="BZ183" i="8"/>
  <c r="BD183" i="8"/>
  <c r="BI183" i="8"/>
  <c r="BO183" i="8"/>
  <c r="BT183" i="8"/>
  <c r="BY183" i="8"/>
  <c r="CA179" i="8"/>
  <c r="BB179" i="8"/>
  <c r="BF179" i="8"/>
  <c r="BJ179" i="8"/>
  <c r="BN179" i="8"/>
  <c r="BR179" i="8"/>
  <c r="BV179" i="8"/>
  <c r="BZ179" i="8"/>
  <c r="BC179" i="8"/>
  <c r="BH179" i="8"/>
  <c r="BM179" i="8"/>
  <c r="BS179" i="8"/>
  <c r="BX179" i="8"/>
  <c r="CA175" i="8"/>
  <c r="BB175" i="8"/>
  <c r="BF175" i="8"/>
  <c r="BJ175" i="8"/>
  <c r="BN175" i="8"/>
  <c r="BR175" i="8"/>
  <c r="BV175" i="8"/>
  <c r="BZ175" i="8"/>
  <c r="BG175" i="8"/>
  <c r="BL175" i="8"/>
  <c r="BQ175" i="8"/>
  <c r="BW175" i="8"/>
  <c r="BE175" i="8"/>
  <c r="BM175" i="8"/>
  <c r="BT175" i="8"/>
  <c r="CA171" i="8"/>
  <c r="BB171" i="8"/>
  <c r="BF171" i="8"/>
  <c r="BJ171" i="8"/>
  <c r="BN171" i="8"/>
  <c r="BR171" i="8"/>
  <c r="BV171" i="8"/>
  <c r="BZ171" i="8"/>
  <c r="BE171" i="8"/>
  <c r="BK171" i="8"/>
  <c r="BP171" i="8"/>
  <c r="BG171" i="8"/>
  <c r="BM171" i="8"/>
  <c r="BT171" i="8"/>
  <c r="CA167" i="8"/>
  <c r="BE167" i="8"/>
  <c r="BI167" i="8"/>
  <c r="BM167" i="8"/>
  <c r="BQ167" i="8"/>
  <c r="BB167" i="8"/>
  <c r="BG167" i="8"/>
  <c r="BL167" i="8"/>
  <c r="BR167" i="8"/>
  <c r="BV167" i="8"/>
  <c r="BZ167" i="8"/>
  <c r="BF167" i="8"/>
  <c r="BN167" i="8"/>
  <c r="BT167" i="8"/>
  <c r="BY167" i="8"/>
  <c r="BC167" i="8"/>
  <c r="BK167" i="8"/>
  <c r="CA163" i="8"/>
  <c r="BE163" i="8"/>
  <c r="BI163" i="8"/>
  <c r="BM163" i="8"/>
  <c r="BQ163" i="8"/>
  <c r="BY163" i="8"/>
  <c r="BF163" i="8"/>
  <c r="BK163" i="8"/>
  <c r="BP163" i="8"/>
  <c r="BV163" i="8"/>
  <c r="BG163" i="8"/>
  <c r="BN163" i="8"/>
  <c r="BT163" i="8"/>
  <c r="BH163" i="8"/>
  <c r="BR163" i="8"/>
  <c r="BZ163" i="8"/>
  <c r="CA159" i="8"/>
  <c r="BE159" i="8"/>
  <c r="BI159" i="8"/>
  <c r="BM159" i="8"/>
  <c r="BQ159" i="8"/>
  <c r="BY159" i="8"/>
  <c r="BB159" i="8"/>
  <c r="BG159" i="8"/>
  <c r="BL159" i="8"/>
  <c r="BR159" i="8"/>
  <c r="BW159" i="8"/>
  <c r="BH159" i="8"/>
  <c r="BO159" i="8"/>
  <c r="BV159" i="8"/>
  <c r="BC159" i="8"/>
  <c r="BK159" i="8"/>
  <c r="BT159" i="8"/>
  <c r="BD159" i="8"/>
  <c r="BP159" i="8"/>
  <c r="CA155" i="8"/>
  <c r="BE155" i="8"/>
  <c r="BI155" i="8"/>
  <c r="BM155" i="8"/>
  <c r="BQ155" i="8"/>
  <c r="BY155" i="8"/>
  <c r="BF155" i="8"/>
  <c r="BK155" i="8"/>
  <c r="BP155" i="8"/>
  <c r="BV155" i="8"/>
  <c r="BB155" i="8"/>
  <c r="BH155" i="8"/>
  <c r="BO155" i="8"/>
  <c r="BW155" i="8"/>
  <c r="BG155" i="8"/>
  <c r="BR155" i="8"/>
  <c r="BZ155" i="8"/>
  <c r="BC155" i="8"/>
  <c r="BN155" i="8"/>
  <c r="BW191" i="8"/>
  <c r="BR191" i="8"/>
  <c r="BL191" i="8"/>
  <c r="BG191" i="8"/>
  <c r="BB191" i="8"/>
  <c r="BV187" i="8"/>
  <c r="BP187" i="8"/>
  <c r="BK187" i="8"/>
  <c r="BF187" i="8"/>
  <c r="BW183" i="8"/>
  <c r="BP183" i="8"/>
  <c r="BH183" i="8"/>
  <c r="BW179" i="8"/>
  <c r="BP179" i="8"/>
  <c r="BI179" i="8"/>
  <c r="BK175" i="8"/>
  <c r="BC175" i="8"/>
  <c r="BY171" i="8"/>
  <c r="BQ171" i="8"/>
  <c r="BH171" i="8"/>
  <c r="BW167" i="8"/>
  <c r="BJ167" i="8"/>
  <c r="BW163" i="8"/>
  <c r="BJ163" i="8"/>
  <c r="BS159" i="8"/>
  <c r="BS155" i="8"/>
  <c r="CA189" i="8"/>
  <c r="CA185" i="8"/>
  <c r="BD185" i="8"/>
  <c r="CA181" i="8"/>
  <c r="BD181" i="8"/>
  <c r="BH181" i="8"/>
  <c r="BL181" i="8"/>
  <c r="BP181" i="8"/>
  <c r="BT181" i="8"/>
  <c r="BX181" i="8"/>
  <c r="CA177" i="8"/>
  <c r="BD177" i="8"/>
  <c r="BH177" i="8"/>
  <c r="BL177" i="8"/>
  <c r="BP177" i="8"/>
  <c r="BT177" i="8"/>
  <c r="BX177" i="8"/>
  <c r="CA173" i="8"/>
  <c r="BD173" i="8"/>
  <c r="BH173" i="8"/>
  <c r="BL173" i="8"/>
  <c r="BP173" i="8"/>
  <c r="BT173" i="8"/>
  <c r="BX173" i="8"/>
  <c r="BC173" i="8"/>
  <c r="BI173" i="8"/>
  <c r="BN173" i="8"/>
  <c r="BS173" i="8"/>
  <c r="BY173" i="8"/>
  <c r="CA169" i="8"/>
  <c r="BD169" i="8"/>
  <c r="BH169" i="8"/>
  <c r="BL169" i="8"/>
  <c r="BP169" i="8"/>
  <c r="BT169" i="8"/>
  <c r="BX169" i="8"/>
  <c r="BB169" i="8"/>
  <c r="BG169" i="8"/>
  <c r="BM169" i="8"/>
  <c r="BR169" i="8"/>
  <c r="BW169" i="8"/>
  <c r="CA165" i="8"/>
  <c r="BC165" i="8"/>
  <c r="BG165" i="8"/>
  <c r="BK165" i="8"/>
  <c r="BO165" i="8"/>
  <c r="BS165" i="8"/>
  <c r="BW165" i="8"/>
  <c r="BD165" i="8"/>
  <c r="BI165" i="8"/>
  <c r="BN165" i="8"/>
  <c r="BT165" i="8"/>
  <c r="BY165" i="8"/>
  <c r="BF165" i="8"/>
  <c r="BM165" i="8"/>
  <c r="CA161" i="8"/>
  <c r="BC161" i="8"/>
  <c r="BG161" i="8"/>
  <c r="BK161" i="8"/>
  <c r="BO161" i="8"/>
  <c r="BS161" i="8"/>
  <c r="BW161" i="8"/>
  <c r="BE161" i="8"/>
  <c r="BJ161" i="8"/>
  <c r="BP161" i="8"/>
  <c r="BZ161" i="8"/>
  <c r="BH161" i="8"/>
  <c r="BN161" i="8"/>
  <c r="BV161" i="8"/>
  <c r="BI161" i="8"/>
  <c r="BR161" i="8"/>
  <c r="CA157" i="8"/>
  <c r="BC157" i="8"/>
  <c r="BG157" i="8"/>
  <c r="BK157" i="8"/>
  <c r="BO157" i="8"/>
  <c r="BS157" i="8"/>
  <c r="BW157" i="8"/>
  <c r="BD157" i="8"/>
  <c r="BI157" i="8"/>
  <c r="BN157" i="8"/>
  <c r="BT157" i="8"/>
  <c r="BY157" i="8"/>
  <c r="BH157" i="8"/>
  <c r="BP157" i="8"/>
  <c r="BV157" i="8"/>
  <c r="BE157" i="8"/>
  <c r="BM157" i="8"/>
  <c r="BX157" i="8"/>
  <c r="BW189" i="8"/>
  <c r="BS189" i="8"/>
  <c r="BO189" i="8"/>
  <c r="BK189" i="8"/>
  <c r="BG189" i="8"/>
  <c r="BC189" i="8"/>
  <c r="BW185" i="8"/>
  <c r="BS185" i="8"/>
  <c r="BO185" i="8"/>
  <c r="BK185" i="8"/>
  <c r="BG185" i="8"/>
  <c r="BB185" i="8"/>
  <c r="BV181" i="8"/>
  <c r="BQ181" i="8"/>
  <c r="BK181" i="8"/>
  <c r="BF181" i="8"/>
  <c r="BZ177" i="8"/>
  <c r="BO177" i="8"/>
  <c r="BJ177" i="8"/>
  <c r="BE177" i="8"/>
  <c r="BM173" i="8"/>
  <c r="BF173" i="8"/>
  <c r="BN169" i="8"/>
  <c r="BF169" i="8"/>
  <c r="BX165" i="8"/>
  <c r="BP165" i="8"/>
  <c r="BE165" i="8"/>
  <c r="BQ161" i="8"/>
  <c r="BD161" i="8"/>
  <c r="BQ157" i="8"/>
  <c r="BB157" i="8"/>
  <c r="J39" i="3"/>
  <c r="G39" i="3"/>
  <c r="AQ36" i="3"/>
  <c r="R39" i="3"/>
  <c r="O39" i="3"/>
  <c r="Z39" i="3"/>
  <c r="W39" i="3"/>
  <c r="L39" i="3"/>
  <c r="AE39" i="3"/>
  <c r="CC7" i="8"/>
  <c r="BY7" i="8"/>
  <c r="BU7" i="8"/>
  <c r="BQ7" i="8"/>
  <c r="BM7" i="8"/>
  <c r="BI7" i="8"/>
  <c r="BE7" i="8"/>
  <c r="CB7" i="8"/>
  <c r="BX7" i="8"/>
  <c r="BT7" i="8"/>
  <c r="BP7" i="8"/>
  <c r="BL7" i="8"/>
  <c r="BH7" i="8"/>
  <c r="CA7" i="8"/>
  <c r="BS7" i="8"/>
  <c r="BO7" i="8"/>
  <c r="BK7" i="8"/>
  <c r="BG7" i="8"/>
  <c r="BD7" i="8"/>
  <c r="BZ7" i="8"/>
  <c r="BV7" i="8"/>
  <c r="BR7" i="8"/>
  <c r="BN7" i="8"/>
  <c r="BJ7" i="8"/>
  <c r="W107" i="8"/>
  <c r="W193" i="8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D37" i="1" a="1"/>
  <c r="D37" i="1" s="1"/>
  <c r="G38" i="3" l="1"/>
  <c r="E122" i="8"/>
  <c r="E121" i="8"/>
  <c r="BM193" i="8"/>
  <c r="C137" i="8"/>
  <c r="C138" i="8"/>
  <c r="BX193" i="8"/>
  <c r="BQ193" i="8"/>
  <c r="BR193" i="8"/>
  <c r="BE193" i="8"/>
  <c r="BY193" i="8"/>
  <c r="BG193" i="8"/>
  <c r="BZ193" i="8"/>
  <c r="BI193" i="8"/>
  <c r="BF193" i="8"/>
  <c r="BS193" i="8"/>
  <c r="BQ107" i="8"/>
  <c r="BV193" i="8"/>
  <c r="BJ193" i="8"/>
  <c r="BO193" i="8"/>
  <c r="CB178" i="8"/>
  <c r="CD95" i="8"/>
  <c r="BC193" i="8"/>
  <c r="CD53" i="8"/>
  <c r="CD42" i="8"/>
  <c r="BD107" i="8"/>
  <c r="BN107" i="8"/>
  <c r="BC107" i="8"/>
  <c r="BG107" i="8"/>
  <c r="CA107" i="8"/>
  <c r="BT107" i="8"/>
  <c r="BW107" i="8"/>
  <c r="R215" i="6"/>
  <c r="F38" i="3"/>
  <c r="E38" i="3"/>
  <c r="G37" i="3"/>
  <c r="H38" i="3" s="1"/>
  <c r="CB153" i="8"/>
  <c r="CB192" i="8"/>
  <c r="CD88" i="8"/>
  <c r="CD90" i="8"/>
  <c r="BY108" i="8"/>
  <c r="BY147" i="8" s="1"/>
  <c r="CD104" i="8"/>
  <c r="BH193" i="8"/>
  <c r="AQ39" i="3"/>
  <c r="CB165" i="8"/>
  <c r="CB168" i="8"/>
  <c r="CB180" i="8"/>
  <c r="CD85" i="8"/>
  <c r="CD100" i="8"/>
  <c r="CB161" i="8"/>
  <c r="CB173" i="8"/>
  <c r="CB177" i="8"/>
  <c r="CB181" i="8"/>
  <c r="CB191" i="8"/>
  <c r="CB163" i="8"/>
  <c r="CB160" i="8"/>
  <c r="CB172" i="8"/>
  <c r="CB184" i="8"/>
  <c r="CD99" i="8"/>
  <c r="CD101" i="8"/>
  <c r="CD103" i="8"/>
  <c r="CD105" i="8"/>
  <c r="CD93" i="8"/>
  <c r="CB189" i="8"/>
  <c r="CB187" i="8"/>
  <c r="CD87" i="8"/>
  <c r="BB193" i="8"/>
  <c r="CD96" i="8"/>
  <c r="CD62" i="8"/>
  <c r="BK193" i="8"/>
  <c r="C110" i="2"/>
  <c r="C108" i="2"/>
  <c r="C115" i="2"/>
  <c r="C113" i="2"/>
  <c r="C120" i="2"/>
  <c r="C118" i="2"/>
  <c r="C125" i="2"/>
  <c r="C123" i="2"/>
  <c r="C130" i="2"/>
  <c r="C128" i="2"/>
  <c r="CB188" i="8"/>
  <c r="CD24" i="8"/>
  <c r="CD36" i="8"/>
  <c r="CD34" i="8"/>
  <c r="CD49" i="8"/>
  <c r="CD65" i="8"/>
  <c r="CD84" i="8"/>
  <c r="CD31" i="8"/>
  <c r="CD83" i="8"/>
  <c r="CD50" i="8"/>
  <c r="AA37" i="1"/>
  <c r="BP107" i="8"/>
  <c r="BZ107" i="8"/>
  <c r="BJ107" i="8"/>
  <c r="BK107" i="8"/>
  <c r="BE107" i="8"/>
  <c r="BY107" i="8"/>
  <c r="CB157" i="8"/>
  <c r="CB169" i="8"/>
  <c r="CB155" i="8"/>
  <c r="CB159" i="8"/>
  <c r="CB171" i="8"/>
  <c r="CB179" i="8"/>
  <c r="CB156" i="8"/>
  <c r="CB158" i="8"/>
  <c r="CB170" i="8"/>
  <c r="CD91" i="8"/>
  <c r="CD28" i="8"/>
  <c r="CD40" i="8"/>
  <c r="CD48" i="8"/>
  <c r="CD56" i="8"/>
  <c r="CD64" i="8"/>
  <c r="CD14" i="8"/>
  <c r="CD74" i="8"/>
  <c r="CD9" i="8"/>
  <c r="CD61" i="8"/>
  <c r="CD73" i="8"/>
  <c r="CD11" i="8"/>
  <c r="CD35" i="8"/>
  <c r="CD39" i="8"/>
  <c r="CD43" i="8"/>
  <c r="CD51" i="8"/>
  <c r="CD59" i="8"/>
  <c r="CD71" i="8"/>
  <c r="BL193" i="8"/>
  <c r="BW193" i="8"/>
  <c r="CB186" i="8"/>
  <c r="CD29" i="8"/>
  <c r="CD33" i="8"/>
  <c r="CD37" i="8"/>
  <c r="CD57" i="8"/>
  <c r="CD77" i="8"/>
  <c r="BI107" i="8"/>
  <c r="BL107" i="8"/>
  <c r="BV107" i="8"/>
  <c r="BF107" i="8"/>
  <c r="BO107" i="8"/>
  <c r="BM107" i="8"/>
  <c r="CB167" i="8"/>
  <c r="CB183" i="8"/>
  <c r="CB164" i="8"/>
  <c r="CB154" i="8"/>
  <c r="CB166" i="8"/>
  <c r="CB174" i="8"/>
  <c r="CB190" i="8"/>
  <c r="CD54" i="8"/>
  <c r="CD12" i="8"/>
  <c r="CD20" i="8"/>
  <c r="CD68" i="8"/>
  <c r="CD80" i="8"/>
  <c r="CD94" i="8"/>
  <c r="CD98" i="8"/>
  <c r="CD102" i="8"/>
  <c r="CD106" i="8"/>
  <c r="CD46" i="8"/>
  <c r="CD82" i="8"/>
  <c r="CD89" i="8"/>
  <c r="CD97" i="8"/>
  <c r="CD13" i="8"/>
  <c r="CD41" i="8"/>
  <c r="CD69" i="8"/>
  <c r="CD18" i="8"/>
  <c r="CD66" i="8"/>
  <c r="CD15" i="8"/>
  <c r="CD63" i="8"/>
  <c r="CD67" i="8"/>
  <c r="CD79" i="8"/>
  <c r="BP193" i="8"/>
  <c r="CD10" i="8"/>
  <c r="CD38" i="8"/>
  <c r="CB175" i="8"/>
  <c r="CB162" i="8"/>
  <c r="BX107" i="8"/>
  <c r="BH107" i="8"/>
  <c r="BR107" i="8"/>
  <c r="BB107" i="8"/>
  <c r="BS107" i="8"/>
  <c r="CB185" i="8"/>
  <c r="CB176" i="8"/>
  <c r="CB182" i="8"/>
  <c r="CD8" i="8"/>
  <c r="CD16" i="8"/>
  <c r="CD32" i="8"/>
  <c r="CD44" i="8"/>
  <c r="CD52" i="8"/>
  <c r="CD60" i="8"/>
  <c r="CD72" i="8"/>
  <c r="CD76" i="8"/>
  <c r="CD26" i="8"/>
  <c r="CD58" i="8"/>
  <c r="CD45" i="8"/>
  <c r="CD17" i="8"/>
  <c r="CD21" i="8"/>
  <c r="CD25" i="8"/>
  <c r="CD81" i="8"/>
  <c r="CD86" i="8"/>
  <c r="CD30" i="8"/>
  <c r="CD70" i="8"/>
  <c r="CA193" i="8"/>
  <c r="CD92" i="8"/>
  <c r="CD19" i="8"/>
  <c r="CD23" i="8"/>
  <c r="CD27" i="8"/>
  <c r="CD47" i="8"/>
  <c r="CD55" i="8"/>
  <c r="CD75" i="8"/>
  <c r="BD193" i="8"/>
  <c r="BT193" i="8"/>
  <c r="CD22" i="8"/>
  <c r="CD78" i="8"/>
  <c r="CD7" i="8"/>
  <c r="C38" i="1" a="1"/>
  <c r="C38" i="1" s="1"/>
  <c r="P40" i="1" s="1"/>
  <c r="C40" i="1"/>
  <c r="H37" i="3" l="1"/>
  <c r="I37" i="3" s="1"/>
  <c r="G40" i="1"/>
  <c r="J40" i="1"/>
  <c r="CB147" i="8"/>
  <c r="S40" i="1"/>
  <c r="X40" i="1"/>
  <c r="Q40" i="1"/>
  <c r="F40" i="1"/>
  <c r="V40" i="1"/>
  <c r="W40" i="1"/>
  <c r="E40" i="1"/>
  <c r="U40" i="1"/>
  <c r="Z40" i="1"/>
  <c r="K40" i="1"/>
  <c r="D40" i="1"/>
  <c r="I40" i="1"/>
  <c r="Y40" i="1"/>
  <c r="N40" i="1"/>
  <c r="L40" i="1"/>
  <c r="O40" i="1"/>
  <c r="H40" i="1"/>
  <c r="M40" i="1"/>
  <c r="T40" i="1"/>
  <c r="R40" i="1"/>
  <c r="D38" i="1"/>
  <c r="E38" i="1" s="1"/>
  <c r="D39" i="1"/>
  <c r="F122" i="8" l="1"/>
  <c r="F121" i="8"/>
  <c r="I38" i="3"/>
  <c r="F39" i="1"/>
  <c r="E141" i="7"/>
  <c r="E140" i="7"/>
  <c r="AA40" i="1"/>
  <c r="J37" i="3"/>
  <c r="J38" i="3"/>
  <c r="F38" i="1"/>
  <c r="E39" i="1"/>
  <c r="AA26" i="1"/>
  <c r="O7" i="13"/>
  <c r="O6" i="13"/>
  <c r="O5" i="13"/>
  <c r="C45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4" i="3"/>
  <c r="C41" i="3"/>
  <c r="C43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E43" i="3" s="1"/>
  <c r="AD40" i="3" a="1"/>
  <c r="AD40" i="3" s="1"/>
  <c r="AC40" i="3" a="1"/>
  <c r="AC40" i="3" s="1"/>
  <c r="AB40" i="3" a="1"/>
  <c r="AB40" i="3" s="1"/>
  <c r="AA40" i="3" a="1"/>
  <c r="AA40" i="3" s="1"/>
  <c r="AA43" i="3" s="1"/>
  <c r="Z40" i="3" a="1"/>
  <c r="Z40" i="3" s="1"/>
  <c r="Y40" i="3" a="1"/>
  <c r="Y40" i="3" s="1"/>
  <c r="X40" i="3" a="1"/>
  <c r="X40" i="3" s="1"/>
  <c r="W40" i="3" a="1"/>
  <c r="W40" i="3" s="1"/>
  <c r="W43" i="3" s="1"/>
  <c r="V40" i="3" a="1"/>
  <c r="V40" i="3" s="1"/>
  <c r="U40" i="3" a="1"/>
  <c r="U40" i="3" s="1"/>
  <c r="T40" i="3" a="1"/>
  <c r="T40" i="3" s="1"/>
  <c r="S40" i="3" a="1"/>
  <c r="S40" i="3" s="1"/>
  <c r="S43" i="3" s="1"/>
  <c r="R40" i="3" a="1"/>
  <c r="R40" i="3" s="1"/>
  <c r="Q40" i="3" a="1"/>
  <c r="Q40" i="3" s="1"/>
  <c r="P40" i="3" a="1"/>
  <c r="P40" i="3" s="1"/>
  <c r="O40" i="3" a="1"/>
  <c r="O40" i="3" s="1"/>
  <c r="O43" i="3" s="1"/>
  <c r="N40" i="3" a="1"/>
  <c r="N40" i="3" s="1"/>
  <c r="M40" i="3" a="1"/>
  <c r="M40" i="3" s="1"/>
  <c r="L40" i="3" a="1"/>
  <c r="L40" i="3" s="1"/>
  <c r="K40" i="3" a="1"/>
  <c r="K40" i="3" s="1"/>
  <c r="K43" i="3" s="1"/>
  <c r="J40" i="3" a="1"/>
  <c r="J40" i="3" s="1"/>
  <c r="I40" i="3" a="1"/>
  <c r="I40" i="3" s="1"/>
  <c r="H40" i="3" a="1"/>
  <c r="H40" i="3" s="1"/>
  <c r="G40" i="3" a="1"/>
  <c r="G40" i="3" s="1"/>
  <c r="G43" i="3" s="1"/>
  <c r="F40" i="3" a="1"/>
  <c r="F40" i="3" s="1"/>
  <c r="E40" i="3" a="1"/>
  <c r="E40" i="3" s="1"/>
  <c r="D40" i="3" a="1"/>
  <c r="D40" i="3" s="1"/>
  <c r="F48" i="3"/>
  <c r="F51" i="3" s="1"/>
  <c r="G48" i="3"/>
  <c r="G51" i="3" s="1"/>
  <c r="H48" i="3"/>
  <c r="H51" i="3" s="1"/>
  <c r="I48" i="3"/>
  <c r="I51" i="3" s="1"/>
  <c r="J48" i="3"/>
  <c r="J51" i="3" s="1"/>
  <c r="K48" i="3"/>
  <c r="K51" i="3" s="1"/>
  <c r="L48" i="3"/>
  <c r="L51" i="3" s="1"/>
  <c r="M48" i="3"/>
  <c r="M51" i="3" s="1"/>
  <c r="N48" i="3"/>
  <c r="N51" i="3" s="1"/>
  <c r="O48" i="3"/>
  <c r="O51" i="3" s="1"/>
  <c r="P48" i="3"/>
  <c r="P51" i="3" s="1"/>
  <c r="Q48" i="3"/>
  <c r="Q51" i="3" s="1"/>
  <c r="R48" i="3"/>
  <c r="R51" i="3" s="1"/>
  <c r="S48" i="3"/>
  <c r="S51" i="3" s="1"/>
  <c r="T48" i="3"/>
  <c r="T51" i="3" s="1"/>
  <c r="U48" i="3"/>
  <c r="U51" i="3" s="1"/>
  <c r="V48" i="3"/>
  <c r="V51" i="3" s="1"/>
  <c r="W48" i="3"/>
  <c r="W51" i="3" s="1"/>
  <c r="X48" i="3"/>
  <c r="X51" i="3" s="1"/>
  <c r="Y48" i="3"/>
  <c r="Y51" i="3" s="1"/>
  <c r="Z48" i="3"/>
  <c r="Z51" i="3" s="1"/>
  <c r="AA48" i="3"/>
  <c r="AA51" i="3" s="1"/>
  <c r="AB48" i="3"/>
  <c r="AB51" i="3" s="1"/>
  <c r="AC48" i="3"/>
  <c r="AC51" i="3" s="1"/>
  <c r="AD48" i="3"/>
  <c r="AD51" i="3" s="1"/>
  <c r="AE48" i="3"/>
  <c r="AE51" i="3" s="1"/>
  <c r="AF48" i="3"/>
  <c r="AF51" i="3" s="1"/>
  <c r="AG48" i="3"/>
  <c r="AG51" i="3" s="1"/>
  <c r="AH48" i="3"/>
  <c r="AH51" i="3" s="1"/>
  <c r="AI48" i="3"/>
  <c r="AI51" i="3" s="1"/>
  <c r="AJ48" i="3"/>
  <c r="AJ51" i="3" s="1"/>
  <c r="AK48" i="3"/>
  <c r="AK51" i="3" s="1"/>
  <c r="AL48" i="3"/>
  <c r="AL51" i="3" s="1"/>
  <c r="AM48" i="3"/>
  <c r="AM51" i="3" s="1"/>
  <c r="AN48" i="3"/>
  <c r="AN51" i="3" s="1"/>
  <c r="AO48" i="3"/>
  <c r="AO51" i="3" s="1"/>
  <c r="AP48" i="3"/>
  <c r="AP51" i="3" s="1"/>
  <c r="AM43" i="3" l="1"/>
  <c r="AI43" i="3"/>
  <c r="G122" i="8"/>
  <c r="G121" i="8"/>
  <c r="E143" i="6"/>
  <c r="E142" i="6"/>
  <c r="G38" i="1"/>
  <c r="F141" i="7"/>
  <c r="F140" i="7"/>
  <c r="K37" i="3"/>
  <c r="K38" i="3"/>
  <c r="AQ44" i="3"/>
  <c r="F43" i="3"/>
  <c r="J43" i="3"/>
  <c r="N43" i="3"/>
  <c r="R43" i="3"/>
  <c r="V43" i="3"/>
  <c r="Z43" i="3"/>
  <c r="AD43" i="3"/>
  <c r="AH43" i="3"/>
  <c r="AL43" i="3"/>
  <c r="AP43" i="3"/>
  <c r="H43" i="3"/>
  <c r="L43" i="3"/>
  <c r="P43" i="3"/>
  <c r="T43" i="3"/>
  <c r="X43" i="3"/>
  <c r="AB43" i="3"/>
  <c r="AF43" i="3"/>
  <c r="AJ43" i="3"/>
  <c r="AN43" i="3"/>
  <c r="E43" i="3"/>
  <c r="I43" i="3"/>
  <c r="M43" i="3"/>
  <c r="Q43" i="3"/>
  <c r="U43" i="3"/>
  <c r="Y43" i="3"/>
  <c r="AC43" i="3"/>
  <c r="AG43" i="3"/>
  <c r="AK43" i="3"/>
  <c r="AO43" i="3"/>
  <c r="D43" i="3"/>
  <c r="AQ40" i="3"/>
  <c r="G39" i="1"/>
  <c r="D42" i="3"/>
  <c r="D41" i="3"/>
  <c r="E41" i="3" s="1"/>
  <c r="F41" i="3" s="1"/>
  <c r="R47" i="3"/>
  <c r="V47" i="3"/>
  <c r="Z47" i="3"/>
  <c r="AD47" i="3"/>
  <c r="F47" i="3"/>
  <c r="G47" i="3"/>
  <c r="J47" i="3"/>
  <c r="K47" i="3"/>
  <c r="N47" i="3"/>
  <c r="O47" i="3"/>
  <c r="D47" i="3"/>
  <c r="C33" i="3" a="1"/>
  <c r="C33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AK32" i="3" a="1"/>
  <c r="AK32" i="3" s="1"/>
  <c r="AL32" i="3" a="1"/>
  <c r="AL32" i="3" s="1"/>
  <c r="AM32" i="3" a="1"/>
  <c r="AM32" i="3" s="1"/>
  <c r="AN32" i="3" a="1"/>
  <c r="AN32" i="3" s="1"/>
  <c r="AO32" i="3" a="1"/>
  <c r="AO32" i="3" s="1"/>
  <c r="AP32" i="3" a="1"/>
  <c r="AP32" i="3" s="1"/>
  <c r="D32" i="3" a="1"/>
  <c r="D32" i="3" s="1"/>
  <c r="C29" i="3" a="1"/>
  <c r="C29" i="3" s="1"/>
  <c r="K28" i="3" a="1"/>
  <c r="K28" i="3" s="1"/>
  <c r="L28" i="3" a="1"/>
  <c r="L28" i="3" s="1"/>
  <c r="M28" i="3" a="1"/>
  <c r="M28" i="3" s="1"/>
  <c r="N28" i="3" a="1"/>
  <c r="N28" i="3" s="1"/>
  <c r="N31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AK28" i="3" a="1"/>
  <c r="AK28" i="3" s="1"/>
  <c r="AL28" i="3" a="1"/>
  <c r="AL28" i="3" s="1"/>
  <c r="AM28" i="3" a="1"/>
  <c r="AM28" i="3" s="1"/>
  <c r="AN28" i="3" a="1"/>
  <c r="AN28" i="3" s="1"/>
  <c r="AO28" i="3" a="1"/>
  <c r="AO28" i="3" s="1"/>
  <c r="AP28" i="3" a="1"/>
  <c r="AP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E127" i="8" l="1"/>
  <c r="E126" i="8"/>
  <c r="H122" i="8"/>
  <c r="H121" i="8"/>
  <c r="H39" i="1"/>
  <c r="AG31" i="3"/>
  <c r="I31" i="3"/>
  <c r="E31" i="3"/>
  <c r="Y31" i="3"/>
  <c r="W31" i="3"/>
  <c r="H38" i="1"/>
  <c r="G140" i="7"/>
  <c r="G141" i="7"/>
  <c r="G41" i="3"/>
  <c r="H41" i="3" s="1"/>
  <c r="I41" i="3" s="1"/>
  <c r="L37" i="3"/>
  <c r="L38" i="3"/>
  <c r="L31" i="3"/>
  <c r="AQ43" i="3"/>
  <c r="Q31" i="3"/>
  <c r="AQ32" i="3"/>
  <c r="AQ28" i="3"/>
  <c r="AM31" i="3"/>
  <c r="G31" i="3"/>
  <c r="AE31" i="3"/>
  <c r="F31" i="3"/>
  <c r="AD31" i="3"/>
  <c r="Z31" i="3"/>
  <c r="O31" i="3"/>
  <c r="AC47" i="3"/>
  <c r="U47" i="3"/>
  <c r="AE47" i="3"/>
  <c r="AA47" i="3"/>
  <c r="W47" i="3"/>
  <c r="S47" i="3"/>
  <c r="J31" i="3"/>
  <c r="D30" i="3"/>
  <c r="AN31" i="3"/>
  <c r="D46" i="3"/>
  <c r="E42" i="3"/>
  <c r="Y47" i="3"/>
  <c r="Q47" i="3"/>
  <c r="M47" i="3"/>
  <c r="I47" i="3"/>
  <c r="E47" i="3"/>
  <c r="H31" i="3"/>
  <c r="AP31" i="3"/>
  <c r="D45" i="3"/>
  <c r="E45" i="3" s="1"/>
  <c r="AF47" i="3"/>
  <c r="AB47" i="3"/>
  <c r="X47" i="3"/>
  <c r="T47" i="3"/>
  <c r="P47" i="3"/>
  <c r="L47" i="3"/>
  <c r="H47" i="3"/>
  <c r="F42" i="3"/>
  <c r="G42" i="3"/>
  <c r="AO31" i="3"/>
  <c r="AL31" i="3"/>
  <c r="AH31" i="3"/>
  <c r="V31" i="3"/>
  <c r="R31" i="3"/>
  <c r="C47" i="3"/>
  <c r="G35" i="3"/>
  <c r="K35" i="3"/>
  <c r="O35" i="3"/>
  <c r="S35" i="3"/>
  <c r="AA35" i="3"/>
  <c r="AE35" i="3"/>
  <c r="D35" i="3"/>
  <c r="H35" i="3"/>
  <c r="L35" i="3"/>
  <c r="P35" i="3"/>
  <c r="T35" i="3"/>
  <c r="X35" i="3"/>
  <c r="AB35" i="3"/>
  <c r="AF35" i="3"/>
  <c r="AJ35" i="3"/>
  <c r="AN35" i="3"/>
  <c r="D33" i="3"/>
  <c r="E35" i="3"/>
  <c r="I35" i="3"/>
  <c r="M35" i="3"/>
  <c r="Q35" i="3"/>
  <c r="U35" i="3"/>
  <c r="Y35" i="3"/>
  <c r="AC35" i="3"/>
  <c r="AG35" i="3"/>
  <c r="AK35" i="3"/>
  <c r="AO35" i="3"/>
  <c r="F35" i="3"/>
  <c r="J35" i="3"/>
  <c r="N35" i="3"/>
  <c r="R35" i="3"/>
  <c r="V35" i="3"/>
  <c r="Z35" i="3"/>
  <c r="AD35" i="3"/>
  <c r="AH35" i="3"/>
  <c r="AL35" i="3"/>
  <c r="AP35" i="3"/>
  <c r="W35" i="3"/>
  <c r="AI35" i="3"/>
  <c r="D34" i="3"/>
  <c r="AM35" i="3"/>
  <c r="AK31" i="3"/>
  <c r="AA31" i="3"/>
  <c r="U31" i="3"/>
  <c r="K31" i="3"/>
  <c r="AI31" i="3"/>
  <c r="AC31" i="3"/>
  <c r="S31" i="3"/>
  <c r="M31" i="3"/>
  <c r="D31" i="3"/>
  <c r="D29" i="3"/>
  <c r="E29" i="3" s="1"/>
  <c r="F29" i="3" s="1"/>
  <c r="AJ31" i="3"/>
  <c r="AF31" i="3"/>
  <c r="AB31" i="3"/>
  <c r="X31" i="3"/>
  <c r="T31" i="3"/>
  <c r="P31" i="3"/>
  <c r="I122" i="8" l="1"/>
  <c r="I121" i="8"/>
  <c r="E112" i="8"/>
  <c r="E111" i="8"/>
  <c r="J41" i="3"/>
  <c r="F127" i="8"/>
  <c r="F126" i="8"/>
  <c r="I42" i="3"/>
  <c r="J42" i="3"/>
  <c r="H42" i="3"/>
  <c r="K42" i="3"/>
  <c r="I38" i="1"/>
  <c r="H141" i="7"/>
  <c r="H140" i="7"/>
  <c r="I39" i="1"/>
  <c r="M37" i="3"/>
  <c r="M38" i="3"/>
  <c r="AQ47" i="3"/>
  <c r="AQ35" i="3"/>
  <c r="AQ31" i="3"/>
  <c r="G29" i="3"/>
  <c r="H29" i="3" s="1"/>
  <c r="I29" i="3" s="1"/>
  <c r="F30" i="3"/>
  <c r="G30" i="3"/>
  <c r="E46" i="3"/>
  <c r="E30" i="3"/>
  <c r="F45" i="3"/>
  <c r="F46" i="3"/>
  <c r="E33" i="3"/>
  <c r="E34" i="3"/>
  <c r="D48" i="3"/>
  <c r="E48" i="3"/>
  <c r="E51" i="3" s="1"/>
  <c r="C48" i="3"/>
  <c r="G129" i="13"/>
  <c r="Q100" i="13"/>
  <c r="AC74" i="13"/>
  <c r="G132" i="13"/>
  <c r="G131" i="13"/>
  <c r="G130" i="13"/>
  <c r="K1" i="3"/>
  <c r="M1" i="3"/>
  <c r="L1" i="3"/>
  <c r="J1" i="3"/>
  <c r="K41" i="3" l="1"/>
  <c r="G127" i="8"/>
  <c r="G126" i="8"/>
  <c r="J122" i="8"/>
  <c r="J121" i="8"/>
  <c r="F143" i="6"/>
  <c r="F142" i="6"/>
  <c r="E132" i="2"/>
  <c r="E137" i="8"/>
  <c r="E136" i="8"/>
  <c r="J29" i="3"/>
  <c r="F112" i="8"/>
  <c r="F111" i="8"/>
  <c r="J38" i="1"/>
  <c r="I141" i="7"/>
  <c r="I140" i="7"/>
  <c r="J39" i="1"/>
  <c r="N37" i="3"/>
  <c r="N38" i="3"/>
  <c r="C51" i="3"/>
  <c r="AQ48" i="3"/>
  <c r="D51" i="3"/>
  <c r="D49" i="3"/>
  <c r="E49" i="3" s="1"/>
  <c r="K30" i="3"/>
  <c r="J30" i="3"/>
  <c r="I30" i="3"/>
  <c r="H30" i="3"/>
  <c r="G45" i="3"/>
  <c r="G46" i="3"/>
  <c r="D50" i="3"/>
  <c r="F33" i="3"/>
  <c r="F34" i="3"/>
  <c r="AT28" i="3"/>
  <c r="AU28" i="3"/>
  <c r="AV28" i="3"/>
  <c r="AW28" i="3"/>
  <c r="AS28" i="3"/>
  <c r="Q165" i="12"/>
  <c r="Q167" i="12"/>
  <c r="Q168" i="12"/>
  <c r="Q171" i="12"/>
  <c r="Q172" i="12"/>
  <c r="Q173" i="12"/>
  <c r="Q174" i="12"/>
  <c r="Q175" i="12"/>
  <c r="Q176" i="12"/>
  <c r="Q177" i="12"/>
  <c r="Q178" i="12"/>
  <c r="Q179" i="12"/>
  <c r="Q164" i="12"/>
  <c r="E117" i="8" l="1"/>
  <c r="E116" i="8"/>
  <c r="K29" i="3"/>
  <c r="G112" i="8"/>
  <c r="G111" i="8"/>
  <c r="G143" i="6"/>
  <c r="G142" i="6"/>
  <c r="L42" i="3"/>
  <c r="H127" i="8"/>
  <c r="H126" i="8"/>
  <c r="L41" i="3"/>
  <c r="K38" i="1"/>
  <c r="J141" i="7"/>
  <c r="J140" i="7"/>
  <c r="K39" i="1"/>
  <c r="E50" i="3"/>
  <c r="O37" i="3"/>
  <c r="O38" i="3"/>
  <c r="AQ51" i="3"/>
  <c r="H45" i="3"/>
  <c r="H46" i="3"/>
  <c r="F50" i="3"/>
  <c r="F49" i="3"/>
  <c r="G33" i="3"/>
  <c r="G34" i="3"/>
  <c r="Q170" i="12"/>
  <c r="Q166" i="12"/>
  <c r="Q169" i="12"/>
  <c r="AQ56" i="10"/>
  <c r="AQ55" i="10"/>
  <c r="AQ54" i="10"/>
  <c r="AQ53" i="10"/>
  <c r="AQ52" i="10"/>
  <c r="AQ51" i="10"/>
  <c r="AQ50" i="10"/>
  <c r="AQ49" i="10"/>
  <c r="AQ48" i="10"/>
  <c r="AQ47" i="10"/>
  <c r="AQ46" i="10"/>
  <c r="AQ45" i="10"/>
  <c r="AQ44" i="10"/>
  <c r="AQ43" i="10"/>
  <c r="AQ42" i="10"/>
  <c r="AQ41" i="10"/>
  <c r="AQ40" i="10"/>
  <c r="AQ39" i="10"/>
  <c r="AQ38" i="10"/>
  <c r="AQ37" i="10"/>
  <c r="AQ36" i="10"/>
  <c r="AQ35" i="10"/>
  <c r="AQ34" i="10"/>
  <c r="AQ33" i="10"/>
  <c r="AQ32" i="10"/>
  <c r="AQ31" i="10"/>
  <c r="AQ30" i="10"/>
  <c r="AQ29" i="10"/>
  <c r="AQ28" i="10"/>
  <c r="AQ27" i="10"/>
  <c r="AQ26" i="10"/>
  <c r="AQ25" i="10"/>
  <c r="AQ24" i="10"/>
  <c r="AQ23" i="10"/>
  <c r="AQ22" i="10"/>
  <c r="AQ21" i="10"/>
  <c r="AQ20" i="10"/>
  <c r="AQ19" i="10"/>
  <c r="AQ18" i="10"/>
  <c r="AQ17" i="10"/>
  <c r="AQ16" i="10"/>
  <c r="AQ15" i="10"/>
  <c r="AQ14" i="10"/>
  <c r="AQ13" i="10"/>
  <c r="AQ12" i="10"/>
  <c r="AQ11" i="10"/>
  <c r="AQ10" i="10"/>
  <c r="AQ9" i="10"/>
  <c r="AQ8" i="10"/>
  <c r="AQ7" i="10"/>
  <c r="AQ6" i="10"/>
  <c r="AQ5" i="10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Q124" i="4"/>
  <c r="AQ123" i="4"/>
  <c r="AQ122" i="4"/>
  <c r="AQ121" i="4"/>
  <c r="AQ120" i="4"/>
  <c r="AQ119" i="4"/>
  <c r="AQ118" i="4"/>
  <c r="AQ117" i="4"/>
  <c r="AQ116" i="4"/>
  <c r="AQ115" i="4"/>
  <c r="AQ114" i="4"/>
  <c r="AQ113" i="4"/>
  <c r="AQ112" i="4"/>
  <c r="AQ111" i="4"/>
  <c r="AQ110" i="4"/>
  <c r="AQ109" i="4"/>
  <c r="AQ108" i="4"/>
  <c r="AQ107" i="4"/>
  <c r="AQ106" i="4"/>
  <c r="AQ105" i="4"/>
  <c r="AQ104" i="4"/>
  <c r="AQ103" i="4"/>
  <c r="AQ102" i="4"/>
  <c r="AQ101" i="4"/>
  <c r="AQ100" i="4"/>
  <c r="AQ99" i="4"/>
  <c r="AQ98" i="4"/>
  <c r="AQ97" i="4"/>
  <c r="AQ96" i="4"/>
  <c r="AQ95" i="4"/>
  <c r="AQ94" i="4"/>
  <c r="AQ93" i="4"/>
  <c r="AQ92" i="4"/>
  <c r="AQ91" i="4"/>
  <c r="AQ90" i="4"/>
  <c r="AQ89" i="4"/>
  <c r="AQ88" i="4"/>
  <c r="AQ87" i="4"/>
  <c r="AQ86" i="4"/>
  <c r="AQ85" i="4"/>
  <c r="AQ84" i="4"/>
  <c r="AQ83" i="4"/>
  <c r="AQ82" i="4"/>
  <c r="AQ81" i="4"/>
  <c r="AQ80" i="4"/>
  <c r="AQ79" i="4"/>
  <c r="AQ78" i="4"/>
  <c r="AQ77" i="4"/>
  <c r="AQ76" i="4"/>
  <c r="AQ75" i="4"/>
  <c r="AQ74" i="4"/>
  <c r="AQ73" i="4"/>
  <c r="AQ72" i="4"/>
  <c r="AQ71" i="4"/>
  <c r="AQ70" i="4"/>
  <c r="AQ69" i="4"/>
  <c r="AQ68" i="4"/>
  <c r="AQ67" i="4"/>
  <c r="AQ66" i="4"/>
  <c r="AQ65" i="4"/>
  <c r="AQ64" i="4"/>
  <c r="AQ63" i="4"/>
  <c r="AQ62" i="4"/>
  <c r="AQ61" i="4"/>
  <c r="AQ60" i="4"/>
  <c r="AQ59" i="4"/>
  <c r="AQ58" i="4"/>
  <c r="AQ57" i="4"/>
  <c r="AQ56" i="4"/>
  <c r="AQ55" i="4"/>
  <c r="AQ54" i="4"/>
  <c r="AQ53" i="4"/>
  <c r="AQ52" i="4"/>
  <c r="AQ51" i="4"/>
  <c r="AQ50" i="4"/>
  <c r="AQ49" i="4"/>
  <c r="AQ48" i="4"/>
  <c r="AQ47" i="4"/>
  <c r="AQ46" i="4"/>
  <c r="AQ45" i="4"/>
  <c r="AQ44" i="4"/>
  <c r="AQ43" i="4"/>
  <c r="AQ42" i="4"/>
  <c r="AQ41" i="4"/>
  <c r="AQ40" i="4"/>
  <c r="AQ39" i="4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Q14" i="4"/>
  <c r="AQ13" i="4"/>
  <c r="AQ12" i="4"/>
  <c r="AQ11" i="4"/>
  <c r="AQ10" i="4"/>
  <c r="AQ9" i="4"/>
  <c r="AQ8" i="4"/>
  <c r="AQ7" i="4"/>
  <c r="AQ6" i="4"/>
  <c r="AQ5" i="4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AP74" i="3"/>
  <c r="AO74" i="3"/>
  <c r="AN74" i="3"/>
  <c r="AM74" i="3"/>
  <c r="AL74" i="3"/>
  <c r="AK74" i="3"/>
  <c r="AJ74" i="3"/>
  <c r="AI74" i="3"/>
  <c r="AH74" i="3"/>
  <c r="AG74" i="3"/>
  <c r="AD74" i="3"/>
  <c r="AC74" i="3"/>
  <c r="AA74" i="3"/>
  <c r="Y74" i="3"/>
  <c r="W74" i="3"/>
  <c r="V74" i="3"/>
  <c r="P74" i="3"/>
  <c r="O74" i="3"/>
  <c r="N74" i="3"/>
  <c r="M74" i="3"/>
  <c r="L74" i="3"/>
  <c r="I74" i="3"/>
  <c r="H74" i="3"/>
  <c r="F74" i="3"/>
  <c r="E74" i="3"/>
  <c r="D74" i="3"/>
  <c r="C74" i="3"/>
  <c r="AF74" i="3"/>
  <c r="AB74" i="3"/>
  <c r="Z74" i="3"/>
  <c r="S74" i="3"/>
  <c r="K74" i="3"/>
  <c r="AP126" i="4"/>
  <c r="AK126" i="4"/>
  <c r="AK127" i="4" s="1"/>
  <c r="AJ126" i="4"/>
  <c r="AG126" i="4"/>
  <c r="AG127" i="4" s="1"/>
  <c r="AF126" i="4"/>
  <c r="AC126" i="4"/>
  <c r="AC127" i="4" s="1"/>
  <c r="AB126" i="4"/>
  <c r="U126" i="4"/>
  <c r="U127" i="4" s="1"/>
  <c r="H126" i="4"/>
  <c r="G126" i="4"/>
  <c r="AV7" i="3"/>
  <c r="AN126" i="4"/>
  <c r="AN127" i="4" s="1"/>
  <c r="AN179" i="2"/>
  <c r="AM179" i="2"/>
  <c r="AL179" i="2"/>
  <c r="AK179" i="2"/>
  <c r="AJ179" i="2"/>
  <c r="AI179" i="2"/>
  <c r="AH179" i="2"/>
  <c r="AG179" i="2"/>
  <c r="AF179" i="2"/>
  <c r="AE179" i="2"/>
  <c r="AD179" i="2"/>
  <c r="AN178" i="2"/>
  <c r="AM178" i="2"/>
  <c r="AL178" i="2"/>
  <c r="AK178" i="2"/>
  <c r="AJ178" i="2"/>
  <c r="AI178" i="2"/>
  <c r="AH178" i="2"/>
  <c r="AG178" i="2"/>
  <c r="AF178" i="2"/>
  <c r="AE178" i="2"/>
  <c r="AD178" i="2"/>
  <c r="AN177" i="2"/>
  <c r="AM177" i="2"/>
  <c r="AL177" i="2"/>
  <c r="AK177" i="2"/>
  <c r="AJ177" i="2"/>
  <c r="AI177" i="2"/>
  <c r="AH177" i="2"/>
  <c r="AG177" i="2"/>
  <c r="AF177" i="2"/>
  <c r="AE177" i="2"/>
  <c r="AD177" i="2"/>
  <c r="AN176" i="2"/>
  <c r="AM176" i="2"/>
  <c r="AL176" i="2"/>
  <c r="AK176" i="2"/>
  <c r="AJ176" i="2"/>
  <c r="AI176" i="2"/>
  <c r="AH176" i="2"/>
  <c r="AG176" i="2"/>
  <c r="AF176" i="2"/>
  <c r="AE176" i="2"/>
  <c r="AD176" i="2"/>
  <c r="AN175" i="2"/>
  <c r="AM175" i="2"/>
  <c r="AL175" i="2"/>
  <c r="AK175" i="2"/>
  <c r="AJ175" i="2"/>
  <c r="AI175" i="2"/>
  <c r="AH175" i="2"/>
  <c r="AG175" i="2"/>
  <c r="AF175" i="2"/>
  <c r="AE175" i="2"/>
  <c r="AD175" i="2"/>
  <c r="AN174" i="2"/>
  <c r="AM174" i="2"/>
  <c r="AL174" i="2"/>
  <c r="AK174" i="2"/>
  <c r="AJ174" i="2"/>
  <c r="AI174" i="2"/>
  <c r="AH174" i="2"/>
  <c r="AG174" i="2"/>
  <c r="AF174" i="2"/>
  <c r="AE174" i="2"/>
  <c r="AD174" i="2"/>
  <c r="AN173" i="2"/>
  <c r="AM173" i="2"/>
  <c r="AL173" i="2"/>
  <c r="AK173" i="2"/>
  <c r="AJ173" i="2"/>
  <c r="AI173" i="2"/>
  <c r="AH173" i="2"/>
  <c r="AG173" i="2"/>
  <c r="AF173" i="2"/>
  <c r="AE173" i="2"/>
  <c r="AD173" i="2"/>
  <c r="AN172" i="2"/>
  <c r="AM172" i="2"/>
  <c r="AL172" i="2"/>
  <c r="AK172" i="2"/>
  <c r="AJ172" i="2"/>
  <c r="AI172" i="2"/>
  <c r="AH172" i="2"/>
  <c r="AG172" i="2"/>
  <c r="AF172" i="2"/>
  <c r="AE172" i="2"/>
  <c r="AD172" i="2"/>
  <c r="AN171" i="2"/>
  <c r="AM171" i="2"/>
  <c r="AL171" i="2"/>
  <c r="AK171" i="2"/>
  <c r="AJ171" i="2"/>
  <c r="AI171" i="2"/>
  <c r="AH171" i="2"/>
  <c r="AG171" i="2"/>
  <c r="AF171" i="2"/>
  <c r="AE171" i="2"/>
  <c r="AD171" i="2"/>
  <c r="AN170" i="2"/>
  <c r="AM170" i="2"/>
  <c r="AL170" i="2"/>
  <c r="AK170" i="2"/>
  <c r="AJ170" i="2"/>
  <c r="AI170" i="2"/>
  <c r="AH170" i="2"/>
  <c r="AG170" i="2"/>
  <c r="AF170" i="2"/>
  <c r="AE170" i="2"/>
  <c r="AD170" i="2"/>
  <c r="AN169" i="2"/>
  <c r="AM169" i="2"/>
  <c r="AL169" i="2"/>
  <c r="AK169" i="2"/>
  <c r="AJ169" i="2"/>
  <c r="AI169" i="2"/>
  <c r="AH169" i="2"/>
  <c r="AG169" i="2"/>
  <c r="AF169" i="2"/>
  <c r="AE169" i="2"/>
  <c r="AD169" i="2"/>
  <c r="AN168" i="2"/>
  <c r="AM168" i="2"/>
  <c r="AL168" i="2"/>
  <c r="AK168" i="2"/>
  <c r="AJ168" i="2"/>
  <c r="AI168" i="2"/>
  <c r="AH168" i="2"/>
  <c r="AG168" i="2"/>
  <c r="AF168" i="2"/>
  <c r="AE168" i="2"/>
  <c r="AD168" i="2"/>
  <c r="AN167" i="2"/>
  <c r="AM167" i="2"/>
  <c r="AL167" i="2"/>
  <c r="AK167" i="2"/>
  <c r="AJ167" i="2"/>
  <c r="AI167" i="2"/>
  <c r="AH167" i="2"/>
  <c r="AG167" i="2"/>
  <c r="AF167" i="2"/>
  <c r="AE167" i="2"/>
  <c r="AD167" i="2"/>
  <c r="AN166" i="2"/>
  <c r="AM166" i="2"/>
  <c r="AL166" i="2"/>
  <c r="AK166" i="2"/>
  <c r="AJ166" i="2"/>
  <c r="AI166" i="2"/>
  <c r="AH166" i="2"/>
  <c r="AG166" i="2"/>
  <c r="AF166" i="2"/>
  <c r="AE166" i="2"/>
  <c r="AD166" i="2"/>
  <c r="AN165" i="2"/>
  <c r="AM165" i="2"/>
  <c r="AL165" i="2"/>
  <c r="AK165" i="2"/>
  <c r="AJ165" i="2"/>
  <c r="AI165" i="2"/>
  <c r="AH165" i="2"/>
  <c r="AG165" i="2"/>
  <c r="AF165" i="2"/>
  <c r="AE165" i="2"/>
  <c r="AD165" i="2"/>
  <c r="AN164" i="2"/>
  <c r="AM164" i="2"/>
  <c r="AL164" i="2"/>
  <c r="AK164" i="2"/>
  <c r="AJ164" i="2"/>
  <c r="AI164" i="2"/>
  <c r="AH164" i="2"/>
  <c r="AG164" i="2"/>
  <c r="AF164" i="2"/>
  <c r="AE164" i="2"/>
  <c r="AD164" i="2"/>
  <c r="AN163" i="2"/>
  <c r="AM163" i="2"/>
  <c r="AL163" i="2"/>
  <c r="AK163" i="2"/>
  <c r="AJ163" i="2"/>
  <c r="AI163" i="2"/>
  <c r="AH163" i="2"/>
  <c r="AG163" i="2"/>
  <c r="AF163" i="2"/>
  <c r="AE163" i="2"/>
  <c r="AD163" i="2"/>
  <c r="AN162" i="2"/>
  <c r="AM162" i="2"/>
  <c r="AL162" i="2"/>
  <c r="AK162" i="2"/>
  <c r="AJ162" i="2"/>
  <c r="AI162" i="2"/>
  <c r="AH162" i="2"/>
  <c r="AG162" i="2"/>
  <c r="AF162" i="2"/>
  <c r="AE162" i="2"/>
  <c r="AD162" i="2"/>
  <c r="AN161" i="2"/>
  <c r="AM161" i="2"/>
  <c r="AL161" i="2"/>
  <c r="AK161" i="2"/>
  <c r="AJ161" i="2"/>
  <c r="AI161" i="2"/>
  <c r="AH161" i="2"/>
  <c r="AG161" i="2"/>
  <c r="AF161" i="2"/>
  <c r="AE161" i="2"/>
  <c r="AD161" i="2"/>
  <c r="AN160" i="2"/>
  <c r="AM160" i="2"/>
  <c r="AL160" i="2"/>
  <c r="AK160" i="2"/>
  <c r="AJ160" i="2"/>
  <c r="AI160" i="2"/>
  <c r="AH160" i="2"/>
  <c r="AG160" i="2"/>
  <c r="AF160" i="2"/>
  <c r="AE160" i="2"/>
  <c r="AD160" i="2"/>
  <c r="AN159" i="2"/>
  <c r="AM159" i="2"/>
  <c r="AL159" i="2"/>
  <c r="AK159" i="2"/>
  <c r="AJ159" i="2"/>
  <c r="AI159" i="2"/>
  <c r="AH159" i="2"/>
  <c r="AG159" i="2"/>
  <c r="AF159" i="2"/>
  <c r="AE159" i="2"/>
  <c r="AD159" i="2"/>
  <c r="AN158" i="2"/>
  <c r="AM158" i="2"/>
  <c r="AL158" i="2"/>
  <c r="AK158" i="2"/>
  <c r="AJ158" i="2"/>
  <c r="AI158" i="2"/>
  <c r="AH158" i="2"/>
  <c r="AG158" i="2"/>
  <c r="AF158" i="2"/>
  <c r="AE158" i="2"/>
  <c r="AD158" i="2"/>
  <c r="AN157" i="2"/>
  <c r="AM157" i="2"/>
  <c r="AL157" i="2"/>
  <c r="AK157" i="2"/>
  <c r="AJ157" i="2"/>
  <c r="AI157" i="2"/>
  <c r="AH157" i="2"/>
  <c r="AG157" i="2"/>
  <c r="AF157" i="2"/>
  <c r="AE157" i="2"/>
  <c r="AD157" i="2"/>
  <c r="AN156" i="2"/>
  <c r="AM156" i="2"/>
  <c r="AL156" i="2"/>
  <c r="AK156" i="2"/>
  <c r="AJ156" i="2"/>
  <c r="AI156" i="2"/>
  <c r="AH156" i="2"/>
  <c r="AG156" i="2"/>
  <c r="AF156" i="2"/>
  <c r="AE156" i="2"/>
  <c r="AD156" i="2"/>
  <c r="AN155" i="2"/>
  <c r="AM155" i="2"/>
  <c r="AL155" i="2"/>
  <c r="AK155" i="2"/>
  <c r="AJ155" i="2"/>
  <c r="AI155" i="2"/>
  <c r="AH155" i="2"/>
  <c r="AG155" i="2"/>
  <c r="AF155" i="2"/>
  <c r="AE155" i="2"/>
  <c r="AD155" i="2"/>
  <c r="AN154" i="2"/>
  <c r="AM154" i="2"/>
  <c r="AL154" i="2"/>
  <c r="AK154" i="2"/>
  <c r="AJ154" i="2"/>
  <c r="AI154" i="2"/>
  <c r="AH154" i="2"/>
  <c r="AG154" i="2"/>
  <c r="AF154" i="2"/>
  <c r="AE154" i="2"/>
  <c r="AD154" i="2"/>
  <c r="AN153" i="2"/>
  <c r="AM153" i="2"/>
  <c r="AL153" i="2"/>
  <c r="AK153" i="2"/>
  <c r="AJ153" i="2"/>
  <c r="AI153" i="2"/>
  <c r="AH153" i="2"/>
  <c r="AG153" i="2"/>
  <c r="AF153" i="2"/>
  <c r="AE153" i="2"/>
  <c r="AD153" i="2"/>
  <c r="AN152" i="2"/>
  <c r="AM152" i="2"/>
  <c r="AL152" i="2"/>
  <c r="AK152" i="2"/>
  <c r="AJ152" i="2"/>
  <c r="AI152" i="2"/>
  <c r="AH152" i="2"/>
  <c r="AG152" i="2"/>
  <c r="AF152" i="2"/>
  <c r="AE152" i="2"/>
  <c r="AD152" i="2"/>
  <c r="AN151" i="2"/>
  <c r="AM151" i="2"/>
  <c r="AL151" i="2"/>
  <c r="AK151" i="2"/>
  <c r="AJ151" i="2"/>
  <c r="AI151" i="2"/>
  <c r="AH151" i="2"/>
  <c r="AG151" i="2"/>
  <c r="AF151" i="2"/>
  <c r="AE151" i="2"/>
  <c r="AD151" i="2"/>
  <c r="AN150" i="2"/>
  <c r="AM150" i="2"/>
  <c r="AL150" i="2"/>
  <c r="AK150" i="2"/>
  <c r="AJ150" i="2"/>
  <c r="AI150" i="2"/>
  <c r="AH150" i="2"/>
  <c r="AG150" i="2"/>
  <c r="AF150" i="2"/>
  <c r="AE150" i="2"/>
  <c r="AD150" i="2"/>
  <c r="AN149" i="2"/>
  <c r="AM149" i="2"/>
  <c r="AL149" i="2"/>
  <c r="AK149" i="2"/>
  <c r="AJ149" i="2"/>
  <c r="AI149" i="2"/>
  <c r="AH149" i="2"/>
  <c r="AG149" i="2"/>
  <c r="AF149" i="2"/>
  <c r="AE149" i="2"/>
  <c r="AD149" i="2"/>
  <c r="AN148" i="2"/>
  <c r="AM148" i="2"/>
  <c r="AL148" i="2"/>
  <c r="AK148" i="2"/>
  <c r="AJ148" i="2"/>
  <c r="AI148" i="2"/>
  <c r="AH148" i="2"/>
  <c r="AG148" i="2"/>
  <c r="AF148" i="2"/>
  <c r="AE148" i="2"/>
  <c r="AD148" i="2"/>
  <c r="AN147" i="2"/>
  <c r="AM147" i="2"/>
  <c r="AL147" i="2"/>
  <c r="AK147" i="2"/>
  <c r="AJ147" i="2"/>
  <c r="AI147" i="2"/>
  <c r="AH147" i="2"/>
  <c r="AG147" i="2"/>
  <c r="AF147" i="2"/>
  <c r="AE147" i="2"/>
  <c r="AD147" i="2"/>
  <c r="AN146" i="2"/>
  <c r="AM146" i="2"/>
  <c r="AL146" i="2"/>
  <c r="AK146" i="2"/>
  <c r="AJ146" i="2"/>
  <c r="AI146" i="2"/>
  <c r="AH146" i="2"/>
  <c r="AG146" i="2"/>
  <c r="AF146" i="2"/>
  <c r="AE146" i="2"/>
  <c r="AD146" i="2"/>
  <c r="AN145" i="2"/>
  <c r="AM145" i="2"/>
  <c r="AL145" i="2"/>
  <c r="AK145" i="2"/>
  <c r="AJ145" i="2"/>
  <c r="AI145" i="2"/>
  <c r="AH145" i="2"/>
  <c r="AG145" i="2"/>
  <c r="AF145" i="2"/>
  <c r="AE145" i="2"/>
  <c r="AD145" i="2"/>
  <c r="AN144" i="2"/>
  <c r="AM144" i="2"/>
  <c r="AL144" i="2"/>
  <c r="AK144" i="2"/>
  <c r="AJ144" i="2"/>
  <c r="AI144" i="2"/>
  <c r="AH144" i="2"/>
  <c r="AG144" i="2"/>
  <c r="AF144" i="2"/>
  <c r="AE144" i="2"/>
  <c r="AD144" i="2"/>
  <c r="AN143" i="2"/>
  <c r="AM143" i="2"/>
  <c r="AL143" i="2"/>
  <c r="AK143" i="2"/>
  <c r="AJ143" i="2"/>
  <c r="AI143" i="2"/>
  <c r="AH143" i="2"/>
  <c r="AG143" i="2"/>
  <c r="AF143" i="2"/>
  <c r="AE143" i="2"/>
  <c r="AD143" i="2"/>
  <c r="AN142" i="2"/>
  <c r="AM142" i="2"/>
  <c r="AL142" i="2"/>
  <c r="AK142" i="2"/>
  <c r="AJ142" i="2"/>
  <c r="AI142" i="2"/>
  <c r="AH142" i="2"/>
  <c r="AG142" i="2"/>
  <c r="AF142" i="2"/>
  <c r="AE142" i="2"/>
  <c r="AD142" i="2"/>
  <c r="AN141" i="2"/>
  <c r="AM141" i="2"/>
  <c r="AL141" i="2"/>
  <c r="AK141" i="2"/>
  <c r="AJ141" i="2"/>
  <c r="AI141" i="2"/>
  <c r="AH141" i="2"/>
  <c r="AG141" i="2"/>
  <c r="AF141" i="2"/>
  <c r="AE141" i="2"/>
  <c r="AD141" i="2"/>
  <c r="AN140" i="2"/>
  <c r="AM140" i="2"/>
  <c r="AL140" i="2"/>
  <c r="AK140" i="2"/>
  <c r="AJ140" i="2"/>
  <c r="AI140" i="2"/>
  <c r="AH140" i="2"/>
  <c r="AG140" i="2"/>
  <c r="AF140" i="2"/>
  <c r="AE140" i="2"/>
  <c r="AD140" i="2"/>
  <c r="AN104" i="2"/>
  <c r="AM104" i="2"/>
  <c r="AL104" i="2"/>
  <c r="AK104" i="2"/>
  <c r="AJ104" i="2"/>
  <c r="AI104" i="2"/>
  <c r="AH104" i="2"/>
  <c r="AG104" i="2"/>
  <c r="AF104" i="2"/>
  <c r="AE104" i="2"/>
  <c r="AD104" i="2"/>
  <c r="AN103" i="2"/>
  <c r="AM103" i="2"/>
  <c r="AL103" i="2"/>
  <c r="AK103" i="2"/>
  <c r="AJ103" i="2"/>
  <c r="AI103" i="2"/>
  <c r="AH103" i="2"/>
  <c r="AG103" i="2"/>
  <c r="AF103" i="2"/>
  <c r="AE103" i="2"/>
  <c r="AD103" i="2"/>
  <c r="AN102" i="2"/>
  <c r="AM102" i="2"/>
  <c r="AL102" i="2"/>
  <c r="AK102" i="2"/>
  <c r="AJ102" i="2"/>
  <c r="AI102" i="2"/>
  <c r="AH102" i="2"/>
  <c r="AG102" i="2"/>
  <c r="AF102" i="2"/>
  <c r="AE102" i="2"/>
  <c r="AD102" i="2"/>
  <c r="AN101" i="2"/>
  <c r="AM101" i="2"/>
  <c r="AL101" i="2"/>
  <c r="AK101" i="2"/>
  <c r="AJ101" i="2"/>
  <c r="AI101" i="2"/>
  <c r="AH101" i="2"/>
  <c r="AG101" i="2"/>
  <c r="AF101" i="2"/>
  <c r="AE101" i="2"/>
  <c r="AD101" i="2"/>
  <c r="AN100" i="2"/>
  <c r="AM100" i="2"/>
  <c r="AL100" i="2"/>
  <c r="AK100" i="2"/>
  <c r="AJ100" i="2"/>
  <c r="AI100" i="2"/>
  <c r="AH100" i="2"/>
  <c r="AG100" i="2"/>
  <c r="AF100" i="2"/>
  <c r="AE100" i="2"/>
  <c r="AD100" i="2"/>
  <c r="AN99" i="2"/>
  <c r="AM99" i="2"/>
  <c r="AL99" i="2"/>
  <c r="AK99" i="2"/>
  <c r="AJ99" i="2"/>
  <c r="AI99" i="2"/>
  <c r="AH99" i="2"/>
  <c r="AG99" i="2"/>
  <c r="AF99" i="2"/>
  <c r="AE99" i="2"/>
  <c r="AD99" i="2"/>
  <c r="AN98" i="2"/>
  <c r="AM98" i="2"/>
  <c r="AL98" i="2"/>
  <c r="AK98" i="2"/>
  <c r="AJ98" i="2"/>
  <c r="AI98" i="2"/>
  <c r="AH98" i="2"/>
  <c r="AG98" i="2"/>
  <c r="AF98" i="2"/>
  <c r="AE98" i="2"/>
  <c r="AD98" i="2"/>
  <c r="AN97" i="2"/>
  <c r="AM97" i="2"/>
  <c r="AL97" i="2"/>
  <c r="AK97" i="2"/>
  <c r="AJ97" i="2"/>
  <c r="AI97" i="2"/>
  <c r="AH97" i="2"/>
  <c r="AG97" i="2"/>
  <c r="AF97" i="2"/>
  <c r="AE97" i="2"/>
  <c r="AD97" i="2"/>
  <c r="AN96" i="2"/>
  <c r="AM96" i="2"/>
  <c r="AL96" i="2"/>
  <c r="AK96" i="2"/>
  <c r="AJ96" i="2"/>
  <c r="AI96" i="2"/>
  <c r="AH96" i="2"/>
  <c r="AG96" i="2"/>
  <c r="AF96" i="2"/>
  <c r="AE96" i="2"/>
  <c r="AD96" i="2"/>
  <c r="AN95" i="2"/>
  <c r="AM95" i="2"/>
  <c r="AL95" i="2"/>
  <c r="AK95" i="2"/>
  <c r="AJ95" i="2"/>
  <c r="AI95" i="2"/>
  <c r="AH95" i="2"/>
  <c r="AG95" i="2"/>
  <c r="AF95" i="2"/>
  <c r="AE95" i="2"/>
  <c r="AD95" i="2"/>
  <c r="AN94" i="2"/>
  <c r="AM94" i="2"/>
  <c r="AL94" i="2"/>
  <c r="AK94" i="2"/>
  <c r="AJ94" i="2"/>
  <c r="AI94" i="2"/>
  <c r="AH94" i="2"/>
  <c r="AG94" i="2"/>
  <c r="AF94" i="2"/>
  <c r="AE94" i="2"/>
  <c r="AD94" i="2"/>
  <c r="AN93" i="2"/>
  <c r="AM93" i="2"/>
  <c r="AL93" i="2"/>
  <c r="AK93" i="2"/>
  <c r="AJ93" i="2"/>
  <c r="AI93" i="2"/>
  <c r="AH93" i="2"/>
  <c r="AG93" i="2"/>
  <c r="AF93" i="2"/>
  <c r="AE93" i="2"/>
  <c r="AD93" i="2"/>
  <c r="AN92" i="2"/>
  <c r="AM92" i="2"/>
  <c r="AL92" i="2"/>
  <c r="AK92" i="2"/>
  <c r="AJ92" i="2"/>
  <c r="AI92" i="2"/>
  <c r="AH92" i="2"/>
  <c r="AG92" i="2"/>
  <c r="AF92" i="2"/>
  <c r="AE92" i="2"/>
  <c r="AD92" i="2"/>
  <c r="AN91" i="2"/>
  <c r="AM91" i="2"/>
  <c r="AL91" i="2"/>
  <c r="AK91" i="2"/>
  <c r="AJ91" i="2"/>
  <c r="AI91" i="2"/>
  <c r="AH91" i="2"/>
  <c r="AG91" i="2"/>
  <c r="AF91" i="2"/>
  <c r="AE91" i="2"/>
  <c r="AD91" i="2"/>
  <c r="AN90" i="2"/>
  <c r="AM90" i="2"/>
  <c r="AL90" i="2"/>
  <c r="AK90" i="2"/>
  <c r="AJ90" i="2"/>
  <c r="AI90" i="2"/>
  <c r="AH90" i="2"/>
  <c r="AG90" i="2"/>
  <c r="AF90" i="2"/>
  <c r="AE90" i="2"/>
  <c r="AD90" i="2"/>
  <c r="AN89" i="2"/>
  <c r="AM89" i="2"/>
  <c r="AL89" i="2"/>
  <c r="AK89" i="2"/>
  <c r="AJ89" i="2"/>
  <c r="AI89" i="2"/>
  <c r="AH89" i="2"/>
  <c r="AG89" i="2"/>
  <c r="AF89" i="2"/>
  <c r="AE89" i="2"/>
  <c r="AD89" i="2"/>
  <c r="AN88" i="2"/>
  <c r="AM88" i="2"/>
  <c r="AL88" i="2"/>
  <c r="AK88" i="2"/>
  <c r="AJ88" i="2"/>
  <c r="AI88" i="2"/>
  <c r="AH88" i="2"/>
  <c r="AG88" i="2"/>
  <c r="AF88" i="2"/>
  <c r="AE88" i="2"/>
  <c r="AD88" i="2"/>
  <c r="AN87" i="2"/>
  <c r="AM87" i="2"/>
  <c r="AL87" i="2"/>
  <c r="AK87" i="2"/>
  <c r="AJ87" i="2"/>
  <c r="AI87" i="2"/>
  <c r="AH87" i="2"/>
  <c r="AG87" i="2"/>
  <c r="AF87" i="2"/>
  <c r="AE87" i="2"/>
  <c r="AD87" i="2"/>
  <c r="AN86" i="2"/>
  <c r="AM86" i="2"/>
  <c r="AL86" i="2"/>
  <c r="AK86" i="2"/>
  <c r="AJ86" i="2"/>
  <c r="AI86" i="2"/>
  <c r="AH86" i="2"/>
  <c r="AG86" i="2"/>
  <c r="AF86" i="2"/>
  <c r="AE86" i="2"/>
  <c r="AD86" i="2"/>
  <c r="AN85" i="2"/>
  <c r="AM85" i="2"/>
  <c r="AL85" i="2"/>
  <c r="AK85" i="2"/>
  <c r="AJ85" i="2"/>
  <c r="AI85" i="2"/>
  <c r="AH85" i="2"/>
  <c r="AG85" i="2"/>
  <c r="AF85" i="2"/>
  <c r="AE85" i="2"/>
  <c r="AD85" i="2"/>
  <c r="AN84" i="2"/>
  <c r="AM84" i="2"/>
  <c r="AL84" i="2"/>
  <c r="AK84" i="2"/>
  <c r="AJ84" i="2"/>
  <c r="AI84" i="2"/>
  <c r="AH84" i="2"/>
  <c r="AG84" i="2"/>
  <c r="AF84" i="2"/>
  <c r="AE84" i="2"/>
  <c r="AD84" i="2"/>
  <c r="AN83" i="2"/>
  <c r="AM83" i="2"/>
  <c r="AL83" i="2"/>
  <c r="AK83" i="2"/>
  <c r="AJ83" i="2"/>
  <c r="AI83" i="2"/>
  <c r="AH83" i="2"/>
  <c r="AG83" i="2"/>
  <c r="AF83" i="2"/>
  <c r="AE83" i="2"/>
  <c r="AD83" i="2"/>
  <c r="AN82" i="2"/>
  <c r="AM82" i="2"/>
  <c r="AL82" i="2"/>
  <c r="AK82" i="2"/>
  <c r="AJ82" i="2"/>
  <c r="AI82" i="2"/>
  <c r="AH82" i="2"/>
  <c r="AG82" i="2"/>
  <c r="AF82" i="2"/>
  <c r="AE82" i="2"/>
  <c r="AD82" i="2"/>
  <c r="AN81" i="2"/>
  <c r="AM81" i="2"/>
  <c r="AL81" i="2"/>
  <c r="AK81" i="2"/>
  <c r="AJ81" i="2"/>
  <c r="AI81" i="2"/>
  <c r="AH81" i="2"/>
  <c r="AG81" i="2"/>
  <c r="AF81" i="2"/>
  <c r="AE81" i="2"/>
  <c r="AD81" i="2"/>
  <c r="AN80" i="2"/>
  <c r="AM80" i="2"/>
  <c r="AL80" i="2"/>
  <c r="AK80" i="2"/>
  <c r="AJ80" i="2"/>
  <c r="AI80" i="2"/>
  <c r="AH80" i="2"/>
  <c r="AG80" i="2"/>
  <c r="AF80" i="2"/>
  <c r="AE80" i="2"/>
  <c r="AD80" i="2"/>
  <c r="AN79" i="2"/>
  <c r="AM79" i="2"/>
  <c r="AL79" i="2"/>
  <c r="AK79" i="2"/>
  <c r="AJ79" i="2"/>
  <c r="AI79" i="2"/>
  <c r="AH79" i="2"/>
  <c r="AG79" i="2"/>
  <c r="AF79" i="2"/>
  <c r="AE79" i="2"/>
  <c r="AD79" i="2"/>
  <c r="AN78" i="2"/>
  <c r="AM78" i="2"/>
  <c r="AL78" i="2"/>
  <c r="AK78" i="2"/>
  <c r="AJ78" i="2"/>
  <c r="AI78" i="2"/>
  <c r="AH78" i="2"/>
  <c r="AG78" i="2"/>
  <c r="AF78" i="2"/>
  <c r="AE78" i="2"/>
  <c r="AD78" i="2"/>
  <c r="AN77" i="2"/>
  <c r="AM77" i="2"/>
  <c r="AL77" i="2"/>
  <c r="AK77" i="2"/>
  <c r="AJ77" i="2"/>
  <c r="AI77" i="2"/>
  <c r="AH77" i="2"/>
  <c r="AG77" i="2"/>
  <c r="AF77" i="2"/>
  <c r="AE77" i="2"/>
  <c r="AD77" i="2"/>
  <c r="AN76" i="2"/>
  <c r="AM76" i="2"/>
  <c r="AL76" i="2"/>
  <c r="AK76" i="2"/>
  <c r="AJ76" i="2"/>
  <c r="AI76" i="2"/>
  <c r="AH76" i="2"/>
  <c r="AG76" i="2"/>
  <c r="AF76" i="2"/>
  <c r="AE76" i="2"/>
  <c r="AD76" i="2"/>
  <c r="AN75" i="2"/>
  <c r="AM75" i="2"/>
  <c r="AL75" i="2"/>
  <c r="AK75" i="2"/>
  <c r="AJ75" i="2"/>
  <c r="AI75" i="2"/>
  <c r="AH75" i="2"/>
  <c r="AG75" i="2"/>
  <c r="AF75" i="2"/>
  <c r="AE75" i="2"/>
  <c r="AD75" i="2"/>
  <c r="AN74" i="2"/>
  <c r="AM74" i="2"/>
  <c r="AL74" i="2"/>
  <c r="AK74" i="2"/>
  <c r="AJ74" i="2"/>
  <c r="AI74" i="2"/>
  <c r="AH74" i="2"/>
  <c r="AG74" i="2"/>
  <c r="AF74" i="2"/>
  <c r="AE74" i="2"/>
  <c r="AD74" i="2"/>
  <c r="AN73" i="2"/>
  <c r="AM73" i="2"/>
  <c r="AL73" i="2"/>
  <c r="AK73" i="2"/>
  <c r="AJ73" i="2"/>
  <c r="AI73" i="2"/>
  <c r="AH73" i="2"/>
  <c r="AG73" i="2"/>
  <c r="AF73" i="2"/>
  <c r="AE73" i="2"/>
  <c r="AD73" i="2"/>
  <c r="AN72" i="2"/>
  <c r="AM72" i="2"/>
  <c r="AL72" i="2"/>
  <c r="AK72" i="2"/>
  <c r="AJ72" i="2"/>
  <c r="AI72" i="2"/>
  <c r="AH72" i="2"/>
  <c r="AG72" i="2"/>
  <c r="AF72" i="2"/>
  <c r="AE72" i="2"/>
  <c r="AD72" i="2"/>
  <c r="AN71" i="2"/>
  <c r="AM71" i="2"/>
  <c r="AL71" i="2"/>
  <c r="AK71" i="2"/>
  <c r="AJ71" i="2"/>
  <c r="AI71" i="2"/>
  <c r="AH71" i="2"/>
  <c r="AG71" i="2"/>
  <c r="AF71" i="2"/>
  <c r="AE71" i="2"/>
  <c r="AD71" i="2"/>
  <c r="AN70" i="2"/>
  <c r="AM70" i="2"/>
  <c r="AL70" i="2"/>
  <c r="AK70" i="2"/>
  <c r="AJ70" i="2"/>
  <c r="AI70" i="2"/>
  <c r="AH70" i="2"/>
  <c r="AG70" i="2"/>
  <c r="AF70" i="2"/>
  <c r="AE70" i="2"/>
  <c r="AD70" i="2"/>
  <c r="AN69" i="2"/>
  <c r="AM69" i="2"/>
  <c r="AL69" i="2"/>
  <c r="AK69" i="2"/>
  <c r="AJ69" i="2"/>
  <c r="AI69" i="2"/>
  <c r="AH69" i="2"/>
  <c r="AG69" i="2"/>
  <c r="AF69" i="2"/>
  <c r="AE69" i="2"/>
  <c r="AD69" i="2"/>
  <c r="AN68" i="2"/>
  <c r="AM68" i="2"/>
  <c r="AL68" i="2"/>
  <c r="AK68" i="2"/>
  <c r="AJ68" i="2"/>
  <c r="AI68" i="2"/>
  <c r="AH68" i="2"/>
  <c r="AG68" i="2"/>
  <c r="AF68" i="2"/>
  <c r="AE68" i="2"/>
  <c r="AD68" i="2"/>
  <c r="AN67" i="2"/>
  <c r="AM67" i="2"/>
  <c r="AL67" i="2"/>
  <c r="AK67" i="2"/>
  <c r="AJ67" i="2"/>
  <c r="AI67" i="2"/>
  <c r="AH67" i="2"/>
  <c r="AG67" i="2"/>
  <c r="AF67" i="2"/>
  <c r="AE67" i="2"/>
  <c r="AD67" i="2"/>
  <c r="AN66" i="2"/>
  <c r="AM66" i="2"/>
  <c r="AL66" i="2"/>
  <c r="AK66" i="2"/>
  <c r="AJ66" i="2"/>
  <c r="AI66" i="2"/>
  <c r="AH66" i="2"/>
  <c r="AG66" i="2"/>
  <c r="AF66" i="2"/>
  <c r="AE66" i="2"/>
  <c r="AD66" i="2"/>
  <c r="AN65" i="2"/>
  <c r="AM65" i="2"/>
  <c r="AL65" i="2"/>
  <c r="AK65" i="2"/>
  <c r="AJ65" i="2"/>
  <c r="AI65" i="2"/>
  <c r="AH65" i="2"/>
  <c r="AG65" i="2"/>
  <c r="AF65" i="2"/>
  <c r="AE65" i="2"/>
  <c r="AD65" i="2"/>
  <c r="AN64" i="2"/>
  <c r="AM64" i="2"/>
  <c r="AL64" i="2"/>
  <c r="AK64" i="2"/>
  <c r="AJ64" i="2"/>
  <c r="AI64" i="2"/>
  <c r="AH64" i="2"/>
  <c r="AG64" i="2"/>
  <c r="AF64" i="2"/>
  <c r="AE64" i="2"/>
  <c r="AD64" i="2"/>
  <c r="AN63" i="2"/>
  <c r="AM63" i="2"/>
  <c r="AL63" i="2"/>
  <c r="AK63" i="2"/>
  <c r="AJ63" i="2"/>
  <c r="AI63" i="2"/>
  <c r="AH63" i="2"/>
  <c r="AG63" i="2"/>
  <c r="AF63" i="2"/>
  <c r="AE63" i="2"/>
  <c r="AD63" i="2"/>
  <c r="AN62" i="2"/>
  <c r="AM62" i="2"/>
  <c r="AL62" i="2"/>
  <c r="AK62" i="2"/>
  <c r="AJ62" i="2"/>
  <c r="AI62" i="2"/>
  <c r="AH62" i="2"/>
  <c r="AG62" i="2"/>
  <c r="AF62" i="2"/>
  <c r="AE62" i="2"/>
  <c r="AD62" i="2"/>
  <c r="AN61" i="2"/>
  <c r="AM61" i="2"/>
  <c r="AL61" i="2"/>
  <c r="AK61" i="2"/>
  <c r="AJ61" i="2"/>
  <c r="AI61" i="2"/>
  <c r="AH61" i="2"/>
  <c r="AG61" i="2"/>
  <c r="AF61" i="2"/>
  <c r="AE61" i="2"/>
  <c r="AD61" i="2"/>
  <c r="AN60" i="2"/>
  <c r="AM60" i="2"/>
  <c r="AL60" i="2"/>
  <c r="AK60" i="2"/>
  <c r="AJ60" i="2"/>
  <c r="AI60" i="2"/>
  <c r="AH60" i="2"/>
  <c r="AG60" i="2"/>
  <c r="AF60" i="2"/>
  <c r="AE60" i="2"/>
  <c r="AD60" i="2"/>
  <c r="AN59" i="2"/>
  <c r="AM59" i="2"/>
  <c r="AL59" i="2"/>
  <c r="AK59" i="2"/>
  <c r="AJ59" i="2"/>
  <c r="AI59" i="2"/>
  <c r="AH59" i="2"/>
  <c r="AG59" i="2"/>
  <c r="AF59" i="2"/>
  <c r="AE59" i="2"/>
  <c r="AD59" i="2"/>
  <c r="AN58" i="2"/>
  <c r="AM58" i="2"/>
  <c r="AL58" i="2"/>
  <c r="AK58" i="2"/>
  <c r="AJ58" i="2"/>
  <c r="AI58" i="2"/>
  <c r="AH58" i="2"/>
  <c r="AG58" i="2"/>
  <c r="AF58" i="2"/>
  <c r="AE58" i="2"/>
  <c r="AD58" i="2"/>
  <c r="AN57" i="2"/>
  <c r="AM57" i="2"/>
  <c r="AL57" i="2"/>
  <c r="AK57" i="2"/>
  <c r="AJ57" i="2"/>
  <c r="AI57" i="2"/>
  <c r="AH57" i="2"/>
  <c r="AG57" i="2"/>
  <c r="AF57" i="2"/>
  <c r="AE57" i="2"/>
  <c r="AD57" i="2"/>
  <c r="AN56" i="2"/>
  <c r="AM56" i="2"/>
  <c r="AL56" i="2"/>
  <c r="AK56" i="2"/>
  <c r="AJ56" i="2"/>
  <c r="AI56" i="2"/>
  <c r="AH56" i="2"/>
  <c r="AG56" i="2"/>
  <c r="AF56" i="2"/>
  <c r="AE56" i="2"/>
  <c r="AD56" i="2"/>
  <c r="AN55" i="2"/>
  <c r="AM55" i="2"/>
  <c r="AL55" i="2"/>
  <c r="AK55" i="2"/>
  <c r="AJ55" i="2"/>
  <c r="AI55" i="2"/>
  <c r="AH55" i="2"/>
  <c r="AG55" i="2"/>
  <c r="AF55" i="2"/>
  <c r="AE55" i="2"/>
  <c r="AD55" i="2"/>
  <c r="AN54" i="2"/>
  <c r="AM54" i="2"/>
  <c r="AL54" i="2"/>
  <c r="AK54" i="2"/>
  <c r="AJ54" i="2"/>
  <c r="AI54" i="2"/>
  <c r="AH54" i="2"/>
  <c r="AG54" i="2"/>
  <c r="AF54" i="2"/>
  <c r="AE54" i="2"/>
  <c r="AD54" i="2"/>
  <c r="AN53" i="2"/>
  <c r="AM53" i="2"/>
  <c r="AL53" i="2"/>
  <c r="AK53" i="2"/>
  <c r="AJ53" i="2"/>
  <c r="AI53" i="2"/>
  <c r="AH53" i="2"/>
  <c r="AG53" i="2"/>
  <c r="AF53" i="2"/>
  <c r="AE53" i="2"/>
  <c r="AD53" i="2"/>
  <c r="AN52" i="2"/>
  <c r="AM52" i="2"/>
  <c r="AL52" i="2"/>
  <c r="AK52" i="2"/>
  <c r="AJ52" i="2"/>
  <c r="AI52" i="2"/>
  <c r="AH52" i="2"/>
  <c r="AG52" i="2"/>
  <c r="AF52" i="2"/>
  <c r="AE52" i="2"/>
  <c r="AD52" i="2"/>
  <c r="AN51" i="2"/>
  <c r="AM51" i="2"/>
  <c r="AL51" i="2"/>
  <c r="AK51" i="2"/>
  <c r="AJ51" i="2"/>
  <c r="AI51" i="2"/>
  <c r="AH51" i="2"/>
  <c r="AG51" i="2"/>
  <c r="AF51" i="2"/>
  <c r="AE51" i="2"/>
  <c r="AD51" i="2"/>
  <c r="AN50" i="2"/>
  <c r="AM50" i="2"/>
  <c r="AL50" i="2"/>
  <c r="AK50" i="2"/>
  <c r="AJ50" i="2"/>
  <c r="AI50" i="2"/>
  <c r="AH50" i="2"/>
  <c r="AG50" i="2"/>
  <c r="AF50" i="2"/>
  <c r="AE50" i="2"/>
  <c r="AD50" i="2"/>
  <c r="AN49" i="2"/>
  <c r="AM49" i="2"/>
  <c r="AL49" i="2"/>
  <c r="AK49" i="2"/>
  <c r="AJ49" i="2"/>
  <c r="AI49" i="2"/>
  <c r="AH49" i="2"/>
  <c r="AG49" i="2"/>
  <c r="AF49" i="2"/>
  <c r="AE49" i="2"/>
  <c r="AD49" i="2"/>
  <c r="AN48" i="2"/>
  <c r="AM48" i="2"/>
  <c r="AL48" i="2"/>
  <c r="AK48" i="2"/>
  <c r="AJ48" i="2"/>
  <c r="AI48" i="2"/>
  <c r="AH48" i="2"/>
  <c r="AG48" i="2"/>
  <c r="AF48" i="2"/>
  <c r="AE48" i="2"/>
  <c r="AD48" i="2"/>
  <c r="AN47" i="2"/>
  <c r="AM47" i="2"/>
  <c r="AL47" i="2"/>
  <c r="AK47" i="2"/>
  <c r="AJ47" i="2"/>
  <c r="AI47" i="2"/>
  <c r="AH47" i="2"/>
  <c r="AG47" i="2"/>
  <c r="AF47" i="2"/>
  <c r="AE47" i="2"/>
  <c r="AD47" i="2"/>
  <c r="AN46" i="2"/>
  <c r="AM46" i="2"/>
  <c r="AL46" i="2"/>
  <c r="AK46" i="2"/>
  <c r="AJ46" i="2"/>
  <c r="AI46" i="2"/>
  <c r="AH46" i="2"/>
  <c r="AG46" i="2"/>
  <c r="AF46" i="2"/>
  <c r="AE46" i="2"/>
  <c r="AD46" i="2"/>
  <c r="AN45" i="2"/>
  <c r="AM45" i="2"/>
  <c r="AL45" i="2"/>
  <c r="AK45" i="2"/>
  <c r="AJ45" i="2"/>
  <c r="AI45" i="2"/>
  <c r="AH45" i="2"/>
  <c r="AG45" i="2"/>
  <c r="AF45" i="2"/>
  <c r="AE45" i="2"/>
  <c r="AD45" i="2"/>
  <c r="AN44" i="2"/>
  <c r="AM44" i="2"/>
  <c r="AL44" i="2"/>
  <c r="AK44" i="2"/>
  <c r="AJ44" i="2"/>
  <c r="AI44" i="2"/>
  <c r="AH44" i="2"/>
  <c r="AG44" i="2"/>
  <c r="AF44" i="2"/>
  <c r="AE44" i="2"/>
  <c r="AD44" i="2"/>
  <c r="AN43" i="2"/>
  <c r="AM43" i="2"/>
  <c r="AL43" i="2"/>
  <c r="AK43" i="2"/>
  <c r="AJ43" i="2"/>
  <c r="AI43" i="2"/>
  <c r="AH43" i="2"/>
  <c r="AG43" i="2"/>
  <c r="AF43" i="2"/>
  <c r="AE43" i="2"/>
  <c r="AD43" i="2"/>
  <c r="AN42" i="2"/>
  <c r="AM42" i="2"/>
  <c r="AL42" i="2"/>
  <c r="AK42" i="2"/>
  <c r="AJ42" i="2"/>
  <c r="AI42" i="2"/>
  <c r="AH42" i="2"/>
  <c r="AG42" i="2"/>
  <c r="AF42" i="2"/>
  <c r="AE42" i="2"/>
  <c r="AD42" i="2"/>
  <c r="AN41" i="2"/>
  <c r="AM41" i="2"/>
  <c r="AL41" i="2"/>
  <c r="AK41" i="2"/>
  <c r="AJ41" i="2"/>
  <c r="AI41" i="2"/>
  <c r="AH41" i="2"/>
  <c r="AG41" i="2"/>
  <c r="AF41" i="2"/>
  <c r="AE41" i="2"/>
  <c r="AD41" i="2"/>
  <c r="AN40" i="2"/>
  <c r="AM40" i="2"/>
  <c r="AL40" i="2"/>
  <c r="AK40" i="2"/>
  <c r="AJ40" i="2"/>
  <c r="AI40" i="2"/>
  <c r="AH40" i="2"/>
  <c r="AG40" i="2"/>
  <c r="AF40" i="2"/>
  <c r="AE40" i="2"/>
  <c r="AD40" i="2"/>
  <c r="AN39" i="2"/>
  <c r="AM39" i="2"/>
  <c r="AL39" i="2"/>
  <c r="AK39" i="2"/>
  <c r="AJ39" i="2"/>
  <c r="AI39" i="2"/>
  <c r="AH39" i="2"/>
  <c r="AG39" i="2"/>
  <c r="AF39" i="2"/>
  <c r="AE39" i="2"/>
  <c r="AD39" i="2"/>
  <c r="AN38" i="2"/>
  <c r="AM38" i="2"/>
  <c r="AL38" i="2"/>
  <c r="AK38" i="2"/>
  <c r="AJ38" i="2"/>
  <c r="AI38" i="2"/>
  <c r="AH38" i="2"/>
  <c r="AG38" i="2"/>
  <c r="AF38" i="2"/>
  <c r="AE38" i="2"/>
  <c r="AD38" i="2"/>
  <c r="AN37" i="2"/>
  <c r="AM37" i="2"/>
  <c r="AL37" i="2"/>
  <c r="AK37" i="2"/>
  <c r="AJ37" i="2"/>
  <c r="AI37" i="2"/>
  <c r="AH37" i="2"/>
  <c r="AG37" i="2"/>
  <c r="AF37" i="2"/>
  <c r="AE37" i="2"/>
  <c r="AD37" i="2"/>
  <c r="AN36" i="2"/>
  <c r="AM36" i="2"/>
  <c r="AL36" i="2"/>
  <c r="AK36" i="2"/>
  <c r="AJ36" i="2"/>
  <c r="AI36" i="2"/>
  <c r="AH36" i="2"/>
  <c r="AG36" i="2"/>
  <c r="AF36" i="2"/>
  <c r="AE36" i="2"/>
  <c r="AD36" i="2"/>
  <c r="AN35" i="2"/>
  <c r="AM35" i="2"/>
  <c r="AL35" i="2"/>
  <c r="AK35" i="2"/>
  <c r="AJ35" i="2"/>
  <c r="AI35" i="2"/>
  <c r="AH35" i="2"/>
  <c r="AG35" i="2"/>
  <c r="AF35" i="2"/>
  <c r="AE35" i="2"/>
  <c r="AD35" i="2"/>
  <c r="AN34" i="2"/>
  <c r="AM34" i="2"/>
  <c r="AL34" i="2"/>
  <c r="AK34" i="2"/>
  <c r="AJ34" i="2"/>
  <c r="AI34" i="2"/>
  <c r="AH34" i="2"/>
  <c r="AG34" i="2"/>
  <c r="AF34" i="2"/>
  <c r="AE34" i="2"/>
  <c r="AD34" i="2"/>
  <c r="AN33" i="2"/>
  <c r="AM33" i="2"/>
  <c r="AL33" i="2"/>
  <c r="AK33" i="2"/>
  <c r="AJ33" i="2"/>
  <c r="AI33" i="2"/>
  <c r="AH33" i="2"/>
  <c r="AG33" i="2"/>
  <c r="AF33" i="2"/>
  <c r="AE33" i="2"/>
  <c r="AD33" i="2"/>
  <c r="AN32" i="2"/>
  <c r="AM32" i="2"/>
  <c r="AL32" i="2"/>
  <c r="AK32" i="2"/>
  <c r="AJ32" i="2"/>
  <c r="AI32" i="2"/>
  <c r="AH32" i="2"/>
  <c r="AG32" i="2"/>
  <c r="AF32" i="2"/>
  <c r="AE32" i="2"/>
  <c r="AD32" i="2"/>
  <c r="AN31" i="2"/>
  <c r="AM31" i="2"/>
  <c r="AL31" i="2"/>
  <c r="AK31" i="2"/>
  <c r="AJ31" i="2"/>
  <c r="AI31" i="2"/>
  <c r="AH31" i="2"/>
  <c r="AG31" i="2"/>
  <c r="AF31" i="2"/>
  <c r="AE31" i="2"/>
  <c r="AD31" i="2"/>
  <c r="AN30" i="2"/>
  <c r="AM30" i="2"/>
  <c r="AL30" i="2"/>
  <c r="AK30" i="2"/>
  <c r="AJ30" i="2"/>
  <c r="AI30" i="2"/>
  <c r="AH30" i="2"/>
  <c r="AG30" i="2"/>
  <c r="AF30" i="2"/>
  <c r="AE30" i="2"/>
  <c r="AD30" i="2"/>
  <c r="AN29" i="2"/>
  <c r="AM29" i="2"/>
  <c r="AL29" i="2"/>
  <c r="AK29" i="2"/>
  <c r="AJ29" i="2"/>
  <c r="AI29" i="2"/>
  <c r="AH29" i="2"/>
  <c r="AG29" i="2"/>
  <c r="AF29" i="2"/>
  <c r="AE29" i="2"/>
  <c r="AD29" i="2"/>
  <c r="AN28" i="2"/>
  <c r="AM28" i="2"/>
  <c r="AL28" i="2"/>
  <c r="AK28" i="2"/>
  <c r="AJ28" i="2"/>
  <c r="AI28" i="2"/>
  <c r="AH28" i="2"/>
  <c r="AG28" i="2"/>
  <c r="AF28" i="2"/>
  <c r="AE28" i="2"/>
  <c r="AD28" i="2"/>
  <c r="AN27" i="2"/>
  <c r="AM27" i="2"/>
  <c r="AL27" i="2"/>
  <c r="AK27" i="2"/>
  <c r="AJ27" i="2"/>
  <c r="AI27" i="2"/>
  <c r="AH27" i="2"/>
  <c r="AG27" i="2"/>
  <c r="AF27" i="2"/>
  <c r="AE27" i="2"/>
  <c r="AD27" i="2"/>
  <c r="AN26" i="2"/>
  <c r="AM26" i="2"/>
  <c r="AL26" i="2"/>
  <c r="AK26" i="2"/>
  <c r="AJ26" i="2"/>
  <c r="AI26" i="2"/>
  <c r="AH26" i="2"/>
  <c r="AG26" i="2"/>
  <c r="AF26" i="2"/>
  <c r="AE26" i="2"/>
  <c r="AD26" i="2"/>
  <c r="AN25" i="2"/>
  <c r="AM25" i="2"/>
  <c r="AL25" i="2"/>
  <c r="AK25" i="2"/>
  <c r="AJ25" i="2"/>
  <c r="AI25" i="2"/>
  <c r="AH25" i="2"/>
  <c r="AG25" i="2"/>
  <c r="AF25" i="2"/>
  <c r="AE25" i="2"/>
  <c r="AD25" i="2"/>
  <c r="AN24" i="2"/>
  <c r="AM24" i="2"/>
  <c r="AL24" i="2"/>
  <c r="AK24" i="2"/>
  <c r="AJ24" i="2"/>
  <c r="AI24" i="2"/>
  <c r="AH24" i="2"/>
  <c r="AG24" i="2"/>
  <c r="AF24" i="2"/>
  <c r="AE24" i="2"/>
  <c r="AD24" i="2"/>
  <c r="AN23" i="2"/>
  <c r="AM23" i="2"/>
  <c r="AL23" i="2"/>
  <c r="AK23" i="2"/>
  <c r="AJ23" i="2"/>
  <c r="AI23" i="2"/>
  <c r="AH23" i="2"/>
  <c r="AG23" i="2"/>
  <c r="AF23" i="2"/>
  <c r="AE23" i="2"/>
  <c r="AD23" i="2"/>
  <c r="AN22" i="2"/>
  <c r="AM22" i="2"/>
  <c r="AL22" i="2"/>
  <c r="AK22" i="2"/>
  <c r="AJ22" i="2"/>
  <c r="AI22" i="2"/>
  <c r="AH22" i="2"/>
  <c r="AG22" i="2"/>
  <c r="AF22" i="2"/>
  <c r="AE22" i="2"/>
  <c r="AD22" i="2"/>
  <c r="AN21" i="2"/>
  <c r="AM21" i="2"/>
  <c r="AL21" i="2"/>
  <c r="AK21" i="2"/>
  <c r="AJ21" i="2"/>
  <c r="AI21" i="2"/>
  <c r="AH21" i="2"/>
  <c r="AG21" i="2"/>
  <c r="AF21" i="2"/>
  <c r="AE21" i="2"/>
  <c r="AD21" i="2"/>
  <c r="AN20" i="2"/>
  <c r="AM20" i="2"/>
  <c r="AL20" i="2"/>
  <c r="AK20" i="2"/>
  <c r="AJ20" i="2"/>
  <c r="AI20" i="2"/>
  <c r="AH20" i="2"/>
  <c r="AG20" i="2"/>
  <c r="AF20" i="2"/>
  <c r="AE20" i="2"/>
  <c r="AD20" i="2"/>
  <c r="AN19" i="2"/>
  <c r="AM19" i="2"/>
  <c r="AL19" i="2"/>
  <c r="AK19" i="2"/>
  <c r="AJ19" i="2"/>
  <c r="AI19" i="2"/>
  <c r="AH19" i="2"/>
  <c r="AG19" i="2"/>
  <c r="AF19" i="2"/>
  <c r="AE19" i="2"/>
  <c r="AD19" i="2"/>
  <c r="AN18" i="2"/>
  <c r="AM18" i="2"/>
  <c r="AL18" i="2"/>
  <c r="AK18" i="2"/>
  <c r="AJ18" i="2"/>
  <c r="AI18" i="2"/>
  <c r="AH18" i="2"/>
  <c r="AG18" i="2"/>
  <c r="AF18" i="2"/>
  <c r="AE18" i="2"/>
  <c r="AD18" i="2"/>
  <c r="AN17" i="2"/>
  <c r="AM17" i="2"/>
  <c r="AL17" i="2"/>
  <c r="AK17" i="2"/>
  <c r="AJ17" i="2"/>
  <c r="AI17" i="2"/>
  <c r="AH17" i="2"/>
  <c r="AG17" i="2"/>
  <c r="AF17" i="2"/>
  <c r="AE17" i="2"/>
  <c r="AD17" i="2"/>
  <c r="AN16" i="2"/>
  <c r="AM16" i="2"/>
  <c r="AL16" i="2"/>
  <c r="AK16" i="2"/>
  <c r="AJ16" i="2"/>
  <c r="AI16" i="2"/>
  <c r="AH16" i="2"/>
  <c r="AG16" i="2"/>
  <c r="AF16" i="2"/>
  <c r="AE16" i="2"/>
  <c r="AD16" i="2"/>
  <c r="AN15" i="2"/>
  <c r="AM15" i="2"/>
  <c r="AL15" i="2"/>
  <c r="AK15" i="2"/>
  <c r="AJ15" i="2"/>
  <c r="AI15" i="2"/>
  <c r="AH15" i="2"/>
  <c r="AG15" i="2"/>
  <c r="AF15" i="2"/>
  <c r="AE15" i="2"/>
  <c r="AD15" i="2"/>
  <c r="AN14" i="2"/>
  <c r="AM14" i="2"/>
  <c r="AL14" i="2"/>
  <c r="AK14" i="2"/>
  <c r="AJ14" i="2"/>
  <c r="AI14" i="2"/>
  <c r="AH14" i="2"/>
  <c r="AG14" i="2"/>
  <c r="AF14" i="2"/>
  <c r="AE14" i="2"/>
  <c r="AD14" i="2"/>
  <c r="AN13" i="2"/>
  <c r="AM13" i="2"/>
  <c r="AL13" i="2"/>
  <c r="AK13" i="2"/>
  <c r="AJ13" i="2"/>
  <c r="AI13" i="2"/>
  <c r="AH13" i="2"/>
  <c r="AG13" i="2"/>
  <c r="AF13" i="2"/>
  <c r="AE13" i="2"/>
  <c r="AD13" i="2"/>
  <c r="AN12" i="2"/>
  <c r="AM12" i="2"/>
  <c r="AL12" i="2"/>
  <c r="AK12" i="2"/>
  <c r="AJ12" i="2"/>
  <c r="AI12" i="2"/>
  <c r="AH12" i="2"/>
  <c r="AG12" i="2"/>
  <c r="AF12" i="2"/>
  <c r="AE12" i="2"/>
  <c r="AD12" i="2"/>
  <c r="AN11" i="2"/>
  <c r="AM11" i="2"/>
  <c r="AL11" i="2"/>
  <c r="AK11" i="2"/>
  <c r="AJ11" i="2"/>
  <c r="AI11" i="2"/>
  <c r="AH11" i="2"/>
  <c r="AG11" i="2"/>
  <c r="AF11" i="2"/>
  <c r="AE11" i="2"/>
  <c r="AD11" i="2"/>
  <c r="AN10" i="2"/>
  <c r="AM10" i="2"/>
  <c r="AL10" i="2"/>
  <c r="AK10" i="2"/>
  <c r="AJ10" i="2"/>
  <c r="AI10" i="2"/>
  <c r="AH10" i="2"/>
  <c r="AG10" i="2"/>
  <c r="AF10" i="2"/>
  <c r="AE10" i="2"/>
  <c r="AD10" i="2"/>
  <c r="AN9" i="2"/>
  <c r="AM9" i="2"/>
  <c r="AL9" i="2"/>
  <c r="AK9" i="2"/>
  <c r="AJ9" i="2"/>
  <c r="AI9" i="2"/>
  <c r="AH9" i="2"/>
  <c r="AG9" i="2"/>
  <c r="AF9" i="2"/>
  <c r="AE9" i="2"/>
  <c r="AD9" i="2"/>
  <c r="AN8" i="2"/>
  <c r="AM8" i="2"/>
  <c r="AL8" i="2"/>
  <c r="AK8" i="2"/>
  <c r="AJ8" i="2"/>
  <c r="AI8" i="2"/>
  <c r="AH8" i="2"/>
  <c r="AG8" i="2"/>
  <c r="AF8" i="2"/>
  <c r="AE8" i="2"/>
  <c r="AD8" i="2"/>
  <c r="AN7" i="2"/>
  <c r="AM7" i="2"/>
  <c r="AL7" i="2"/>
  <c r="AK7" i="2"/>
  <c r="AJ7" i="2"/>
  <c r="AI7" i="2"/>
  <c r="AH7" i="2"/>
  <c r="AG7" i="2"/>
  <c r="AF7" i="2"/>
  <c r="AE7" i="2"/>
  <c r="AD7" i="2"/>
  <c r="AN6" i="2"/>
  <c r="AM6" i="2"/>
  <c r="AL6" i="2"/>
  <c r="AK6" i="2"/>
  <c r="AJ6" i="2"/>
  <c r="AI6" i="2"/>
  <c r="AH6" i="2"/>
  <c r="AG6" i="2"/>
  <c r="AF6" i="2"/>
  <c r="AE6" i="2"/>
  <c r="AD6" i="2"/>
  <c r="AN5" i="2"/>
  <c r="AM5" i="2"/>
  <c r="AL5" i="2"/>
  <c r="AK5" i="2"/>
  <c r="AJ5" i="2"/>
  <c r="AI5" i="2"/>
  <c r="AH5" i="2"/>
  <c r="AG5" i="2"/>
  <c r="AF5" i="2"/>
  <c r="AE5" i="2"/>
  <c r="AD5" i="2"/>
  <c r="R105" i="2"/>
  <c r="AE1" i="2"/>
  <c r="P11" i="11"/>
  <c r="P7" i="11"/>
  <c r="P5" i="11"/>
  <c r="I127" i="8" l="1"/>
  <c r="I126" i="8"/>
  <c r="M41" i="3"/>
  <c r="M42" i="3"/>
  <c r="H112" i="8"/>
  <c r="H111" i="8"/>
  <c r="L30" i="3"/>
  <c r="L29" i="3"/>
  <c r="E132" i="8"/>
  <c r="E131" i="8"/>
  <c r="H143" i="6"/>
  <c r="H142" i="6"/>
  <c r="H127" i="4"/>
  <c r="AF127" i="4"/>
  <c r="AB127" i="4"/>
  <c r="AJ127" i="4"/>
  <c r="L38" i="1"/>
  <c r="L39" i="1"/>
  <c r="AN105" i="2"/>
  <c r="AQ125" i="4"/>
  <c r="P37" i="3"/>
  <c r="P38" i="3"/>
  <c r="AE105" i="2"/>
  <c r="AI105" i="2"/>
  <c r="AG105" i="2"/>
  <c r="AH105" i="2"/>
  <c r="AL105" i="2"/>
  <c r="AA73" i="1"/>
  <c r="G49" i="3"/>
  <c r="G50" i="3"/>
  <c r="I45" i="3"/>
  <c r="I46" i="3"/>
  <c r="H33" i="3"/>
  <c r="H34" i="3"/>
  <c r="AM105" i="2"/>
  <c r="AK105" i="2"/>
  <c r="AJ105" i="2"/>
  <c r="AF105" i="2"/>
  <c r="AM126" i="4"/>
  <c r="AM127" i="4" s="1"/>
  <c r="J126" i="4"/>
  <c r="J127" i="4" s="1"/>
  <c r="V126" i="4"/>
  <c r="V127" i="4" s="1"/>
  <c r="AA126" i="4"/>
  <c r="AA127" i="4" s="1"/>
  <c r="N126" i="4"/>
  <c r="N127" i="4" s="1"/>
  <c r="AI126" i="4"/>
  <c r="B126" i="4"/>
  <c r="B127" i="4" s="1"/>
  <c r="O126" i="4"/>
  <c r="O127" i="4" s="1"/>
  <c r="Q74" i="3"/>
  <c r="L126" i="4"/>
  <c r="L127" i="4" s="1"/>
  <c r="X126" i="4"/>
  <c r="X127" i="4" s="1"/>
  <c r="AO126" i="4"/>
  <c r="AO127" i="4" s="1"/>
  <c r="AE74" i="3"/>
  <c r="AI127" i="4"/>
  <c r="J74" i="3"/>
  <c r="C126" i="4"/>
  <c r="C127" i="4" s="1"/>
  <c r="Y126" i="4"/>
  <c r="Y127" i="4" s="1"/>
  <c r="U74" i="3"/>
  <c r="X74" i="3"/>
  <c r="T74" i="3"/>
  <c r="T126" i="4"/>
  <c r="T127" i="4" s="1"/>
  <c r="R74" i="3"/>
  <c r="G127" i="4"/>
  <c r="F126" i="4"/>
  <c r="F127" i="4" s="1"/>
  <c r="G74" i="3"/>
  <c r="AH126" i="4"/>
  <c r="AH127" i="4" s="1"/>
  <c r="AM106" i="2"/>
  <c r="AP127" i="4"/>
  <c r="F136" i="8" l="1"/>
  <c r="F137" i="8"/>
  <c r="M29" i="3"/>
  <c r="I112" i="8"/>
  <c r="I111" i="8"/>
  <c r="M30" i="3"/>
  <c r="J127" i="8"/>
  <c r="J126" i="8"/>
  <c r="N41" i="3"/>
  <c r="N42" i="3"/>
  <c r="K122" i="8"/>
  <c r="K121" i="8"/>
  <c r="I143" i="6"/>
  <c r="I142" i="6"/>
  <c r="M38" i="1"/>
  <c r="M39" i="1"/>
  <c r="Q37" i="3"/>
  <c r="Q38" i="3"/>
  <c r="H50" i="3"/>
  <c r="H49" i="3"/>
  <c r="J45" i="3"/>
  <c r="J46" i="3"/>
  <c r="I34" i="3"/>
  <c r="I33" i="3"/>
  <c r="I126" i="4"/>
  <c r="I127" i="4" s="1"/>
  <c r="D126" i="4"/>
  <c r="D127" i="4" s="1"/>
  <c r="AE126" i="4"/>
  <c r="AE127" i="4" s="1"/>
  <c r="AL126" i="4"/>
  <c r="AL127" i="4" s="1"/>
  <c r="Q126" i="4"/>
  <c r="Q127" i="4" s="1"/>
  <c r="Z126" i="4"/>
  <c r="Z127" i="4" s="1"/>
  <c r="S126" i="4"/>
  <c r="S127" i="4" s="1"/>
  <c r="R126" i="4"/>
  <c r="R127" i="4" s="1"/>
  <c r="K126" i="4"/>
  <c r="K127" i="4" s="1"/>
  <c r="M126" i="4"/>
  <c r="M127" i="4" s="1"/>
  <c r="E126" i="4"/>
  <c r="E127" i="4" s="1"/>
  <c r="AQ74" i="3"/>
  <c r="AN106" i="2"/>
  <c r="AK106" i="2"/>
  <c r="AG106" i="2"/>
  <c r="AE106" i="2"/>
  <c r="AF106" i="2"/>
  <c r="W126" i="4"/>
  <c r="W127" i="4" s="1"/>
  <c r="AJ106" i="2"/>
  <c r="AD126" i="4"/>
  <c r="AD127" i="4" s="1"/>
  <c r="AL106" i="2"/>
  <c r="AH106" i="2"/>
  <c r="P126" i="4"/>
  <c r="P127" i="4" s="1"/>
  <c r="AI106" i="2"/>
  <c r="O41" i="3" l="1"/>
  <c r="O42" i="3"/>
  <c r="J112" i="8"/>
  <c r="J111" i="8"/>
  <c r="N29" i="3"/>
  <c r="N30" i="3"/>
  <c r="G137" i="8"/>
  <c r="G136" i="8"/>
  <c r="L122" i="8"/>
  <c r="L121" i="8"/>
  <c r="J143" i="6"/>
  <c r="J142" i="6"/>
  <c r="F117" i="8"/>
  <c r="F116" i="8"/>
  <c r="N38" i="1"/>
  <c r="N39" i="1"/>
  <c r="R37" i="3"/>
  <c r="R38" i="3"/>
  <c r="K45" i="3"/>
  <c r="K46" i="3"/>
  <c r="I49" i="3"/>
  <c r="I50" i="3"/>
  <c r="J33" i="3"/>
  <c r="J34" i="3"/>
  <c r="AO106" i="2"/>
  <c r="AP106" i="2"/>
  <c r="G117" i="8" l="1"/>
  <c r="G116" i="8"/>
  <c r="F132" i="2"/>
  <c r="H137" i="8"/>
  <c r="H136" i="8"/>
  <c r="M122" i="8"/>
  <c r="M121" i="8"/>
  <c r="O29" i="3"/>
  <c r="O30" i="3"/>
  <c r="P41" i="3"/>
  <c r="P42" i="3"/>
  <c r="J50" i="3"/>
  <c r="F132" i="8"/>
  <c r="F131" i="8"/>
  <c r="O38" i="1"/>
  <c r="O39" i="1"/>
  <c r="S37" i="3"/>
  <c r="S38" i="3"/>
  <c r="L45" i="3"/>
  <c r="L46" i="3"/>
  <c r="J49" i="3"/>
  <c r="K33" i="3"/>
  <c r="K34" i="3"/>
  <c r="K127" i="8" l="1"/>
  <c r="K126" i="8"/>
  <c r="Q41" i="3"/>
  <c r="Q42" i="3"/>
  <c r="I137" i="8"/>
  <c r="I136" i="8"/>
  <c r="H117" i="8"/>
  <c r="H116" i="8"/>
  <c r="P29" i="3"/>
  <c r="P30" i="3"/>
  <c r="G132" i="8"/>
  <c r="G131" i="8"/>
  <c r="N122" i="8"/>
  <c r="N121" i="8"/>
  <c r="P38" i="1"/>
  <c r="P39" i="1"/>
  <c r="T37" i="3"/>
  <c r="T38" i="3"/>
  <c r="K49" i="3"/>
  <c r="K50" i="3"/>
  <c r="M45" i="3"/>
  <c r="M46" i="3"/>
  <c r="L34" i="3"/>
  <c r="L33" i="3"/>
  <c r="K112" i="8" l="1"/>
  <c r="K111" i="8"/>
  <c r="Q29" i="3"/>
  <c r="Q30" i="3"/>
  <c r="H131" i="8"/>
  <c r="H132" i="8"/>
  <c r="J136" i="8"/>
  <c r="J137" i="8"/>
  <c r="K143" i="6"/>
  <c r="K142" i="6"/>
  <c r="L127" i="8"/>
  <c r="L126" i="8"/>
  <c r="R41" i="3"/>
  <c r="R42" i="3"/>
  <c r="O122" i="8"/>
  <c r="O121" i="8"/>
  <c r="I117" i="8"/>
  <c r="I116" i="8"/>
  <c r="Q38" i="1"/>
  <c r="Q39" i="1"/>
  <c r="U37" i="3"/>
  <c r="U38" i="3"/>
  <c r="N45" i="3"/>
  <c r="G132" i="2" s="1"/>
  <c r="N46" i="3"/>
  <c r="L50" i="3"/>
  <c r="L49" i="3"/>
  <c r="M34" i="3"/>
  <c r="M33" i="3"/>
  <c r="L143" i="6" l="1"/>
  <c r="L142" i="6"/>
  <c r="M127" i="8"/>
  <c r="M126" i="8"/>
  <c r="S41" i="3"/>
  <c r="S42" i="3"/>
  <c r="I132" i="8"/>
  <c r="I131" i="8"/>
  <c r="L112" i="8"/>
  <c r="L111" i="8"/>
  <c r="R30" i="3"/>
  <c r="R29" i="3"/>
  <c r="J117" i="8"/>
  <c r="J116" i="8"/>
  <c r="R38" i="1"/>
  <c r="R39" i="1"/>
  <c r="V37" i="3"/>
  <c r="V38" i="3"/>
  <c r="M50" i="3"/>
  <c r="M49" i="3"/>
  <c r="O45" i="3"/>
  <c r="O46" i="3"/>
  <c r="N33" i="3"/>
  <c r="N34" i="3"/>
  <c r="N127" i="8" l="1"/>
  <c r="N126" i="8"/>
  <c r="T42" i="3"/>
  <c r="T41" i="3"/>
  <c r="M112" i="8"/>
  <c r="M111" i="8"/>
  <c r="S29" i="3"/>
  <c r="S30" i="3"/>
  <c r="J132" i="8"/>
  <c r="J131" i="8"/>
  <c r="M143" i="6"/>
  <c r="M142" i="6"/>
  <c r="S38" i="1"/>
  <c r="S39" i="1"/>
  <c r="W37" i="3"/>
  <c r="W38" i="3"/>
  <c r="P45" i="3"/>
  <c r="P46" i="3"/>
  <c r="N50" i="3"/>
  <c r="N49" i="3"/>
  <c r="O33" i="3"/>
  <c r="O34" i="3"/>
  <c r="P122" i="8" l="1"/>
  <c r="P121" i="8"/>
  <c r="N143" i="6"/>
  <c r="N142" i="6"/>
  <c r="O127" i="8"/>
  <c r="O126" i="8"/>
  <c r="U41" i="3"/>
  <c r="U42" i="3"/>
  <c r="N112" i="8"/>
  <c r="N111" i="8"/>
  <c r="T30" i="3"/>
  <c r="T29" i="3"/>
  <c r="K136" i="8"/>
  <c r="K137" i="8"/>
  <c r="T38" i="1"/>
  <c r="T39" i="1"/>
  <c r="X37" i="3"/>
  <c r="X38" i="3"/>
  <c r="O50" i="3"/>
  <c r="O49" i="3"/>
  <c r="Q45" i="3"/>
  <c r="Q46" i="3"/>
  <c r="P33" i="3"/>
  <c r="P34" i="3"/>
  <c r="O112" i="8" l="1"/>
  <c r="O111" i="8"/>
  <c r="U29" i="3"/>
  <c r="U30" i="3"/>
  <c r="L137" i="8"/>
  <c r="L136" i="8"/>
  <c r="O143" i="6"/>
  <c r="O142" i="6"/>
  <c r="V41" i="3"/>
  <c r="V42" i="3"/>
  <c r="K117" i="8"/>
  <c r="K116" i="8"/>
  <c r="Q122" i="8"/>
  <c r="Q121" i="8"/>
  <c r="U38" i="1"/>
  <c r="U39" i="1"/>
  <c r="Y37" i="3"/>
  <c r="Y38" i="3"/>
  <c r="R45" i="3"/>
  <c r="R46" i="3"/>
  <c r="P49" i="3"/>
  <c r="P50" i="3"/>
  <c r="Q33" i="3"/>
  <c r="Q34" i="3"/>
  <c r="W41" i="3" l="1"/>
  <c r="W42" i="3"/>
  <c r="V30" i="3"/>
  <c r="V29" i="3"/>
  <c r="K132" i="8"/>
  <c r="K131" i="8"/>
  <c r="R122" i="8"/>
  <c r="R121" i="8"/>
  <c r="L117" i="8"/>
  <c r="L116" i="8"/>
  <c r="H132" i="2"/>
  <c r="M137" i="8"/>
  <c r="M136" i="8"/>
  <c r="V38" i="1"/>
  <c r="V39" i="1"/>
  <c r="Z37" i="3"/>
  <c r="Z38" i="3"/>
  <c r="Q50" i="3"/>
  <c r="Q49" i="3"/>
  <c r="S45" i="3"/>
  <c r="S46" i="3"/>
  <c r="R33" i="3"/>
  <c r="R34" i="3"/>
  <c r="L131" i="8" l="1"/>
  <c r="L132" i="8"/>
  <c r="M117" i="8"/>
  <c r="M116" i="8"/>
  <c r="S122" i="8"/>
  <c r="S121" i="8"/>
  <c r="W29" i="3"/>
  <c r="W30" i="3"/>
  <c r="N137" i="8"/>
  <c r="N136" i="8"/>
  <c r="P127" i="8"/>
  <c r="P126" i="8"/>
  <c r="X41" i="3"/>
  <c r="X42" i="3"/>
  <c r="W38" i="1"/>
  <c r="W39" i="1"/>
  <c r="AA37" i="3"/>
  <c r="AA38" i="3"/>
  <c r="T45" i="3"/>
  <c r="T46" i="3"/>
  <c r="R49" i="3"/>
  <c r="R50" i="3"/>
  <c r="S33" i="3"/>
  <c r="S34" i="3"/>
  <c r="T122" i="8" l="1"/>
  <c r="T121" i="8"/>
  <c r="P143" i="6"/>
  <c r="P142" i="6"/>
  <c r="N117" i="8"/>
  <c r="N116" i="8"/>
  <c r="O136" i="8"/>
  <c r="O137" i="8"/>
  <c r="Q127" i="8"/>
  <c r="Q126" i="8"/>
  <c r="Y41" i="3"/>
  <c r="Y42" i="3"/>
  <c r="M132" i="8"/>
  <c r="M131" i="8"/>
  <c r="P112" i="8"/>
  <c r="P111" i="8"/>
  <c r="X29" i="3"/>
  <c r="X30" i="3"/>
  <c r="X38" i="1"/>
  <c r="X39" i="1"/>
  <c r="AB37" i="3"/>
  <c r="AB38" i="3"/>
  <c r="S49" i="3"/>
  <c r="S50" i="3"/>
  <c r="U45" i="3"/>
  <c r="I132" i="2" s="1"/>
  <c r="U46" i="3"/>
  <c r="T33" i="3"/>
  <c r="T34" i="3"/>
  <c r="O117" i="8" l="1"/>
  <c r="O116" i="8"/>
  <c r="N132" i="8"/>
  <c r="N131" i="8"/>
  <c r="Q112" i="8"/>
  <c r="Q111" i="8"/>
  <c r="Y29" i="3"/>
  <c r="Y30" i="3"/>
  <c r="Q143" i="6"/>
  <c r="Q142" i="6"/>
  <c r="R127" i="8"/>
  <c r="R126" i="8"/>
  <c r="Z42" i="3"/>
  <c r="Z41" i="3"/>
  <c r="Y38" i="1"/>
  <c r="Y39" i="1"/>
  <c r="AC37" i="3"/>
  <c r="AC38" i="3"/>
  <c r="V45" i="3"/>
  <c r="V46" i="3"/>
  <c r="T49" i="3"/>
  <c r="T50" i="3"/>
  <c r="U33" i="3"/>
  <c r="U34" i="3"/>
  <c r="R112" i="8" l="1"/>
  <c r="R111" i="8"/>
  <c r="Z30" i="3"/>
  <c r="Z29" i="3"/>
  <c r="O132" i="8"/>
  <c r="O131" i="8"/>
  <c r="R143" i="6"/>
  <c r="R142" i="6"/>
  <c r="S127" i="8"/>
  <c r="S126" i="8"/>
  <c r="AA41" i="3"/>
  <c r="AA42" i="3"/>
  <c r="Z38" i="1"/>
  <c r="Z39" i="1"/>
  <c r="AD37" i="3"/>
  <c r="AD38" i="3"/>
  <c r="U49" i="3"/>
  <c r="U50" i="3"/>
  <c r="W45" i="3"/>
  <c r="W46" i="3"/>
  <c r="V33" i="3"/>
  <c r="V34" i="3"/>
  <c r="P137" i="8" l="1"/>
  <c r="P136" i="8"/>
  <c r="S112" i="8"/>
  <c r="S111" i="8"/>
  <c r="AA30" i="3"/>
  <c r="AA29" i="3"/>
  <c r="U122" i="8"/>
  <c r="U121" i="8"/>
  <c r="T127" i="8"/>
  <c r="T126" i="8"/>
  <c r="AB41" i="3"/>
  <c r="AB42" i="3"/>
  <c r="AE37" i="3"/>
  <c r="AE38" i="3"/>
  <c r="X45" i="3"/>
  <c r="X46" i="3"/>
  <c r="V49" i="3"/>
  <c r="V50" i="3"/>
  <c r="W33" i="3"/>
  <c r="W34" i="3"/>
  <c r="V122" i="8" l="1"/>
  <c r="V121" i="8"/>
  <c r="AC42" i="3"/>
  <c r="AC41" i="3"/>
  <c r="P117" i="8"/>
  <c r="P116" i="8"/>
  <c r="Q137" i="8"/>
  <c r="Q136" i="8"/>
  <c r="T112" i="8"/>
  <c r="T111" i="8"/>
  <c r="AB29" i="3"/>
  <c r="AB30" i="3"/>
  <c r="W49" i="3"/>
  <c r="W50" i="3"/>
  <c r="Y45" i="3"/>
  <c r="Y46" i="3"/>
  <c r="X33" i="3"/>
  <c r="X34" i="3"/>
  <c r="AD42" i="3" l="1"/>
  <c r="AD41" i="3"/>
  <c r="Q117" i="8"/>
  <c r="Q116" i="8"/>
  <c r="P132" i="8"/>
  <c r="P131" i="8"/>
  <c r="AC30" i="3"/>
  <c r="AC29" i="3"/>
  <c r="J132" i="2"/>
  <c r="R136" i="8"/>
  <c r="R137" i="8"/>
  <c r="Z45" i="3"/>
  <c r="Z46" i="3"/>
  <c r="X49" i="3"/>
  <c r="X50" i="3"/>
  <c r="Y34" i="3"/>
  <c r="Y33" i="3"/>
  <c r="Q132" i="8" l="1"/>
  <c r="Q131" i="8"/>
  <c r="AD30" i="3"/>
  <c r="AD29" i="3"/>
  <c r="S136" i="8"/>
  <c r="S137" i="8"/>
  <c r="U127" i="8"/>
  <c r="U126" i="8"/>
  <c r="AE42" i="3"/>
  <c r="AE41" i="3"/>
  <c r="R117" i="8"/>
  <c r="R116" i="8"/>
  <c r="Y49" i="3"/>
  <c r="Y50" i="3"/>
  <c r="AA45" i="3"/>
  <c r="AA46" i="3"/>
  <c r="Z33" i="3"/>
  <c r="Z34" i="3"/>
  <c r="T137" i="8" l="1"/>
  <c r="T136" i="8"/>
  <c r="U112" i="8"/>
  <c r="U111" i="8"/>
  <c r="AE30" i="3"/>
  <c r="AE29" i="3"/>
  <c r="S117" i="8"/>
  <c r="S116" i="8"/>
  <c r="V127" i="8"/>
  <c r="V126" i="8"/>
  <c r="AF42" i="3"/>
  <c r="AF41" i="3"/>
  <c r="R132" i="8"/>
  <c r="R131" i="8"/>
  <c r="AB45" i="3"/>
  <c r="K132" i="2" s="1"/>
  <c r="AB46" i="3"/>
  <c r="Z49" i="3"/>
  <c r="Z50" i="3"/>
  <c r="AA33" i="3"/>
  <c r="AA34" i="3"/>
  <c r="T117" i="8" l="1"/>
  <c r="T116" i="8"/>
  <c r="AG41" i="3"/>
  <c r="AG42" i="3"/>
  <c r="S132" i="8"/>
  <c r="S131" i="8"/>
  <c r="V112" i="8"/>
  <c r="V111" i="8"/>
  <c r="AF30" i="3"/>
  <c r="AF29" i="3"/>
  <c r="AA49" i="3"/>
  <c r="AA50" i="3"/>
  <c r="AC45" i="3"/>
  <c r="AC46" i="3"/>
  <c r="AB34" i="3"/>
  <c r="AB33" i="3"/>
  <c r="AH42" i="3" l="1"/>
  <c r="AH41" i="3"/>
  <c r="T131" i="8"/>
  <c r="T132" i="8"/>
  <c r="AG29" i="3"/>
  <c r="AG30" i="3"/>
  <c r="AD45" i="3"/>
  <c r="AD46" i="3"/>
  <c r="AB49" i="3"/>
  <c r="AB50" i="3"/>
  <c r="AC33" i="3"/>
  <c r="AC34" i="3"/>
  <c r="AI41" i="3" l="1"/>
  <c r="AI42" i="3"/>
  <c r="U137" i="8"/>
  <c r="U136" i="8"/>
  <c r="AH30" i="3"/>
  <c r="AH29" i="3"/>
  <c r="AC49" i="3"/>
  <c r="AC50" i="3"/>
  <c r="AE45" i="3"/>
  <c r="AE46" i="3"/>
  <c r="AD33" i="3"/>
  <c r="AD34" i="3"/>
  <c r="AI29" i="3" l="1"/>
  <c r="AI30" i="3"/>
  <c r="V136" i="8"/>
  <c r="V137" i="8"/>
  <c r="U117" i="8"/>
  <c r="U116" i="8"/>
  <c r="AJ41" i="3"/>
  <c r="AJ42" i="3"/>
  <c r="AF45" i="3"/>
  <c r="AF46" i="3"/>
  <c r="AD49" i="3"/>
  <c r="AD50" i="3"/>
  <c r="AE33" i="3"/>
  <c r="AE34" i="3"/>
  <c r="AK41" i="3" l="1"/>
  <c r="AK42" i="3"/>
  <c r="U132" i="8"/>
  <c r="U131" i="8"/>
  <c r="V117" i="8"/>
  <c r="V116" i="8"/>
  <c r="AJ29" i="3"/>
  <c r="AJ30" i="3"/>
  <c r="AE49" i="3"/>
  <c r="AE50" i="3"/>
  <c r="AF34" i="3"/>
  <c r="AF33" i="3"/>
  <c r="V132" i="8" l="1"/>
  <c r="V131" i="8"/>
  <c r="AK29" i="3"/>
  <c r="AK30" i="3"/>
  <c r="AL42" i="3"/>
  <c r="AL41" i="3"/>
  <c r="AF49" i="3"/>
  <c r="AF50" i="3"/>
  <c r="AG34" i="3"/>
  <c r="AG33" i="3"/>
  <c r="AM42" i="3" l="1"/>
  <c r="AM41" i="3"/>
  <c r="AL30" i="3"/>
  <c r="AL29" i="3"/>
  <c r="AG49" i="3"/>
  <c r="AG50" i="3"/>
  <c r="AH33" i="3"/>
  <c r="AH34" i="3"/>
  <c r="AM29" i="3" l="1"/>
  <c r="AM30" i="3"/>
  <c r="AN41" i="3"/>
  <c r="AN42" i="3"/>
  <c r="AH49" i="3"/>
  <c r="AH50" i="3"/>
  <c r="AI33" i="3"/>
  <c r="AI34" i="3"/>
  <c r="AO41" i="3" l="1"/>
  <c r="AO42" i="3"/>
  <c r="AN29" i="3"/>
  <c r="AN30" i="3"/>
  <c r="AI49" i="3"/>
  <c r="AI50" i="3"/>
  <c r="AJ34" i="3"/>
  <c r="AJ33" i="3"/>
  <c r="AO30" i="3" l="1"/>
  <c r="AO29" i="3"/>
  <c r="AP41" i="3"/>
  <c r="AP42" i="3"/>
  <c r="AJ49" i="3"/>
  <c r="AJ50" i="3"/>
  <c r="AK34" i="3"/>
  <c r="AK33" i="3"/>
  <c r="AP30" i="3" l="1"/>
  <c r="AP29" i="3"/>
  <c r="AK49" i="3"/>
  <c r="AK50" i="3"/>
  <c r="AL33" i="3"/>
  <c r="AL34" i="3"/>
  <c r="AL49" i="3" l="1"/>
  <c r="AL50" i="3"/>
  <c r="AM34" i="3"/>
  <c r="AM33" i="3"/>
  <c r="AM49" i="3" l="1"/>
  <c r="AM50" i="3"/>
  <c r="AN34" i="3"/>
  <c r="AN33" i="3"/>
  <c r="AN49" i="3" l="1"/>
  <c r="AN50" i="3"/>
  <c r="AO34" i="3"/>
  <c r="AO33" i="3"/>
  <c r="AO49" i="3" l="1"/>
  <c r="AO50" i="3"/>
  <c r="AP34" i="3"/>
  <c r="AP33" i="3"/>
  <c r="AP49" i="3" l="1"/>
  <c r="AP50" i="3"/>
  <c r="AG193" i="8"/>
</calcChain>
</file>

<file path=xl/comments1.xml><?xml version="1.0" encoding="utf-8"?>
<comments xmlns="http://schemas.openxmlformats.org/spreadsheetml/2006/main">
  <authors>
    <author>Nicholas.Mathias</author>
  </authors>
  <commentList>
    <comment ref="E106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Highlights DPI Survival Magenta if Mosquito Survived more than 3 days, its body came up positive, and Legs were not screened. IE)We collected legs (should have) and should have run them but didn't.</t>
        </r>
      </text>
    </comment>
  </commentList>
</comments>
</file>

<file path=xl/comments2.xml><?xml version="1.0" encoding="utf-8"?>
<comments xmlns="http://schemas.openxmlformats.org/spreadsheetml/2006/main">
  <authors>
    <author>Nicholas.Mathias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=INDEX('Albopictus Mortality'!$A$3:$AP$3,1,SUMPRODUCT(--('Albopictus Mortality'!$B$5:$AP$26=$A5)*(COLUMN('Albopictus Mortality'!$B$3:$AP$26))))</t>
        </r>
      </text>
    </comment>
    <comment ref="D107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%Fed of Surviving Group Members
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Of those that fed</t>
        </r>
      </text>
    </comment>
  </commentList>
</comments>
</file>

<file path=xl/comments3.xml><?xml version="1.0" encoding="utf-8"?>
<comments xmlns="http://schemas.openxmlformats.org/spreadsheetml/2006/main">
  <authors>
    <author>Nicholas.Mathias</author>
  </authors>
  <commentList>
    <comment ref="D130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%Fed of Surviving Group Members
</t>
        </r>
      </text>
    </comment>
  </commentList>
</comments>
</file>

<file path=xl/comments4.xml><?xml version="1.0" encoding="utf-8"?>
<comments xmlns="http://schemas.openxmlformats.org/spreadsheetml/2006/main">
  <authors>
    <author>Nicholas.Mathias</author>
  </authors>
  <commentList>
    <comment ref="AS1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=IFERROR(INDEX(Sheet2!$A$5:$AP$124,SMALL(IF(INDEX(Sheet2!$A$5:$AP$124,0,MATCH(C$3,Sheet2!$B$3:$AP$3,0)+1)=1,ROW(INDEX(Sheet2!$A$5:$AP$124,0,MATCH(C$3,Sheet2!$B$3:$AP$3,0)+1))-4,""),ROW(1:1)),1),"")</t>
        </r>
      </text>
    </comment>
  </commentList>
</comments>
</file>

<file path=xl/comments5.xml><?xml version="1.0" encoding="utf-8"?>
<comments xmlns="http://schemas.openxmlformats.org/spreadsheetml/2006/main">
  <authors>
    <author>Nicholas.Mathias</author>
  </authors>
  <commentList>
    <comment ref="A129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Eggs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Nicholas.Mathias:</t>
        </r>
        <r>
          <rPr>
            <sz val="9"/>
            <color indexed="81"/>
            <rFont val="Tahoma"/>
            <family val="2"/>
          </rPr>
          <t xml:space="preserve">
Bag was found belonging to Mosquito #38 without a date. Contained 70 Eggs</t>
        </r>
      </text>
    </comment>
  </commentList>
</comments>
</file>

<file path=xl/sharedStrings.xml><?xml version="1.0" encoding="utf-8"?>
<sst xmlns="http://schemas.openxmlformats.org/spreadsheetml/2006/main" count="4948" uniqueCount="216">
  <si>
    <t>Daily Mosquito Mortality</t>
  </si>
  <si>
    <t>MAY</t>
  </si>
  <si>
    <t>Mortality</t>
  </si>
  <si>
    <t>Aedes aegypti (Zika)</t>
  </si>
  <si>
    <t>Aegypti</t>
  </si>
  <si>
    <t>Zika</t>
  </si>
  <si>
    <t>Control</t>
  </si>
  <si>
    <t>Mosquito Feeding</t>
  </si>
  <si>
    <t>Albopictus</t>
  </si>
  <si>
    <t>Controls</t>
  </si>
  <si>
    <t>Albo ZIKV</t>
  </si>
  <si>
    <t>Aedes albopictus (Zika H)</t>
  </si>
  <si>
    <t>Aedes aegypti</t>
  </si>
  <si>
    <t>Eggs Laid</t>
  </si>
  <si>
    <t>Mosquito #</t>
  </si>
  <si>
    <t>Controls:</t>
  </si>
  <si>
    <t>Total</t>
  </si>
  <si>
    <t>Totals:</t>
  </si>
  <si>
    <t/>
  </si>
  <si>
    <t>Date of Death</t>
  </si>
  <si>
    <t>Albo Control</t>
  </si>
  <si>
    <t>Albopictus PCR Results</t>
  </si>
  <si>
    <t>Bodies</t>
  </si>
  <si>
    <t>Legs</t>
  </si>
  <si>
    <t>Sample Name</t>
  </si>
  <si>
    <t>Task</t>
  </si>
  <si>
    <t>Ct</t>
  </si>
  <si>
    <t>Qty</t>
  </si>
  <si>
    <t>Titer</t>
  </si>
  <si>
    <t>Positive</t>
  </si>
  <si>
    <t>Ct2</t>
  </si>
  <si>
    <t>Qty2</t>
  </si>
  <si>
    <t>Titer2</t>
  </si>
  <si>
    <t>Disseminated</t>
  </si>
  <si>
    <t>DPI Survival</t>
  </si>
  <si>
    <t>Cт</t>
  </si>
  <si>
    <t>Quantity</t>
  </si>
  <si>
    <t>Unknown</t>
  </si>
  <si>
    <t>UNKNOWN</t>
  </si>
  <si>
    <t>Undetermined</t>
  </si>
  <si>
    <t>STANDARD</t>
  </si>
  <si>
    <t>NTC</t>
  </si>
  <si>
    <t>2B</t>
  </si>
  <si>
    <t>2L</t>
  </si>
  <si>
    <t>16B</t>
  </si>
  <si>
    <t>16L</t>
  </si>
  <si>
    <t>Standard</t>
  </si>
  <si>
    <t>Not Run</t>
  </si>
  <si>
    <t>N/A</t>
  </si>
  <si>
    <t>DPI</t>
  </si>
  <si>
    <t>Validation Test</t>
  </si>
  <si>
    <t># Positive</t>
  </si>
  <si>
    <t>#Disseminated</t>
  </si>
  <si>
    <t>#Negative</t>
  </si>
  <si>
    <t>Infected</t>
  </si>
  <si>
    <t>Negative</t>
  </si>
  <si>
    <t>Albopictus Death Curve</t>
  </si>
  <si>
    <t>Aegypti PCR Results</t>
  </si>
  <si>
    <t>=DATEDIF($L$4,INDEX('Aegypti Blood'!$A$5:$K$124,MATCH([@[Sample Name]],'Aegypti Blood'!$A$5:$A$124,0),11),"D")</t>
  </si>
  <si>
    <t>Date of Death Formula</t>
  </si>
  <si>
    <t>Aegypti Death Curve</t>
  </si>
  <si>
    <t>=Died on that day</t>
  </si>
  <si>
    <t>Average</t>
  </si>
  <si>
    <t>Averages</t>
  </si>
  <si>
    <t>Average up to Day</t>
  </si>
  <si>
    <t>Death in Period</t>
  </si>
  <si>
    <t>Analysis Ideas</t>
  </si>
  <si>
    <t>Time to initial laying after blood meal</t>
  </si>
  <si>
    <t>time of duration of laying after blood meal</t>
  </si>
  <si>
    <t>Blood Feeding Days</t>
  </si>
  <si>
    <t>Exposed</t>
  </si>
  <si>
    <t>Mortality Lookup from Raw Data</t>
  </si>
  <si>
    <t>Check Sum</t>
  </si>
  <si>
    <t>DPF</t>
  </si>
  <si>
    <t>Daily Total</t>
  </si>
  <si>
    <t>Days Post Feeding Total</t>
  </si>
  <si>
    <t>Filters</t>
  </si>
  <si>
    <t>Infected AND NOT Disseminated</t>
  </si>
  <si>
    <t>Infected AND Disseminated</t>
  </si>
  <si>
    <t>Uninfected</t>
  </si>
  <si>
    <t>count</t>
  </si>
  <si>
    <t>Infected + Disseminated</t>
  </si>
  <si>
    <t>Death</t>
  </si>
  <si>
    <t>Survival</t>
  </si>
  <si>
    <t>Weekend</t>
  </si>
  <si>
    <t>%Death of Surviving</t>
  </si>
  <si>
    <t>%Death of Total</t>
  </si>
  <si>
    <t>Total (Exposed)</t>
  </si>
  <si>
    <t>Infected + NOT Disseminated</t>
  </si>
  <si>
    <t>#Mosq Laid Eggs</t>
  </si>
  <si>
    <t>Eggs/Mosq</t>
  </si>
  <si>
    <t>%Mosq Laid</t>
  </si>
  <si>
    <t>Parameter, #Eggs of individual mosquito normalized to that mosquitos maximum laying</t>
  </si>
  <si>
    <t>Max Laying</t>
  </si>
  <si>
    <t>Total Egg Output/Max Egg Laying</t>
  </si>
  <si>
    <t>Laid Once?</t>
  </si>
  <si>
    <t>#Mosq Laid Once</t>
  </si>
  <si>
    <t>Egg Laying Events</t>
  </si>
  <si>
    <t>Individual and Group Normalized Egg Laying</t>
  </si>
  <si>
    <t>#Fed</t>
  </si>
  <si>
    <t>Avg Score</t>
  </si>
  <si>
    <t>Total Exposed</t>
  </si>
  <si>
    <t>%Fed</t>
  </si>
  <si>
    <t>Avg Rel Score</t>
  </si>
  <si>
    <t>Max Feeding</t>
  </si>
  <si>
    <t>#Positive + NOT Disseminated</t>
  </si>
  <si>
    <t>(Normalized per Individual)</t>
  </si>
  <si>
    <t>Parameter, Days Post Feeding (Offering and Actual)</t>
  </si>
  <si>
    <t>Daily Average</t>
  </si>
  <si>
    <t>Overall Average =</t>
  </si>
  <si>
    <t>Excluding Zero Average</t>
  </si>
  <si>
    <t>Excluding 0</t>
  </si>
  <si>
    <t>Overall Average Excluding Zeros</t>
  </si>
  <si>
    <t>Overall Average=</t>
  </si>
  <si>
    <t>Grouped Averages</t>
  </si>
  <si>
    <t>Not Disseminated</t>
  </si>
  <si>
    <t># Samples</t>
  </si>
  <si>
    <t>Group Averages</t>
  </si>
  <si>
    <t>T.Test</t>
  </si>
  <si>
    <t>Variance</t>
  </si>
  <si>
    <t>Uninfected vs.</t>
  </si>
  <si>
    <t>Including Zeros?</t>
  </si>
  <si>
    <t># Feeding Events</t>
  </si>
  <si>
    <t>Fed</t>
  </si>
  <si>
    <t>Unfed</t>
  </si>
  <si>
    <t>% Fed</t>
  </si>
  <si>
    <t>Group Statistics</t>
  </si>
  <si>
    <t>Averages Excluding Zeros</t>
  </si>
  <si>
    <t>Average Excluding Zeros</t>
  </si>
  <si>
    <t>Feeding Events</t>
  </si>
  <si>
    <t>Avg Score&lt;&gt;0</t>
  </si>
  <si>
    <t>Body Titer</t>
  </si>
  <si>
    <t>Total Eggs</t>
  </si>
  <si>
    <t># Mosq Laid Eggs</t>
  </si>
  <si>
    <t>% Mosq Laid</t>
  </si>
  <si>
    <t>Avg Eggs/Mosq</t>
  </si>
  <si>
    <t>#Mosq Laid</t>
  </si>
  <si>
    <t>% Laid</t>
  </si>
  <si>
    <t>Avg Eggs Laid</t>
  </si>
  <si>
    <t>Group Egg Laying into Periods of 2-5 days post feeding</t>
  </si>
  <si>
    <t>Avg Rel Eggs Laid</t>
  </si>
  <si>
    <t>Max Eggs Laid</t>
  </si>
  <si>
    <t>Did Not Lay</t>
  </si>
  <si>
    <t>%Laid</t>
  </si>
  <si>
    <t>Max Eggs</t>
  </si>
  <si>
    <t>Totals</t>
  </si>
  <si>
    <t>Positive and NOT Disseminated</t>
  </si>
  <si>
    <t>Description of Differential</t>
  </si>
  <si>
    <t>Initial</t>
  </si>
  <si>
    <t>Infection ramping up</t>
  </si>
  <si>
    <t>1st Maxima</t>
  </si>
  <si>
    <t>Immune system overtaking virus</t>
  </si>
  <si>
    <t>Minima</t>
  </si>
  <si>
    <t>Virus overtakes immune system as mosquito ages</t>
  </si>
  <si>
    <t>2nd Maxima</t>
  </si>
  <si>
    <t>Body can no longer handle production of virus and begins death as RNAi continues fight against virus?</t>
  </si>
  <si>
    <t>Garbage</t>
  </si>
  <si>
    <t>No Correlation?</t>
  </si>
  <si>
    <t>Successfully fought Infection</t>
  </si>
  <si>
    <t>Aegypti Egg Verification</t>
  </si>
  <si>
    <t>Mosq #</t>
  </si>
  <si>
    <t>Count</t>
  </si>
  <si>
    <t>Sum</t>
  </si>
  <si>
    <t>Grand Totals:</t>
  </si>
  <si>
    <t>Events</t>
  </si>
  <si>
    <t>Eggs</t>
  </si>
  <si>
    <t>Verification</t>
  </si>
  <si>
    <t>Existing</t>
  </si>
  <si>
    <t>SUM &lt;&lt;&lt;</t>
  </si>
  <si>
    <t>SUM&lt;&lt;&lt;</t>
  </si>
  <si>
    <t>Missing from current table</t>
  </si>
  <si>
    <t>were moved</t>
  </si>
  <si>
    <t>Total (Mosq)</t>
  </si>
  <si>
    <t>Mosq Laid</t>
  </si>
  <si>
    <t>Verification (Ordered)</t>
  </si>
  <si>
    <t>grand Total</t>
  </si>
  <si>
    <t>Ordered Verification</t>
  </si>
  <si>
    <t>Ordered Existing</t>
  </si>
  <si>
    <t>Grand Total</t>
  </si>
  <si>
    <t>Diff</t>
  </si>
  <si>
    <t>Max Egg Laying</t>
  </si>
  <si>
    <t>Grand Totals</t>
  </si>
  <si>
    <t>ALL EGGS VERIFIED 7/13</t>
  </si>
  <si>
    <t>avg days after blood meal, eggs were laid</t>
  </si>
  <si>
    <t>Average Eggs</t>
  </si>
  <si>
    <t>x</t>
  </si>
  <si>
    <t>Numerate Egg Laying Opportunities</t>
  </si>
  <si>
    <t>In the beginning Infected + NOT Disseminated Mosquitos had the hardships of virus but as they became refractory performed even better than the control mosquiotos</t>
  </si>
  <si>
    <t>Mosquito</t>
  </si>
  <si>
    <t>Wing A</t>
  </si>
  <si>
    <t>Wing B</t>
  </si>
  <si>
    <t>Reliable A</t>
  </si>
  <si>
    <t>Reliable B</t>
  </si>
  <si>
    <t>Order</t>
  </si>
  <si>
    <t>Aegypti Control</t>
  </si>
  <si>
    <t>Aegypti Zika</t>
  </si>
  <si>
    <t>Remeasure</t>
  </si>
  <si>
    <t>-</t>
  </si>
  <si>
    <t>?</t>
  </si>
  <si>
    <t>29 maybe</t>
  </si>
  <si>
    <t>Albopictus Control</t>
  </si>
  <si>
    <t>Albopictus Zika</t>
  </si>
  <si>
    <t>missing 22</t>
  </si>
  <si>
    <t>missing 29</t>
  </si>
  <si>
    <t>Average Wing/mm</t>
  </si>
  <si>
    <t>Average Wing Length/mm</t>
  </si>
  <si>
    <t>All Exposed</t>
  </si>
  <si>
    <t># of Mosq</t>
  </si>
  <si>
    <t>DPI Death</t>
  </si>
  <si>
    <t>Albo_Z</t>
  </si>
  <si>
    <t>Albo_C</t>
  </si>
  <si>
    <t>For R Data Entry</t>
  </si>
  <si>
    <t>Aeg_Z</t>
  </si>
  <si>
    <t>Aeg_C</t>
  </si>
  <si>
    <t>Average Blood Scores</t>
  </si>
  <si>
    <t>Egg Layings Alive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</si>
</sst>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;@"/>
    <numFmt numFmtId="165" formatCode="0;0;"/>
    <numFmt numFmtId="166" formatCode="m/d"/>
    <numFmt numFmtId="167" formatCode="0.000"/>
  </numFmts>
  <fonts count="36" x14ac:knownFonts="1">
    <font>
      <sz val="11"/>
      <color theme="1"/>
      <name val="Calibri"/>
      <family val="2"/>
      <scheme val="minor"/>
    </font>
    <font>
      <b/>
      <sz val="27.5"/>
      <color rgb="FF4B180E"/>
      <name val="Calibri"/>
      <family val="2"/>
      <scheme val="minor"/>
    </font>
    <font>
      <sz val="12.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.2"/>
      <color theme="1"/>
      <name val="Calibri"/>
      <family val="2"/>
      <scheme val="minor"/>
    </font>
    <font>
      <b/>
      <sz val="19.8"/>
      <color rgb="FF7B271A"/>
      <name val="Calibri"/>
      <family val="2"/>
      <scheme val="minor"/>
    </font>
    <font>
      <b/>
      <sz val="17.600000000000001"/>
      <color rgb="FF7B271A"/>
      <name val="Calibri"/>
      <family val="2"/>
      <scheme val="minor"/>
    </font>
    <font>
      <sz val="9.9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.1"/>
      <color theme="1"/>
      <name val="Calibri"/>
      <family val="2"/>
      <scheme val="minor"/>
    </font>
    <font>
      <sz val="17.60000000000000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7B271A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26"/>
      <color rgb="FF4B180E"/>
      <name val="Calibri"/>
      <family val="2"/>
    </font>
    <font>
      <b/>
      <sz val="25"/>
      <color rgb="FF4B180E"/>
      <name val="Calibri"/>
      <family val="2"/>
    </font>
    <font>
      <sz val="10"/>
      <name val="Calibri"/>
      <family val="2"/>
    </font>
    <font>
      <b/>
      <sz val="18"/>
      <color rgb="FF7B271A"/>
      <name val="Calibri"/>
      <family val="2"/>
    </font>
    <font>
      <b/>
      <sz val="16"/>
      <color rgb="FF7B271A"/>
      <name val="Calibri"/>
      <family val="2"/>
    </font>
    <font>
      <b/>
      <sz val="10"/>
      <name val="Century Gothic"/>
      <family val="2"/>
    </font>
    <font>
      <sz val="9"/>
      <name val="Calibri"/>
      <family val="2"/>
    </font>
    <font>
      <sz val="9"/>
      <name val="Century Gothic"/>
      <family val="2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rgb="FF4B180E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2.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1F2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B180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2C7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1F2E8"/>
        <bgColor rgb="FFF1F2E8"/>
      </patternFill>
    </fill>
    <fill>
      <patternFill patternType="solid">
        <fgColor rgb="FFFFFFFF"/>
        <bgColor rgb="FFFFFFFF"/>
      </patternFill>
    </fill>
    <fill>
      <patternFill patternType="solid">
        <fgColor rgb="FF4B180E"/>
        <bgColor rgb="FF4B180E"/>
      </patternFill>
    </fill>
    <fill>
      <patternFill patternType="solid">
        <fgColor rgb="FF92D050"/>
        <bgColor rgb="FFA53423"/>
      </patternFill>
    </fill>
    <fill>
      <patternFill patternType="lightUp"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1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 style="thin">
        <color rgb="FF000000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slantDashDot">
        <color rgb="FFC00000"/>
      </right>
      <top style="medium">
        <color indexed="64"/>
      </top>
      <bottom/>
      <diagonal/>
    </border>
    <border>
      <left style="thin">
        <color indexed="64"/>
      </left>
      <right style="slantDashDot">
        <color rgb="FFC00000"/>
      </right>
      <top/>
      <bottom/>
      <diagonal/>
    </border>
    <border>
      <left style="thin">
        <color indexed="64"/>
      </left>
      <right style="slantDashDot">
        <color rgb="FFC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slantDashDot">
        <color rgb="FFC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rgb="FFC00000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slantDashDot">
        <color rgb="FFC00000"/>
      </right>
      <top style="medium">
        <color auto="1"/>
      </top>
      <bottom/>
      <diagonal/>
    </border>
    <border>
      <left/>
      <right style="slantDashDot">
        <color rgb="FFC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slantDashDot">
        <color rgb="FFFF0000"/>
      </right>
      <top style="medium">
        <color auto="1"/>
      </top>
      <bottom/>
      <diagonal/>
    </border>
    <border>
      <left/>
      <right style="slantDashDot">
        <color rgb="FFFF0000"/>
      </right>
      <top/>
      <bottom/>
      <diagonal/>
    </border>
    <border>
      <left/>
      <right style="slantDashDot">
        <color rgb="FFFF0000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double">
        <color indexed="64"/>
      </bottom>
      <diagonal/>
    </border>
  </borders>
  <cellStyleXfs count="1">
    <xf numFmtId="0" fontId="0" fillId="0" borderId="0"/>
  </cellStyleXfs>
  <cellXfs count="4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right" vertical="center"/>
    </xf>
    <xf numFmtId="16" fontId="7" fillId="3" borderId="1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8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wrapText="1"/>
    </xf>
    <xf numFmtId="16" fontId="7" fillId="3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5" fillId="2" borderId="0" xfId="0" applyFont="1" applyFill="1" applyAlignment="1">
      <alignment vertical="center"/>
    </xf>
    <xf numFmtId="0" fontId="2" fillId="5" borderId="5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11" fillId="2" borderId="0" xfId="0" applyFont="1" applyFill="1" applyAlignment="1">
      <alignment wrapText="1"/>
    </xf>
    <xf numFmtId="16" fontId="7" fillId="3" borderId="8" xfId="0" applyNumberFormat="1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8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8" fillId="7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2" fillId="7" borderId="8" xfId="0" applyFont="1" applyFill="1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left" wrapText="1"/>
    </xf>
    <xf numFmtId="0" fontId="8" fillId="6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8" borderId="8" xfId="0" applyFont="1" applyFill="1" applyBorder="1" applyAlignment="1">
      <alignment wrapText="1"/>
    </xf>
    <xf numFmtId="0" fontId="2" fillId="9" borderId="0" xfId="0" applyFont="1" applyFill="1" applyAlignment="1">
      <alignment wrapText="1"/>
    </xf>
    <xf numFmtId="0" fontId="2" fillId="9" borderId="8" xfId="0" applyFont="1" applyFill="1" applyBorder="1" applyAlignment="1">
      <alignment wrapText="1"/>
    </xf>
    <xf numFmtId="0" fontId="5" fillId="2" borderId="0" xfId="0" applyFont="1" applyFill="1" applyAlignment="1">
      <alignment horizontal="right" vertical="center"/>
    </xf>
    <xf numFmtId="16" fontId="0" fillId="0" borderId="9" xfId="0" applyNumberFormat="1" applyBorder="1"/>
    <xf numFmtId="0" fontId="0" fillId="0" borderId="4" xfId="0" applyBorder="1"/>
    <xf numFmtId="0" fontId="0" fillId="0" borderId="0" xfId="0" applyBorder="1"/>
    <xf numFmtId="0" fontId="12" fillId="0" borderId="3" xfId="0" applyFont="1" applyBorder="1"/>
    <xf numFmtId="0" fontId="0" fillId="0" borderId="9" xfId="0" applyBorder="1"/>
    <xf numFmtId="0" fontId="8" fillId="0" borderId="9" xfId="0" applyFont="1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9" borderId="10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0" fillId="0" borderId="12" xfId="0" applyBorder="1"/>
    <xf numFmtId="0" fontId="2" fillId="6" borderId="0" xfId="0" applyFont="1" applyFill="1" applyBorder="1" applyAlignment="1">
      <alignment wrapText="1"/>
    </xf>
    <xf numFmtId="0" fontId="12" fillId="0" borderId="0" xfId="0" applyFont="1" applyFill="1" applyBorder="1"/>
    <xf numFmtId="0" fontId="0" fillId="0" borderId="0" xfId="0" applyFill="1"/>
    <xf numFmtId="164" fontId="2" fillId="5" borderId="2" xfId="0" quotePrefix="1" applyNumberFormat="1" applyFont="1" applyFill="1" applyBorder="1" applyAlignment="1">
      <alignment wrapText="1"/>
    </xf>
    <xf numFmtId="164" fontId="2" fillId="5" borderId="2" xfId="0" applyNumberFormat="1" applyFont="1" applyFill="1" applyBorder="1" applyAlignment="1">
      <alignment wrapText="1"/>
    </xf>
    <xf numFmtId="164" fontId="2" fillId="6" borderId="2" xfId="0" applyNumberFormat="1" applyFont="1" applyFill="1" applyBorder="1" applyAlignment="1">
      <alignment wrapText="1"/>
    </xf>
    <xf numFmtId="164" fontId="0" fillId="0" borderId="0" xfId="0" applyNumberFormat="1"/>
    <xf numFmtId="0" fontId="2" fillId="8" borderId="2" xfId="0" applyFont="1" applyFill="1" applyBorder="1" applyAlignment="1">
      <alignment wrapText="1"/>
    </xf>
    <xf numFmtId="16" fontId="15" fillId="3" borderId="2" xfId="0" applyNumberFormat="1" applyFont="1" applyFill="1" applyBorder="1" applyAlignment="1">
      <alignment horizontal="center"/>
    </xf>
    <xf numFmtId="16" fontId="15" fillId="3" borderId="1" xfId="0" applyNumberFormat="1" applyFont="1" applyFill="1" applyBorder="1" applyAlignment="1">
      <alignment horizontal="center"/>
    </xf>
    <xf numFmtId="0" fontId="15" fillId="0" borderId="0" xfId="0" applyFont="1"/>
    <xf numFmtId="0" fontId="16" fillId="10" borderId="15" xfId="0" applyFont="1" applyFill="1" applyBorder="1"/>
    <xf numFmtId="165" fontId="16" fillId="10" borderId="0" xfId="0" applyNumberFormat="1" applyFont="1" applyFill="1" applyBorder="1"/>
    <xf numFmtId="0" fontId="16" fillId="11" borderId="15" xfId="0" applyFont="1" applyFill="1" applyBorder="1"/>
    <xf numFmtId="165" fontId="16" fillId="11" borderId="0" xfId="0" applyNumberFormat="1" applyFont="1" applyFill="1" applyBorder="1"/>
    <xf numFmtId="49" fontId="16" fillId="10" borderId="0" xfId="0" applyNumberFormat="1" applyFont="1" applyFill="1" applyBorder="1"/>
    <xf numFmtId="49" fontId="16" fillId="11" borderId="0" xfId="0" applyNumberFormat="1" applyFont="1" applyFill="1" applyBorder="1"/>
    <xf numFmtId="49" fontId="17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0" fillId="0" borderId="0" xfId="0" applyFont="1" applyAlignment="1"/>
    <xf numFmtId="0" fontId="0" fillId="0" borderId="0" xfId="0" applyFont="1"/>
    <xf numFmtId="0" fontId="19" fillId="0" borderId="0" xfId="0" applyFont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6" fontId="23" fillId="13" borderId="14" xfId="0" applyNumberFormat="1" applyFont="1" applyFill="1" applyBorder="1" applyAlignment="1">
      <alignment horizontal="center"/>
    </xf>
    <xf numFmtId="166" fontId="23" fillId="13" borderId="16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65" fontId="16" fillId="0" borderId="0" xfId="0" applyNumberFormat="1" applyFont="1"/>
    <xf numFmtId="49" fontId="16" fillId="0" borderId="0" xfId="0" applyNumberFormat="1" applyFont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14" borderId="0" xfId="0" applyFont="1" applyFill="1" applyBorder="1" applyAlignment="1">
      <alignment horizontal="center" vertical="center"/>
    </xf>
    <xf numFmtId="0" fontId="0" fillId="14" borderId="1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/>
    <xf numFmtId="0" fontId="0" fillId="11" borderId="0" xfId="0" applyFont="1" applyFill="1" applyBorder="1" applyAlignment="1"/>
    <xf numFmtId="1" fontId="0" fillId="14" borderId="0" xfId="0" applyNumberFormat="1" applyFont="1" applyFill="1" applyBorder="1" applyAlignment="1">
      <alignment horizontal="left" vertical="center"/>
    </xf>
    <xf numFmtId="1" fontId="0" fillId="10" borderId="0" xfId="0" applyNumberFormat="1" applyFont="1" applyFill="1" applyBorder="1" applyAlignment="1">
      <alignment horizontal="left" vertical="center" wrapText="1"/>
    </xf>
    <xf numFmtId="0" fontId="16" fillId="10" borderId="0" xfId="0" applyFont="1" applyFill="1" applyBorder="1"/>
    <xf numFmtId="0" fontId="16" fillId="15" borderId="15" xfId="0" applyFont="1" applyFill="1" applyBorder="1"/>
    <xf numFmtId="1" fontId="0" fillId="11" borderId="0" xfId="0" applyNumberFormat="1" applyFont="1" applyFill="1" applyBorder="1" applyAlignment="1">
      <alignment horizontal="left" vertical="center" wrapText="1"/>
    </xf>
    <xf numFmtId="0" fontId="16" fillId="11" borderId="0" xfId="0" applyFont="1" applyFill="1" applyBorder="1"/>
    <xf numFmtId="0" fontId="8" fillId="5" borderId="19" xfId="0" applyFont="1" applyFill="1" applyBorder="1" applyAlignment="1">
      <alignment vertical="center" wrapText="1"/>
    </xf>
    <xf numFmtId="0" fontId="0" fillId="0" borderId="18" xfId="0" applyBorder="1"/>
    <xf numFmtId="0" fontId="2" fillId="5" borderId="20" xfId="0" applyFont="1" applyFill="1" applyBorder="1" applyAlignment="1">
      <alignment wrapText="1"/>
    </xf>
    <xf numFmtId="0" fontId="2" fillId="5" borderId="21" xfId="0" applyFont="1" applyFill="1" applyBorder="1" applyAlignment="1">
      <alignment wrapText="1"/>
    </xf>
    <xf numFmtId="0" fontId="0" fillId="0" borderId="21" xfId="0" applyBorder="1"/>
    <xf numFmtId="0" fontId="0" fillId="0" borderId="19" xfId="0" applyBorder="1"/>
    <xf numFmtId="0" fontId="10" fillId="5" borderId="1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26" fillId="0" borderId="0" xfId="0" applyFont="1" applyAlignment="1">
      <alignment horizontal="center"/>
    </xf>
    <xf numFmtId="0" fontId="0" fillId="0" borderId="0" xfId="0" applyNumberFormat="1"/>
    <xf numFmtId="0" fontId="25" fillId="17" borderId="22" xfId="0" applyFont="1" applyFill="1" applyBorder="1"/>
    <xf numFmtId="11" fontId="0" fillId="0" borderId="0" xfId="0" applyNumberFormat="1"/>
    <xf numFmtId="0" fontId="0" fillId="18" borderId="22" xfId="0" applyFont="1" applyFill="1" applyBorder="1"/>
    <xf numFmtId="0" fontId="27" fillId="18" borderId="22" xfId="0" applyFont="1" applyFill="1" applyBorder="1"/>
    <xf numFmtId="0" fontId="0" fillId="0" borderId="22" xfId="0" applyFont="1" applyBorder="1"/>
    <xf numFmtId="0" fontId="27" fillId="0" borderId="22" xfId="0" applyFont="1" applyBorder="1"/>
    <xf numFmtId="0" fontId="0" fillId="8" borderId="0" xfId="0" applyFill="1"/>
    <xf numFmtId="0" fontId="0" fillId="8" borderId="0" xfId="0" applyNumberFormat="1" applyFill="1"/>
    <xf numFmtId="11" fontId="0" fillId="8" borderId="0" xfId="0" applyNumberFormat="1" applyFill="1"/>
    <xf numFmtId="0" fontId="0" fillId="18" borderId="23" xfId="0" applyNumberFormat="1" applyFont="1" applyFill="1" applyBorder="1"/>
    <xf numFmtId="0" fontId="8" fillId="19" borderId="2" xfId="0" applyFont="1" applyFill="1" applyBorder="1" applyAlignment="1">
      <alignment horizontal="center" vertical="center"/>
    </xf>
    <xf numFmtId="0" fontId="8" fillId="19" borderId="0" xfId="0" applyFont="1" applyFill="1" applyAlignment="1">
      <alignment horizontal="left" vertical="center"/>
    </xf>
    <xf numFmtId="16" fontId="0" fillId="0" borderId="0" xfId="0" applyNumberFormat="1"/>
    <xf numFmtId="0" fontId="2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center"/>
    </xf>
    <xf numFmtId="0" fontId="0" fillId="0" borderId="25" xfId="0" applyBorder="1"/>
    <xf numFmtId="0" fontId="0" fillId="0" borderId="3" xfId="0" applyBorder="1"/>
    <xf numFmtId="0" fontId="0" fillId="0" borderId="26" xfId="0" applyBorder="1"/>
    <xf numFmtId="0" fontId="5" fillId="2" borderId="27" xfId="0" applyFont="1" applyFill="1" applyBorder="1" applyAlignment="1">
      <alignment vertical="center"/>
    </xf>
    <xf numFmtId="16" fontId="7" fillId="3" borderId="24" xfId="0" applyNumberFormat="1" applyFont="1" applyFill="1" applyBorder="1" applyAlignment="1">
      <alignment horizontal="center"/>
    </xf>
    <xf numFmtId="0" fontId="2" fillId="16" borderId="0" xfId="0" applyFont="1" applyFill="1" applyBorder="1" applyAlignment="1">
      <alignment wrapText="1"/>
    </xf>
    <xf numFmtId="0" fontId="30" fillId="0" borderId="0" xfId="0" applyFont="1" applyAlignment="1">
      <alignment vertical="top"/>
    </xf>
    <xf numFmtId="0" fontId="0" fillId="0" borderId="2" xfId="0" applyBorder="1"/>
    <xf numFmtId="0" fontId="0" fillId="0" borderId="24" xfId="0" applyBorder="1"/>
    <xf numFmtId="0" fontId="2" fillId="0" borderId="0" xfId="0" quotePrefix="1" applyFont="1" applyAlignment="1">
      <alignment horizontal="center" wrapText="1"/>
    </xf>
    <xf numFmtId="0" fontId="2" fillId="5" borderId="24" xfId="0" applyFont="1" applyFill="1" applyBorder="1" applyAlignment="1">
      <alignment horizontal="center" vertical="center" wrapText="1"/>
    </xf>
    <xf numFmtId="0" fontId="0" fillId="0" borderId="11" xfId="0" applyBorder="1"/>
    <xf numFmtId="0" fontId="10" fillId="0" borderId="1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164" fontId="2" fillId="0" borderId="12" xfId="0" quotePrefix="1" applyNumberFormat="1" applyFont="1" applyFill="1" applyBorder="1" applyAlignment="1">
      <alignment wrapText="1"/>
    </xf>
    <xf numFmtId="164" fontId="2" fillId="5" borderId="11" xfId="0" quotePrefix="1" applyNumberFormat="1" applyFont="1" applyFill="1" applyBorder="1" applyAlignment="1">
      <alignment wrapText="1"/>
    </xf>
    <xf numFmtId="0" fontId="8" fillId="6" borderId="25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6" borderId="26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16" fontId="6" fillId="2" borderId="0" xfId="0" applyNumberFormat="1" applyFont="1" applyFill="1" applyAlignment="1">
      <alignment horizontal="center" vertical="center"/>
    </xf>
    <xf numFmtId="0" fontId="12" fillId="0" borderId="0" xfId="0" applyFont="1" applyBorder="1"/>
    <xf numFmtId="16" fontId="0" fillId="0" borderId="0" xfId="0" applyNumberFormat="1" applyBorder="1"/>
    <xf numFmtId="0" fontId="12" fillId="0" borderId="9" xfId="0" applyFont="1" applyBorder="1"/>
    <xf numFmtId="0" fontId="0" fillId="0" borderId="25" xfId="0" applyFill="1" applyBorder="1"/>
    <xf numFmtId="0" fontId="0" fillId="0" borderId="0" xfId="0" applyFill="1" applyBorder="1"/>
    <xf numFmtId="0" fontId="0" fillId="0" borderId="26" xfId="0" applyFill="1" applyBorder="1"/>
    <xf numFmtId="16" fontId="7" fillId="20" borderId="2" xfId="0" applyNumberFormat="1" applyFont="1" applyFill="1" applyBorder="1" applyAlignment="1">
      <alignment horizontal="center"/>
    </xf>
    <xf numFmtId="16" fontId="0" fillId="20" borderId="9" xfId="0" applyNumberFormat="1" applyFill="1" applyBorder="1"/>
    <xf numFmtId="16" fontId="0" fillId="20" borderId="0" xfId="0" applyNumberFormat="1" applyFill="1"/>
    <xf numFmtId="0" fontId="8" fillId="5" borderId="3" xfId="0" applyFont="1" applyFill="1" applyBorder="1" applyAlignment="1">
      <alignment vertical="center" wrapText="1"/>
    </xf>
    <xf numFmtId="0" fontId="2" fillId="21" borderId="6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32" xfId="0" applyFont="1" applyBorder="1"/>
    <xf numFmtId="0" fontId="0" fillId="0" borderId="22" xfId="0" applyNumberFormat="1" applyFont="1" applyBorder="1"/>
    <xf numFmtId="0" fontId="0" fillId="0" borderId="23" xfId="0" applyNumberFormat="1" applyFont="1" applyBorder="1"/>
    <xf numFmtId="0" fontId="0" fillId="18" borderId="32" xfId="0" applyFont="1" applyFill="1" applyBorder="1"/>
    <xf numFmtId="11" fontId="0" fillId="18" borderId="22" xfId="0" applyNumberFormat="1" applyFont="1" applyFill="1" applyBorder="1"/>
    <xf numFmtId="0" fontId="0" fillId="18" borderId="22" xfId="0" applyNumberFormat="1" applyFont="1" applyFill="1" applyBorder="1"/>
    <xf numFmtId="11" fontId="0" fillId="0" borderId="22" xfId="0" applyNumberFormat="1" applyFont="1" applyBorder="1"/>
    <xf numFmtId="0" fontId="25" fillId="17" borderId="32" xfId="0" applyFont="1" applyFill="1" applyBorder="1"/>
    <xf numFmtId="0" fontId="25" fillId="17" borderId="22" xfId="0" applyNumberFormat="1" applyFont="1" applyFill="1" applyBorder="1"/>
    <xf numFmtId="0" fontId="25" fillId="17" borderId="23" xfId="0" applyNumberFormat="1" applyFont="1" applyFill="1" applyBorder="1"/>
    <xf numFmtId="0" fontId="0" fillId="8" borderId="32" xfId="0" applyFont="1" applyFill="1" applyBorder="1"/>
    <xf numFmtId="0" fontId="0" fillId="8" borderId="22" xfId="0" applyFont="1" applyFill="1" applyBorder="1"/>
    <xf numFmtId="11" fontId="0" fillId="8" borderId="22" xfId="0" applyNumberFormat="1" applyFont="1" applyFill="1" applyBorder="1"/>
    <xf numFmtId="0" fontId="0" fillId="8" borderId="22" xfId="0" applyNumberFormat="1" applyFont="1" applyFill="1" applyBorder="1"/>
    <xf numFmtId="0" fontId="25" fillId="17" borderId="33" xfId="0" applyFont="1" applyFill="1" applyBorder="1"/>
    <xf numFmtId="0" fontId="25" fillId="17" borderId="34" xfId="0" applyFont="1" applyFill="1" applyBorder="1"/>
    <xf numFmtId="0" fontId="25" fillId="17" borderId="34" xfId="0" applyNumberFormat="1" applyFont="1" applyFill="1" applyBorder="1"/>
    <xf numFmtId="0" fontId="25" fillId="17" borderId="35" xfId="0" applyNumberFormat="1" applyFont="1" applyFill="1" applyBorder="1"/>
    <xf numFmtId="2" fontId="2" fillId="0" borderId="0" xfId="0" applyNumberFormat="1" applyFont="1" applyFill="1" applyBorder="1" applyAlignment="1">
      <alignment wrapText="1"/>
    </xf>
    <xf numFmtId="0" fontId="2" fillId="0" borderId="0" xfId="0" quotePrefix="1" applyNumberFormat="1" applyFont="1" applyFill="1" applyBorder="1" applyAlignment="1">
      <alignment wrapText="1"/>
    </xf>
    <xf numFmtId="0" fontId="0" fillId="0" borderId="0" xfId="0" applyNumberFormat="1" applyBorder="1"/>
    <xf numFmtId="0" fontId="2" fillId="5" borderId="2" xfId="0" applyNumberFormat="1" applyFont="1" applyFill="1" applyBorder="1" applyAlignment="1">
      <alignment wrapText="1"/>
    </xf>
    <xf numFmtId="0" fontId="2" fillId="5" borderId="1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5" fillId="17" borderId="35" xfId="0" applyFont="1" applyFill="1" applyBorder="1"/>
    <xf numFmtId="0" fontId="2" fillId="5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0" fillId="0" borderId="24" xfId="0" applyBorder="1" applyAlignment="1">
      <alignment horizontal="center" vertical="center" wrapText="1"/>
    </xf>
    <xf numFmtId="16" fontId="7" fillId="22" borderId="2" xfId="0" applyNumberFormat="1" applyFont="1" applyFill="1" applyBorder="1" applyAlignment="1">
      <alignment horizontal="center"/>
    </xf>
    <xf numFmtId="0" fontId="0" fillId="0" borderId="24" xfId="0" applyFill="1" applyBorder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41" xfId="0" applyBorder="1" applyAlignment="1">
      <alignment horizontal="center" vertical="center" wrapText="1"/>
    </xf>
    <xf numFmtId="0" fontId="0" fillId="0" borderId="41" xfId="0" applyBorder="1"/>
    <xf numFmtId="0" fontId="0" fillId="0" borderId="41" xfId="0" applyFill="1" applyBorder="1"/>
    <xf numFmtId="0" fontId="0" fillId="0" borderId="37" xfId="0" applyFill="1" applyBorder="1"/>
    <xf numFmtId="0" fontId="8" fillId="5" borderId="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center"/>
    </xf>
    <xf numFmtId="0" fontId="12" fillId="0" borderId="45" xfId="0" applyFont="1" applyBorder="1"/>
    <xf numFmtId="0" fontId="12" fillId="0" borderId="12" xfId="0" applyFont="1" applyBorder="1"/>
    <xf numFmtId="0" fontId="0" fillId="0" borderId="12" xfId="0" applyFill="1" applyBorder="1"/>
    <xf numFmtId="0" fontId="12" fillId="0" borderId="25" xfId="0" applyFont="1" applyBorder="1"/>
    <xf numFmtId="0" fontId="12" fillId="0" borderId="3" xfId="0" applyFont="1" applyFill="1" applyBorder="1"/>
    <xf numFmtId="0" fontId="12" fillId="0" borderId="26" xfId="0" applyFont="1" applyBorder="1"/>
    <xf numFmtId="0" fontId="0" fillId="0" borderId="46" xfId="0" applyBorder="1"/>
    <xf numFmtId="0" fontId="12" fillId="0" borderId="46" xfId="0" applyFont="1" applyBorder="1"/>
    <xf numFmtId="0" fontId="0" fillId="0" borderId="47" xfId="0" applyBorder="1"/>
    <xf numFmtId="0" fontId="0" fillId="0" borderId="48" xfId="0" applyBorder="1"/>
    <xf numFmtId="0" fontId="0" fillId="18" borderId="49" xfId="0" applyFont="1" applyFill="1" applyBorder="1"/>
    <xf numFmtId="0" fontId="0" fillId="18" borderId="50" xfId="0" applyFont="1" applyFill="1" applyBorder="1"/>
    <xf numFmtId="0" fontId="0" fillId="0" borderId="2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Fill="1" applyBorder="1"/>
    <xf numFmtId="0" fontId="0" fillId="0" borderId="31" xfId="0" applyBorder="1"/>
    <xf numFmtId="0" fontId="0" fillId="0" borderId="55" xfId="0" applyBorder="1"/>
    <xf numFmtId="0" fontId="0" fillId="0" borderId="56" xfId="0" applyFill="1" applyBorder="1"/>
    <xf numFmtId="0" fontId="0" fillId="0" borderId="57" xfId="0" applyBorder="1"/>
    <xf numFmtId="0" fontId="0" fillId="0" borderId="58" xfId="0" applyBorder="1"/>
    <xf numFmtId="0" fontId="2" fillId="0" borderId="0" xfId="0" applyFont="1" applyAlignment="1">
      <alignment horizontal="center" wrapText="1"/>
    </xf>
    <xf numFmtId="0" fontId="0" fillId="0" borderId="60" xfId="0" applyBorder="1"/>
    <xf numFmtId="0" fontId="0" fillId="0" borderId="61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9" xfId="0" applyBorder="1"/>
    <xf numFmtId="0" fontId="7" fillId="3" borderId="9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16" fontId="7" fillId="3" borderId="31" xfId="0" applyNumberFormat="1" applyFont="1" applyFill="1" applyBorder="1" applyAlignment="1">
      <alignment horizontal="center"/>
    </xf>
    <xf numFmtId="0" fontId="0" fillId="0" borderId="70" xfId="0" applyBorder="1"/>
    <xf numFmtId="0" fontId="0" fillId="0" borderId="5" xfId="0" applyBorder="1"/>
    <xf numFmtId="0" fontId="0" fillId="0" borderId="70" xfId="0" applyBorder="1" applyAlignment="1">
      <alignment horizontal="center" vertical="center" wrapText="1"/>
    </xf>
    <xf numFmtId="16" fontId="0" fillId="20" borderId="0" xfId="0" applyNumberFormat="1" applyFill="1" applyBorder="1"/>
    <xf numFmtId="16" fontId="7" fillId="3" borderId="27" xfId="0" applyNumberFormat="1" applyFont="1" applyFill="1" applyBorder="1" applyAlignment="1">
      <alignment horizontal="center"/>
    </xf>
    <xf numFmtId="16" fontId="7" fillId="3" borderId="25" xfId="0" applyNumberFormat="1" applyFont="1" applyFill="1" applyBorder="1" applyAlignment="1">
      <alignment horizontal="center"/>
    </xf>
    <xf numFmtId="0" fontId="12" fillId="0" borderId="71" xfId="0" applyFont="1" applyBorder="1"/>
    <xf numFmtId="0" fontId="12" fillId="0" borderId="48" xfId="0" applyFont="1" applyFill="1" applyBorder="1"/>
    <xf numFmtId="0" fontId="0" fillId="0" borderId="72" xfId="0" applyBorder="1"/>
    <xf numFmtId="0" fontId="0" fillId="0" borderId="30" xfId="0" applyBorder="1"/>
    <xf numFmtId="0" fontId="2" fillId="5" borderId="11" xfId="0" applyFont="1" applyFill="1" applyBorder="1" applyAlignment="1">
      <alignment wrapText="1"/>
    </xf>
    <xf numFmtId="164" fontId="2" fillId="5" borderId="11" xfId="0" applyNumberFormat="1" applyFont="1" applyFill="1" applyBorder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10" fillId="5" borderId="42" xfId="0" applyFont="1" applyFill="1" applyBorder="1" applyAlignment="1">
      <alignment wrapText="1"/>
    </xf>
    <xf numFmtId="0" fontId="2" fillId="5" borderId="73" xfId="0" applyFont="1" applyFill="1" applyBorder="1" applyAlignment="1">
      <alignment wrapText="1"/>
    </xf>
    <xf numFmtId="164" fontId="2" fillId="5" borderId="73" xfId="0" applyNumberFormat="1" applyFont="1" applyFill="1" applyBorder="1" applyAlignment="1">
      <alignment wrapText="1"/>
    </xf>
    <xf numFmtId="0" fontId="2" fillId="5" borderId="74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75" xfId="0" applyFont="1" applyFill="1" applyBorder="1" applyAlignment="1">
      <alignment wrapText="1"/>
    </xf>
    <xf numFmtId="0" fontId="10" fillId="5" borderId="43" xfId="0" applyFont="1" applyFill="1" applyBorder="1" applyAlignment="1">
      <alignment wrapText="1"/>
    </xf>
    <xf numFmtId="0" fontId="10" fillId="5" borderId="43" xfId="0" applyFont="1" applyFill="1" applyBorder="1" applyAlignment="1">
      <alignment horizontal="center" vertical="center" wrapText="1"/>
    </xf>
    <xf numFmtId="0" fontId="2" fillId="5" borderId="75" xfId="0" applyFont="1" applyFill="1" applyBorder="1" applyAlignment="1">
      <alignment wrapText="1"/>
    </xf>
    <xf numFmtId="0" fontId="10" fillId="6" borderId="44" xfId="0" applyFont="1" applyFill="1" applyBorder="1" applyAlignment="1">
      <alignment horizontal="center" vertical="center" wrapText="1"/>
    </xf>
    <xf numFmtId="0" fontId="2" fillId="6" borderId="76" xfId="0" applyFont="1" applyFill="1" applyBorder="1" applyAlignment="1">
      <alignment wrapText="1"/>
    </xf>
    <xf numFmtId="0" fontId="2" fillId="6" borderId="79" xfId="0" applyFont="1" applyFill="1" applyBorder="1" applyAlignment="1">
      <alignment wrapText="1"/>
    </xf>
    <xf numFmtId="0" fontId="10" fillId="6" borderId="80" xfId="0" applyFont="1" applyFill="1" applyBorder="1" applyAlignment="1">
      <alignment wrapText="1"/>
    </xf>
    <xf numFmtId="0" fontId="2" fillId="6" borderId="81" xfId="0" applyFont="1" applyFill="1" applyBorder="1" applyAlignment="1">
      <alignment wrapText="1"/>
    </xf>
    <xf numFmtId="0" fontId="5" fillId="2" borderId="59" xfId="0" applyFont="1" applyFill="1" applyBorder="1" applyAlignment="1">
      <alignment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14" fillId="2" borderId="62" xfId="0" applyFont="1" applyFill="1" applyBorder="1" applyAlignment="1">
      <alignment vertical="center"/>
    </xf>
    <xf numFmtId="0" fontId="8" fillId="4" borderId="62" xfId="0" applyFont="1" applyFill="1" applyBorder="1" applyAlignment="1">
      <alignment horizontal="left" vertical="center"/>
    </xf>
    <xf numFmtId="0" fontId="10" fillId="6" borderId="43" xfId="0" applyFont="1" applyFill="1" applyBorder="1" applyAlignment="1">
      <alignment horizontal="center" vertical="center" wrapText="1"/>
    </xf>
    <xf numFmtId="0" fontId="2" fillId="5" borderId="7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6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16" fontId="15" fillId="3" borderId="60" xfId="0" applyNumberFormat="1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3" fillId="0" borderId="0" xfId="0" applyFont="1" applyFill="1" applyBorder="1" applyAlignment="1">
      <alignment wrapText="1"/>
    </xf>
    <xf numFmtId="0" fontId="0" fillId="0" borderId="27" xfId="0" applyBorder="1"/>
    <xf numFmtId="0" fontId="0" fillId="0" borderId="63" xfId="0" applyBorder="1" applyAlignment="1">
      <alignment horizontal="center" vertical="center" wrapText="1"/>
    </xf>
    <xf numFmtId="0" fontId="0" fillId="0" borderId="3" xfId="0" applyFill="1" applyBorder="1"/>
    <xf numFmtId="0" fontId="0" fillId="0" borderId="59" xfId="0" applyBorder="1"/>
    <xf numFmtId="0" fontId="0" fillId="0" borderId="62" xfId="0" applyBorder="1"/>
    <xf numFmtId="0" fontId="0" fillId="0" borderId="82" xfId="0" applyBorder="1"/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83" xfId="0" applyBorder="1"/>
    <xf numFmtId="0" fontId="0" fillId="0" borderId="84" xfId="0" applyBorder="1"/>
    <xf numFmtId="0" fontId="10" fillId="6" borderId="3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10" fillId="8" borderId="43" xfId="0" applyFont="1" applyFill="1" applyBorder="1" applyAlignment="1">
      <alignment wrapText="1"/>
    </xf>
    <xf numFmtId="0" fontId="0" fillId="18" borderId="23" xfId="0" applyFont="1" applyFill="1" applyBorder="1"/>
    <xf numFmtId="0" fontId="0" fillId="0" borderId="23" xfId="0" applyFont="1" applyBorder="1"/>
    <xf numFmtId="0" fontId="0" fillId="18" borderId="85" xfId="0" applyFont="1" applyFill="1" applyBorder="1"/>
    <xf numFmtId="0" fontId="25" fillId="17" borderId="23" xfId="0" applyFont="1" applyFill="1" applyBorder="1"/>
    <xf numFmtId="0" fontId="12" fillId="0" borderId="60" xfId="0" applyFont="1" applyBorder="1"/>
    <xf numFmtId="0" fontId="12" fillId="0" borderId="61" xfId="0" applyFont="1" applyBorder="1"/>
    <xf numFmtId="0" fontId="12" fillId="0" borderId="63" xfId="0" applyFont="1" applyBorder="1"/>
    <xf numFmtId="0" fontId="12" fillId="0" borderId="64" xfId="0" applyFont="1" applyBorder="1"/>
    <xf numFmtId="0" fontId="12" fillId="0" borderId="65" xfId="0" applyFont="1" applyBorder="1"/>
    <xf numFmtId="0" fontId="12" fillId="0" borderId="59" xfId="0" applyFont="1" applyBorder="1"/>
    <xf numFmtId="0" fontId="12" fillId="0" borderId="62" xfId="0" applyFont="1" applyBorder="1"/>
    <xf numFmtId="0" fontId="0" fillId="0" borderId="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8" borderId="0" xfId="0" applyFill="1" applyBorder="1"/>
    <xf numFmtId="0" fontId="0" fillId="8" borderId="25" xfId="0" applyFill="1" applyBorder="1"/>
    <xf numFmtId="0" fontId="0" fillId="8" borderId="18" xfId="0" applyFill="1" applyBorder="1"/>
    <xf numFmtId="0" fontId="0" fillId="8" borderId="3" xfId="0" applyFill="1" applyBorder="1"/>
    <xf numFmtId="0" fontId="12" fillId="0" borderId="70" xfId="0" applyFont="1" applyBorder="1"/>
    <xf numFmtId="0" fontId="12" fillId="0" borderId="2" xfId="0" applyFont="1" applyBorder="1"/>
    <xf numFmtId="0" fontId="12" fillId="0" borderId="5" xfId="0" applyFont="1" applyBorder="1"/>
    <xf numFmtId="0" fontId="12" fillId="0" borderId="69" xfId="0" applyFont="1" applyBorder="1"/>
    <xf numFmtId="0" fontId="12" fillId="0" borderId="70" xfId="0" applyFont="1" applyFill="1" applyBorder="1"/>
    <xf numFmtId="0" fontId="12" fillId="0" borderId="2" xfId="0" applyFont="1" applyFill="1" applyBorder="1"/>
    <xf numFmtId="0" fontId="12" fillId="0" borderId="5" xfId="0" applyFont="1" applyFill="1" applyBorder="1"/>
    <xf numFmtId="0" fontId="12" fillId="0" borderId="69" xfId="0" applyFont="1" applyFill="1" applyBorder="1"/>
    <xf numFmtId="0" fontId="12" fillId="0" borderId="25" xfId="0" applyFont="1" applyFill="1" applyBorder="1"/>
    <xf numFmtId="0" fontId="12" fillId="0" borderId="26" xfId="0" applyFont="1" applyFill="1" applyBorder="1"/>
    <xf numFmtId="0" fontId="12" fillId="0" borderId="86" xfId="0" applyFont="1" applyBorder="1"/>
    <xf numFmtId="0" fontId="0" fillId="0" borderId="87" xfId="0" applyBorder="1"/>
    <xf numFmtId="0" fontId="12" fillId="0" borderId="87" xfId="0" applyFont="1" applyBorder="1"/>
    <xf numFmtId="0" fontId="12" fillId="0" borderId="88" xfId="0" applyFont="1" applyBorder="1"/>
    <xf numFmtId="0" fontId="12" fillId="0" borderId="82" xfId="0" applyFont="1" applyBorder="1"/>
    <xf numFmtId="0" fontId="0" fillId="0" borderId="65" xfId="0" applyFill="1" applyBorder="1"/>
    <xf numFmtId="0" fontId="13" fillId="0" borderId="0" xfId="0" applyFont="1"/>
    <xf numFmtId="167" fontId="0" fillId="0" borderId="0" xfId="0" applyNumberFormat="1"/>
    <xf numFmtId="167" fontId="25" fillId="17" borderId="34" xfId="0" applyNumberFormat="1" applyFont="1" applyFill="1" applyBorder="1"/>
    <xf numFmtId="0" fontId="35" fillId="0" borderId="0" xfId="0" applyFont="1"/>
    <xf numFmtId="0" fontId="0" fillId="0" borderId="0" xfId="0" applyAlignment="1">
      <alignment horizontal="center" vertical="center" wrapText="1"/>
    </xf>
    <xf numFmtId="16" fontId="0" fillId="3" borderId="25" xfId="0" applyNumberFormat="1" applyFont="1" applyFill="1" applyBorder="1" applyAlignment="1">
      <alignment horizontal="center"/>
    </xf>
    <xf numFmtId="16" fontId="0" fillId="3" borderId="0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" fontId="0" fillId="3" borderId="25" xfId="0" applyNumberFormat="1" applyFont="1" applyFill="1" applyBorder="1" applyAlignment="1">
      <alignment horizontal="center" vertical="center" wrapText="1"/>
    </xf>
    <xf numFmtId="16" fontId="0" fillId="3" borderId="0" xfId="0" applyNumberFormat="1" applyFont="1" applyFill="1" applyBorder="1" applyAlignment="1">
      <alignment horizontal="center" vertical="center" wrapText="1"/>
    </xf>
    <xf numFmtId="16" fontId="15" fillId="3" borderId="2" xfId="0" applyNumberFormat="1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14" fontId="7" fillId="3" borderId="24" xfId="0" applyNumberFormat="1" applyFont="1" applyFill="1" applyBorder="1" applyAlignment="1">
      <alignment horizontal="center"/>
    </xf>
    <xf numFmtId="0" fontId="2" fillId="6" borderId="89" xfId="0" applyFont="1" applyFill="1" applyBorder="1" applyAlignment="1">
      <alignment wrapText="1"/>
    </xf>
    <xf numFmtId="0" fontId="2" fillId="6" borderId="90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18" borderId="22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31" fillId="0" borderId="0" xfId="0" applyFont="1" applyAlignment="1">
      <alignment horizontal="center" vertical="center" wrapText="1"/>
    </xf>
    <xf numFmtId="0" fontId="0" fillId="0" borderId="64" xfId="0" applyBorder="1" applyAlignment="1">
      <alignment horizontal="center"/>
    </xf>
    <xf numFmtId="16" fontId="15" fillId="3" borderId="25" xfId="0" applyNumberFormat="1" applyFont="1" applyFill="1" applyBorder="1" applyAlignment="1">
      <alignment horizontal="center"/>
    </xf>
    <xf numFmtId="16" fontId="15" fillId="3" borderId="0" xfId="0" applyNumberFormat="1" applyFont="1" applyFill="1" applyBorder="1" applyAlignment="1">
      <alignment horizontal="center"/>
    </xf>
    <xf numFmtId="16" fontId="15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" fillId="6" borderId="77" xfId="0" applyFont="1" applyFill="1" applyBorder="1" applyAlignment="1">
      <alignment horizontal="center" vertical="center" wrapText="1"/>
    </xf>
    <xf numFmtId="0" fontId="2" fillId="6" borderId="78" xfId="0" applyFont="1" applyFill="1" applyBorder="1" applyAlignment="1">
      <alignment horizontal="center" vertical="center" wrapText="1"/>
    </xf>
    <xf numFmtId="164" fontId="2" fillId="6" borderId="77" xfId="0" applyNumberFormat="1" applyFont="1" applyFill="1" applyBorder="1" applyAlignment="1">
      <alignment horizontal="center" vertical="center" wrapText="1"/>
    </xf>
    <xf numFmtId="164" fontId="2" fillId="6" borderId="78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" fontId="0" fillId="3" borderId="25" xfId="0" applyNumberFormat="1" applyFont="1" applyFill="1" applyBorder="1" applyAlignment="1">
      <alignment horizontal="center" vertical="center" wrapText="1"/>
    </xf>
    <xf numFmtId="16" fontId="0" fillId="3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8" fillId="5" borderId="3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0" fillId="0" borderId="70" xfId="0" applyBorder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67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12" fillId="0" borderId="66" xfId="0" applyFont="1" applyBorder="1" applyAlignment="1">
      <alignment horizontal="center" vertical="center" wrapText="1"/>
    </xf>
    <xf numFmtId="0" fontId="34" fillId="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ont="1" applyAlignment="1"/>
    <xf numFmtId="17" fontId="20" fillId="12" borderId="0" xfId="0" applyNumberFormat="1" applyFont="1" applyFill="1" applyBorder="1" applyAlignment="1">
      <alignment horizontal="left" vertical="center"/>
    </xf>
    <xf numFmtId="0" fontId="16" fillId="0" borderId="0" xfId="0" applyFont="1" applyBorder="1"/>
    <xf numFmtId="0" fontId="21" fillId="12" borderId="0" xfId="0" applyFont="1" applyFill="1" applyBorder="1" applyAlignment="1">
      <alignment horizontal="center" vertical="center"/>
    </xf>
    <xf numFmtId="0" fontId="20" fillId="12" borderId="0" xfId="0" applyFont="1" applyFill="1" applyBorder="1" applyAlignment="1">
      <alignment horizontal="right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1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"/>
    </dxf>
    <dxf>
      <numFmt numFmtId="167" formatCode="0.000"/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"/>
    </dxf>
    <dxf>
      <numFmt numFmtId="167" formatCode="0.0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gradientFill type="path" left="1" right="1">
          <stop position="0">
            <color rgb="FFFF0000"/>
          </stop>
          <stop position="1">
            <color rgb="FF92D05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gradientFill type="path" left="1" right="1">
          <stop position="0">
            <color rgb="FFFF0000"/>
          </stop>
          <stop position="1">
            <color rgb="FF92D05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general" vertical="bottom" textRotation="0" wrapText="1" indent="0" justifyLastLine="0" shrinkToFit="0" readingOrder="0"/>
    </dxf>
    <dxf>
      <fill>
        <patternFill patternType="lightUp"/>
      </fill>
    </dxf>
    <dxf>
      <fill>
        <patternFill>
          <bgColor rgb="FFC00000"/>
        </patternFill>
      </fill>
    </dxf>
    <dxf>
      <fill>
        <gradientFill type="path" left="1" right="1">
          <stop position="0">
            <color rgb="FFC00000"/>
          </stop>
          <stop position="1">
            <color rgb="FF92D050"/>
          </stop>
        </gradientFill>
      </fill>
    </dxf>
    <dxf>
      <fill>
        <patternFill>
          <bgColor rgb="FFC00000"/>
        </patternFill>
      </fill>
    </dxf>
    <dxf>
      <fill>
        <patternFill patternType="lightUp"/>
      </fill>
    </dxf>
    <dxf>
      <fill>
        <patternFill>
          <bgColor rgb="FFC00000"/>
        </patternFill>
      </fill>
    </dxf>
    <dxf>
      <fill>
        <patternFill patternType="lightUp"/>
      </fill>
    </dxf>
    <dxf>
      <fill>
        <patternFill>
          <bgColor rgb="FFC00000"/>
        </patternFill>
      </fill>
    </dxf>
    <dxf>
      <fill>
        <patternFill patternType="lightUp"/>
      </fill>
    </dxf>
    <dxf>
      <fill>
        <patternFill>
          <bgColor rgb="FFC00000"/>
        </patternFill>
      </fill>
    </dxf>
    <dxf>
      <fill>
        <patternFill patternType="lightUp"/>
      </fill>
    </dxf>
    <dxf>
      <fill>
        <patternFill>
          <bgColor rgb="FFC00000"/>
        </patternFill>
      </fill>
    </dxf>
    <dxf>
      <fill>
        <patternFill patternType="lightUp"/>
      </fill>
    </dxf>
    <dxf>
      <fill>
        <patternFill>
          <bgColor rgb="FFC00000"/>
        </patternFill>
      </fill>
    </dxf>
    <dxf>
      <fill>
        <patternFill patternType="lightUp"/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fgColor rgb="FFD8D8D8"/>
          <bgColor rgb="FFD8D8D8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ill>
        <patternFill patternType="solid">
          <fgColor rgb="FFC2C79C"/>
          <bgColor rgb="FFC2C79C"/>
        </patternFill>
      </fill>
      <border>
        <left/>
        <right/>
        <top/>
        <bottom/>
      </border>
    </dxf>
    <dxf>
      <fill>
        <patternFill patternType="solid">
          <fgColor rgb="FF4B180E"/>
          <bgColor rgb="FF4B180E"/>
        </patternFill>
      </fill>
      <border>
        <left/>
        <right/>
        <top/>
        <bottom/>
      </border>
    </dxf>
  </dxfs>
  <tableStyles count="1" defaultTableStyle="TableStyleMedium2" defaultPivotStyle="PivotStyleLight16">
    <tableStyle name="ALB Control-style" pivot="0" count="4">
      <tableStyleElement type="headerRow" dxfId="138"/>
      <tableStyleElement type="totalRow" dxfId="137"/>
      <tableStyleElement type="firstRowStripe" dxfId="136"/>
      <tableStyleElement type="secondRowStripe" dxfId="135"/>
    </tableStyle>
  </tableStyles>
  <colors>
    <mruColors>
      <color rgb="FFD60093"/>
      <color rgb="FFFF0066"/>
      <color rgb="FFCF4141"/>
      <color rgb="FFA53423"/>
      <color rgb="FFA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hartsheet" Target="chartsheets/sheet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10" Type="http://schemas.openxmlformats.org/officeDocument/2006/relationships/chartsheet" Target="chartsheets/sheet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Body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41384164479440072"/>
                  <c:y val="-0.345518008165645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'Albopictus PCR'!$M$6:$M$105</c:f>
              <c:numCache>
                <c:formatCode>General</c:formatCode>
                <c:ptCount val="100"/>
                <c:pt idx="0">
                  <c:v>7</c:v>
                </c:pt>
                <c:pt idx="1">
                  <c:v>37</c:v>
                </c:pt>
                <c:pt idx="2">
                  <c:v>1</c:v>
                </c:pt>
                <c:pt idx="3">
                  <c:v>3</c:v>
                </c:pt>
                <c:pt idx="4">
                  <c:v>14</c:v>
                </c:pt>
                <c:pt idx="5">
                  <c:v>1</c:v>
                </c:pt>
                <c:pt idx="6">
                  <c:v>18</c:v>
                </c:pt>
                <c:pt idx="7">
                  <c:v>16</c:v>
                </c:pt>
                <c:pt idx="8">
                  <c:v>11</c:v>
                </c:pt>
                <c:pt idx="9">
                  <c:v>18</c:v>
                </c:pt>
                <c:pt idx="10">
                  <c:v>29</c:v>
                </c:pt>
                <c:pt idx="11">
                  <c:v>7</c:v>
                </c:pt>
                <c:pt idx="12">
                  <c:v>15</c:v>
                </c:pt>
                <c:pt idx="13">
                  <c:v>14</c:v>
                </c:pt>
                <c:pt idx="14">
                  <c:v>10</c:v>
                </c:pt>
                <c:pt idx="15">
                  <c:v>39</c:v>
                </c:pt>
                <c:pt idx="16">
                  <c:v>23</c:v>
                </c:pt>
                <c:pt idx="17">
                  <c:v>7</c:v>
                </c:pt>
                <c:pt idx="18">
                  <c:v>21</c:v>
                </c:pt>
                <c:pt idx="19">
                  <c:v>16</c:v>
                </c:pt>
                <c:pt idx="20">
                  <c:v>18</c:v>
                </c:pt>
                <c:pt idx="21">
                  <c:v>23</c:v>
                </c:pt>
                <c:pt idx="22">
                  <c:v>21</c:v>
                </c:pt>
                <c:pt idx="23">
                  <c:v>14</c:v>
                </c:pt>
                <c:pt idx="24">
                  <c:v>10</c:v>
                </c:pt>
                <c:pt idx="25">
                  <c:v>2</c:v>
                </c:pt>
                <c:pt idx="26">
                  <c:v>29</c:v>
                </c:pt>
                <c:pt idx="27">
                  <c:v>14</c:v>
                </c:pt>
                <c:pt idx="28">
                  <c:v>39</c:v>
                </c:pt>
                <c:pt idx="29">
                  <c:v>14</c:v>
                </c:pt>
                <c:pt idx="30">
                  <c:v>21</c:v>
                </c:pt>
                <c:pt idx="31">
                  <c:v>14</c:v>
                </c:pt>
                <c:pt idx="32">
                  <c:v>28</c:v>
                </c:pt>
                <c:pt idx="33">
                  <c:v>28</c:v>
                </c:pt>
                <c:pt idx="34">
                  <c:v>18</c:v>
                </c:pt>
                <c:pt idx="35">
                  <c:v>21</c:v>
                </c:pt>
                <c:pt idx="36">
                  <c:v>8</c:v>
                </c:pt>
                <c:pt idx="37">
                  <c:v>17</c:v>
                </c:pt>
                <c:pt idx="38">
                  <c:v>28</c:v>
                </c:pt>
                <c:pt idx="39">
                  <c:v>36</c:v>
                </c:pt>
                <c:pt idx="40">
                  <c:v>21</c:v>
                </c:pt>
                <c:pt idx="41">
                  <c:v>24</c:v>
                </c:pt>
                <c:pt idx="42">
                  <c:v>25</c:v>
                </c:pt>
                <c:pt idx="43">
                  <c:v>22</c:v>
                </c:pt>
                <c:pt idx="44">
                  <c:v>14</c:v>
                </c:pt>
                <c:pt idx="45">
                  <c:v>15</c:v>
                </c:pt>
                <c:pt idx="46">
                  <c:v>28</c:v>
                </c:pt>
                <c:pt idx="47">
                  <c:v>11</c:v>
                </c:pt>
                <c:pt idx="48">
                  <c:v>32</c:v>
                </c:pt>
                <c:pt idx="49">
                  <c:v>36</c:v>
                </c:pt>
                <c:pt idx="50">
                  <c:v>9</c:v>
                </c:pt>
                <c:pt idx="51">
                  <c:v>16</c:v>
                </c:pt>
                <c:pt idx="52">
                  <c:v>3</c:v>
                </c:pt>
                <c:pt idx="53">
                  <c:v>21</c:v>
                </c:pt>
                <c:pt idx="54">
                  <c:v>17</c:v>
                </c:pt>
                <c:pt idx="55">
                  <c:v>24</c:v>
                </c:pt>
                <c:pt idx="56">
                  <c:v>38</c:v>
                </c:pt>
                <c:pt idx="57">
                  <c:v>18</c:v>
                </c:pt>
                <c:pt idx="58">
                  <c:v>18</c:v>
                </c:pt>
                <c:pt idx="59">
                  <c:v>17</c:v>
                </c:pt>
                <c:pt idx="60">
                  <c:v>3</c:v>
                </c:pt>
                <c:pt idx="61">
                  <c:v>28</c:v>
                </c:pt>
                <c:pt idx="62">
                  <c:v>14</c:v>
                </c:pt>
                <c:pt idx="63">
                  <c:v>21</c:v>
                </c:pt>
                <c:pt idx="64">
                  <c:v>18</c:v>
                </c:pt>
                <c:pt idx="65">
                  <c:v>21</c:v>
                </c:pt>
                <c:pt idx="66">
                  <c:v>3</c:v>
                </c:pt>
                <c:pt idx="67">
                  <c:v>24</c:v>
                </c:pt>
                <c:pt idx="68">
                  <c:v>9</c:v>
                </c:pt>
                <c:pt idx="69">
                  <c:v>21</c:v>
                </c:pt>
                <c:pt idx="70">
                  <c:v>17</c:v>
                </c:pt>
                <c:pt idx="71">
                  <c:v>11</c:v>
                </c:pt>
                <c:pt idx="72">
                  <c:v>28</c:v>
                </c:pt>
                <c:pt idx="73">
                  <c:v>22</c:v>
                </c:pt>
                <c:pt idx="74">
                  <c:v>14</c:v>
                </c:pt>
                <c:pt idx="75">
                  <c:v>7</c:v>
                </c:pt>
                <c:pt idx="76">
                  <c:v>14</c:v>
                </c:pt>
                <c:pt idx="77">
                  <c:v>18</c:v>
                </c:pt>
                <c:pt idx="78">
                  <c:v>14</c:v>
                </c:pt>
                <c:pt idx="79">
                  <c:v>17</c:v>
                </c:pt>
                <c:pt idx="80">
                  <c:v>14</c:v>
                </c:pt>
                <c:pt idx="81">
                  <c:v>15</c:v>
                </c:pt>
                <c:pt idx="82">
                  <c:v>17</c:v>
                </c:pt>
                <c:pt idx="83">
                  <c:v>28</c:v>
                </c:pt>
                <c:pt idx="84">
                  <c:v>1</c:v>
                </c:pt>
                <c:pt idx="85">
                  <c:v>2</c:v>
                </c:pt>
                <c:pt idx="86">
                  <c:v>4</c:v>
                </c:pt>
                <c:pt idx="87">
                  <c:v>29</c:v>
                </c:pt>
                <c:pt idx="88">
                  <c:v>21</c:v>
                </c:pt>
                <c:pt idx="89">
                  <c:v>2</c:v>
                </c:pt>
                <c:pt idx="90">
                  <c:v>21</c:v>
                </c:pt>
                <c:pt idx="91">
                  <c:v>28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14</c:v>
                </c:pt>
                <c:pt idx="96">
                  <c:v>7</c:v>
                </c:pt>
                <c:pt idx="97">
                  <c:v>1</c:v>
                </c:pt>
                <c:pt idx="98">
                  <c:v>18</c:v>
                </c:pt>
                <c:pt idx="99">
                  <c:v>7</c:v>
                </c:pt>
              </c:numCache>
            </c:numRef>
          </c:xVal>
          <c:yVal>
            <c:numRef>
              <c:f>'Albopictus PCR'!$G$6:$G$105</c:f>
              <c:numCache>
                <c:formatCode>General</c:formatCode>
                <c:ptCount val="100"/>
                <c:pt idx="0">
                  <c:v>5.718170236417075</c:v>
                </c:pt>
                <c:pt idx="1">
                  <c:v>7.7414339639730825</c:v>
                </c:pt>
                <c:pt idx="2">
                  <c:v>3.2519325164113235</c:v>
                </c:pt>
                <c:pt idx="3">
                  <c:v>4.9111080483824088</c:v>
                </c:pt>
                <c:pt idx="4">
                  <c:v>6.5253325128373367</c:v>
                </c:pt>
                <c:pt idx="5">
                  <c:v>6.3005041811589102</c:v>
                </c:pt>
                <c:pt idx="6">
                  <c:v>7.2759237731076478</c:v>
                </c:pt>
                <c:pt idx="7">
                  <c:v>7.4961835147411868</c:v>
                </c:pt>
                <c:pt idx="8">
                  <c:v>6.9808266134473271</c:v>
                </c:pt>
                <c:pt idx="9">
                  <c:v>0</c:v>
                </c:pt>
                <c:pt idx="10">
                  <c:v>0</c:v>
                </c:pt>
                <c:pt idx="11">
                  <c:v>6.7325698546571457</c:v>
                </c:pt>
                <c:pt idx="12">
                  <c:v>7.2142794282405331</c:v>
                </c:pt>
                <c:pt idx="13">
                  <c:v>7.6515435504116702</c:v>
                </c:pt>
                <c:pt idx="14">
                  <c:v>6.8419166868763872</c:v>
                </c:pt>
                <c:pt idx="15">
                  <c:v>7.3317385407012585</c:v>
                </c:pt>
                <c:pt idx="16">
                  <c:v>8.0274393119239598</c:v>
                </c:pt>
                <c:pt idx="17">
                  <c:v>5.9181729801431446</c:v>
                </c:pt>
                <c:pt idx="18">
                  <c:v>7.7884808941081207</c:v>
                </c:pt>
                <c:pt idx="19">
                  <c:v>8.1046100074548661</c:v>
                </c:pt>
                <c:pt idx="20">
                  <c:v>7.96680557829667</c:v>
                </c:pt>
                <c:pt idx="21">
                  <c:v>7.8371804643525094</c:v>
                </c:pt>
                <c:pt idx="22">
                  <c:v>0</c:v>
                </c:pt>
                <c:pt idx="23">
                  <c:v>7.1497947102555814</c:v>
                </c:pt>
                <c:pt idx="24">
                  <c:v>8.219568809603631</c:v>
                </c:pt>
                <c:pt idx="25">
                  <c:v>0</c:v>
                </c:pt>
                <c:pt idx="26">
                  <c:v>7.223791773062942</c:v>
                </c:pt>
                <c:pt idx="27">
                  <c:v>2.561276736399825</c:v>
                </c:pt>
                <c:pt idx="28">
                  <c:v>0</c:v>
                </c:pt>
                <c:pt idx="29">
                  <c:v>6.9392456108234359</c:v>
                </c:pt>
                <c:pt idx="30">
                  <c:v>7.5510936327336724</c:v>
                </c:pt>
                <c:pt idx="31">
                  <c:v>7.2641091563058087</c:v>
                </c:pt>
                <c:pt idx="32">
                  <c:v>5.8307252863743972</c:v>
                </c:pt>
                <c:pt idx="33">
                  <c:v>7.8012095033496296</c:v>
                </c:pt>
                <c:pt idx="34">
                  <c:v>5.7502931227494098</c:v>
                </c:pt>
                <c:pt idx="35">
                  <c:v>5.9486393463445619</c:v>
                </c:pt>
                <c:pt idx="36">
                  <c:v>6.7593157346352033</c:v>
                </c:pt>
                <c:pt idx="37">
                  <c:v>5.7331972651065692</c:v>
                </c:pt>
                <c:pt idx="38">
                  <c:v>4.300260613326599</c:v>
                </c:pt>
                <c:pt idx="39">
                  <c:v>6.9483650342381562</c:v>
                </c:pt>
                <c:pt idx="40">
                  <c:v>7.6820818688352643</c:v>
                </c:pt>
                <c:pt idx="41">
                  <c:v>7.7844475351794333</c:v>
                </c:pt>
                <c:pt idx="42">
                  <c:v>8.0157326860641405</c:v>
                </c:pt>
                <c:pt idx="43">
                  <c:v>8.1695980291208983</c:v>
                </c:pt>
                <c:pt idx="44">
                  <c:v>7.5738934297406777</c:v>
                </c:pt>
                <c:pt idx="45">
                  <c:v>6.7213802279845138</c:v>
                </c:pt>
                <c:pt idx="46">
                  <c:v>5.5038573877449251</c:v>
                </c:pt>
                <c:pt idx="47">
                  <c:v>6.4700295444268336</c:v>
                </c:pt>
                <c:pt idx="48">
                  <c:v>7.9809831798262802</c:v>
                </c:pt>
                <c:pt idx="49">
                  <c:v>5.5789427662244995</c:v>
                </c:pt>
                <c:pt idx="50">
                  <c:v>5.5717065031457054</c:v>
                </c:pt>
                <c:pt idx="51">
                  <c:v>8.111830221140572</c:v>
                </c:pt>
                <c:pt idx="52">
                  <c:v>3.5628588630728451</c:v>
                </c:pt>
                <c:pt idx="53">
                  <c:v>2.9616351034174793</c:v>
                </c:pt>
                <c:pt idx="54">
                  <c:v>7.6782970783075664</c:v>
                </c:pt>
                <c:pt idx="55">
                  <c:v>8.1571907304079723</c:v>
                </c:pt>
                <c:pt idx="56">
                  <c:v>0</c:v>
                </c:pt>
                <c:pt idx="57">
                  <c:v>0</c:v>
                </c:pt>
                <c:pt idx="58">
                  <c:v>6.6316040630918813</c:v>
                </c:pt>
                <c:pt idx="59">
                  <c:v>0</c:v>
                </c:pt>
                <c:pt idx="60">
                  <c:v>5.876646148609483</c:v>
                </c:pt>
                <c:pt idx="61">
                  <c:v>5.7182209259821439</c:v>
                </c:pt>
                <c:pt idx="62">
                  <c:v>5.7633373812964841</c:v>
                </c:pt>
                <c:pt idx="63">
                  <c:v>5.1833780478435827</c:v>
                </c:pt>
                <c:pt idx="64">
                  <c:v>4.6325413083978653</c:v>
                </c:pt>
                <c:pt idx="65">
                  <c:v>2.4764272770238129</c:v>
                </c:pt>
                <c:pt idx="66">
                  <c:v>4.3197887291493053</c:v>
                </c:pt>
                <c:pt idx="67">
                  <c:v>7.9822685186905744</c:v>
                </c:pt>
                <c:pt idx="68">
                  <c:v>0</c:v>
                </c:pt>
                <c:pt idx="69">
                  <c:v>4.7247557865378278</c:v>
                </c:pt>
                <c:pt idx="70">
                  <c:v>7.0995839670315029</c:v>
                </c:pt>
                <c:pt idx="71">
                  <c:v>7.279466173307906</c:v>
                </c:pt>
                <c:pt idx="72">
                  <c:v>8.2033157937601011</c:v>
                </c:pt>
                <c:pt idx="73">
                  <c:v>7.6892049357409142</c:v>
                </c:pt>
                <c:pt idx="74">
                  <c:v>4.9314009103004519</c:v>
                </c:pt>
                <c:pt idx="75">
                  <c:v>6.9463264782609819</c:v>
                </c:pt>
                <c:pt idx="76">
                  <c:v>7.5496934133454783</c:v>
                </c:pt>
                <c:pt idx="77">
                  <c:v>8.1835232268594247</c:v>
                </c:pt>
                <c:pt idx="78">
                  <c:v>7.5207127378106371</c:v>
                </c:pt>
                <c:pt idx="79">
                  <c:v>7.2294207264933057</c:v>
                </c:pt>
                <c:pt idx="80">
                  <c:v>6.6838365199355119</c:v>
                </c:pt>
                <c:pt idx="81">
                  <c:v>7.7059927845718965</c:v>
                </c:pt>
                <c:pt idx="82">
                  <c:v>7.9872545624192872</c:v>
                </c:pt>
                <c:pt idx="83">
                  <c:v>7.7765362950862924</c:v>
                </c:pt>
                <c:pt idx="84">
                  <c:v>0</c:v>
                </c:pt>
                <c:pt idx="85">
                  <c:v>5.1311244293895752</c:v>
                </c:pt>
                <c:pt idx="86">
                  <c:v>3.5803375400930908</c:v>
                </c:pt>
                <c:pt idx="87">
                  <c:v>8.1001498950521515</c:v>
                </c:pt>
                <c:pt idx="88">
                  <c:v>8.364228203066876</c:v>
                </c:pt>
                <c:pt idx="89">
                  <c:v>0</c:v>
                </c:pt>
                <c:pt idx="90">
                  <c:v>5.6440937744581383</c:v>
                </c:pt>
                <c:pt idx="91">
                  <c:v>8.5161081406320562</c:v>
                </c:pt>
                <c:pt idx="92">
                  <c:v>6.6291913775750517</c:v>
                </c:pt>
                <c:pt idx="93">
                  <c:v>7.4238780086447802</c:v>
                </c:pt>
                <c:pt idx="94">
                  <c:v>0</c:v>
                </c:pt>
                <c:pt idx="95">
                  <c:v>7.112078569691155</c:v>
                </c:pt>
                <c:pt idx="96">
                  <c:v>7.0151375208796951</c:v>
                </c:pt>
                <c:pt idx="97">
                  <c:v>2.1832214278288062</c:v>
                </c:pt>
                <c:pt idx="98">
                  <c:v>5.4196286660082098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02E8-4EBB-AE80-28BE5C4EBAA5}"/>
            </c:ext>
          </c:extLst>
        </c:ser>
        <c:ser>
          <c:idx val="1"/>
          <c:order val="1"/>
          <c:tx>
            <c:v>Leg Titer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'Albopictus PCR'!$M$6:$M$106</c:f>
              <c:numCache>
                <c:formatCode>General</c:formatCode>
                <c:ptCount val="101"/>
                <c:pt idx="0">
                  <c:v>7</c:v>
                </c:pt>
                <c:pt idx="1">
                  <c:v>37</c:v>
                </c:pt>
                <c:pt idx="2">
                  <c:v>1</c:v>
                </c:pt>
                <c:pt idx="3">
                  <c:v>3</c:v>
                </c:pt>
                <c:pt idx="4">
                  <c:v>14</c:v>
                </c:pt>
                <c:pt idx="5">
                  <c:v>1</c:v>
                </c:pt>
                <c:pt idx="6">
                  <c:v>18</c:v>
                </c:pt>
                <c:pt idx="7">
                  <c:v>16</c:v>
                </c:pt>
                <c:pt idx="8">
                  <c:v>11</c:v>
                </c:pt>
                <c:pt idx="9">
                  <c:v>18</c:v>
                </c:pt>
                <c:pt idx="10">
                  <c:v>29</c:v>
                </c:pt>
                <c:pt idx="11">
                  <c:v>7</c:v>
                </c:pt>
                <c:pt idx="12">
                  <c:v>15</c:v>
                </c:pt>
                <c:pt idx="13">
                  <c:v>14</c:v>
                </c:pt>
                <c:pt idx="14">
                  <c:v>10</c:v>
                </c:pt>
                <c:pt idx="15">
                  <c:v>39</c:v>
                </c:pt>
                <c:pt idx="16">
                  <c:v>23</c:v>
                </c:pt>
                <c:pt idx="17">
                  <c:v>7</c:v>
                </c:pt>
                <c:pt idx="18">
                  <c:v>21</c:v>
                </c:pt>
                <c:pt idx="19">
                  <c:v>16</c:v>
                </c:pt>
                <c:pt idx="20">
                  <c:v>18</c:v>
                </c:pt>
                <c:pt idx="21">
                  <c:v>23</c:v>
                </c:pt>
                <c:pt idx="22">
                  <c:v>21</c:v>
                </c:pt>
                <c:pt idx="23">
                  <c:v>14</c:v>
                </c:pt>
                <c:pt idx="24">
                  <c:v>10</c:v>
                </c:pt>
                <c:pt idx="25">
                  <c:v>2</c:v>
                </c:pt>
                <c:pt idx="26">
                  <c:v>29</c:v>
                </c:pt>
                <c:pt idx="27">
                  <c:v>14</c:v>
                </c:pt>
                <c:pt idx="28">
                  <c:v>39</c:v>
                </c:pt>
                <c:pt idx="29">
                  <c:v>14</c:v>
                </c:pt>
                <c:pt idx="30">
                  <c:v>21</c:v>
                </c:pt>
                <c:pt idx="31">
                  <c:v>14</c:v>
                </c:pt>
                <c:pt idx="32">
                  <c:v>28</c:v>
                </c:pt>
                <c:pt idx="33">
                  <c:v>28</c:v>
                </c:pt>
                <c:pt idx="34">
                  <c:v>18</c:v>
                </c:pt>
                <c:pt idx="35">
                  <c:v>21</c:v>
                </c:pt>
                <c:pt idx="36">
                  <c:v>8</c:v>
                </c:pt>
                <c:pt idx="37">
                  <c:v>17</c:v>
                </c:pt>
                <c:pt idx="38">
                  <c:v>28</c:v>
                </c:pt>
                <c:pt idx="39">
                  <c:v>36</c:v>
                </c:pt>
                <c:pt idx="40">
                  <c:v>21</c:v>
                </c:pt>
                <c:pt idx="41">
                  <c:v>24</c:v>
                </c:pt>
                <c:pt idx="42">
                  <c:v>25</c:v>
                </c:pt>
                <c:pt idx="43">
                  <c:v>22</c:v>
                </c:pt>
                <c:pt idx="44">
                  <c:v>14</c:v>
                </c:pt>
                <c:pt idx="45">
                  <c:v>15</c:v>
                </c:pt>
                <c:pt idx="46">
                  <c:v>28</c:v>
                </c:pt>
                <c:pt idx="47">
                  <c:v>11</c:v>
                </c:pt>
                <c:pt idx="48">
                  <c:v>32</c:v>
                </c:pt>
                <c:pt idx="49">
                  <c:v>36</c:v>
                </c:pt>
                <c:pt idx="50">
                  <c:v>9</c:v>
                </c:pt>
                <c:pt idx="51">
                  <c:v>16</c:v>
                </c:pt>
                <c:pt idx="52">
                  <c:v>3</c:v>
                </c:pt>
                <c:pt idx="53">
                  <c:v>21</c:v>
                </c:pt>
                <c:pt idx="54">
                  <c:v>17</c:v>
                </c:pt>
                <c:pt idx="55">
                  <c:v>24</c:v>
                </c:pt>
                <c:pt idx="56">
                  <c:v>38</c:v>
                </c:pt>
                <c:pt idx="57">
                  <c:v>18</c:v>
                </c:pt>
                <c:pt idx="58">
                  <c:v>18</c:v>
                </c:pt>
                <c:pt idx="59">
                  <c:v>17</c:v>
                </c:pt>
                <c:pt idx="60">
                  <c:v>3</c:v>
                </c:pt>
                <c:pt idx="61">
                  <c:v>28</c:v>
                </c:pt>
                <c:pt idx="62">
                  <c:v>14</c:v>
                </c:pt>
                <c:pt idx="63">
                  <c:v>21</c:v>
                </c:pt>
                <c:pt idx="64">
                  <c:v>18</c:v>
                </c:pt>
                <c:pt idx="65">
                  <c:v>21</c:v>
                </c:pt>
                <c:pt idx="66">
                  <c:v>3</c:v>
                </c:pt>
                <c:pt idx="67">
                  <c:v>24</c:v>
                </c:pt>
                <c:pt idx="68">
                  <c:v>9</c:v>
                </c:pt>
                <c:pt idx="69">
                  <c:v>21</c:v>
                </c:pt>
                <c:pt idx="70">
                  <c:v>17</c:v>
                </c:pt>
                <c:pt idx="71">
                  <c:v>11</c:v>
                </c:pt>
                <c:pt idx="72">
                  <c:v>28</c:v>
                </c:pt>
                <c:pt idx="73">
                  <c:v>22</c:v>
                </c:pt>
                <c:pt idx="74">
                  <c:v>14</c:v>
                </c:pt>
                <c:pt idx="75">
                  <c:v>7</c:v>
                </c:pt>
                <c:pt idx="76">
                  <c:v>14</c:v>
                </c:pt>
                <c:pt idx="77">
                  <c:v>18</c:v>
                </c:pt>
                <c:pt idx="78">
                  <c:v>14</c:v>
                </c:pt>
                <c:pt idx="79">
                  <c:v>17</c:v>
                </c:pt>
                <c:pt idx="80">
                  <c:v>14</c:v>
                </c:pt>
                <c:pt idx="81">
                  <c:v>15</c:v>
                </c:pt>
                <c:pt idx="82">
                  <c:v>17</c:v>
                </c:pt>
                <c:pt idx="83">
                  <c:v>28</c:v>
                </c:pt>
                <c:pt idx="84">
                  <c:v>1</c:v>
                </c:pt>
                <c:pt idx="85">
                  <c:v>2</c:v>
                </c:pt>
                <c:pt idx="86">
                  <c:v>4</c:v>
                </c:pt>
                <c:pt idx="87">
                  <c:v>29</c:v>
                </c:pt>
                <c:pt idx="88">
                  <c:v>21</c:v>
                </c:pt>
                <c:pt idx="89">
                  <c:v>2</c:v>
                </c:pt>
                <c:pt idx="90">
                  <c:v>21</c:v>
                </c:pt>
                <c:pt idx="91">
                  <c:v>28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14</c:v>
                </c:pt>
                <c:pt idx="96">
                  <c:v>7</c:v>
                </c:pt>
                <c:pt idx="97">
                  <c:v>1</c:v>
                </c:pt>
                <c:pt idx="98">
                  <c:v>18</c:v>
                </c:pt>
                <c:pt idx="99">
                  <c:v>7</c:v>
                </c:pt>
                <c:pt idx="100">
                  <c:v>5</c:v>
                </c:pt>
              </c:numCache>
            </c:numRef>
          </c:xVal>
          <c:yVal>
            <c:numRef>
              <c:f>'Albopictus PCR'!$K$6:$K$105</c:f>
              <c:numCache>
                <c:formatCode>General</c:formatCode>
                <c:ptCount val="100"/>
                <c:pt idx="0">
                  <c:v>0</c:v>
                </c:pt>
                <c:pt idx="1">
                  <c:v>5.2400609385598056</c:v>
                </c:pt>
                <c:pt idx="2">
                  <c:v>0</c:v>
                </c:pt>
                <c:pt idx="3">
                  <c:v>0</c:v>
                </c:pt>
                <c:pt idx="4">
                  <c:v>4.638241424684737</c:v>
                </c:pt>
                <c:pt idx="5">
                  <c:v>0</c:v>
                </c:pt>
                <c:pt idx="6">
                  <c:v>5.7346668415357849</c:v>
                </c:pt>
                <c:pt idx="7">
                  <c:v>5.7483770687556115</c:v>
                </c:pt>
                <c:pt idx="8">
                  <c:v>5.2360581697159416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5.3117905693046863</c:v>
                </c:pt>
                <c:pt idx="14">
                  <c:v>4.9330234590473685</c:v>
                </c:pt>
                <c:pt idx="15">
                  <c:v>5.7783684790050538</c:v>
                </c:pt>
                <c:pt idx="16">
                  <c:v>5.9296021848620395</c:v>
                </c:pt>
                <c:pt idx="17">
                  <c:v>2.945165449412777</c:v>
                </c:pt>
                <c:pt idx="18">
                  <c:v>6.3255264898037789</c:v>
                </c:pt>
                <c:pt idx="19">
                  <c:v>5.4884651799130504</c:v>
                </c:pt>
                <c:pt idx="20">
                  <c:v>6.337665826509939</c:v>
                </c:pt>
                <c:pt idx="21">
                  <c:v>5.9894103244414794</c:v>
                </c:pt>
                <c:pt idx="22">
                  <c:v>0</c:v>
                </c:pt>
                <c:pt idx="23">
                  <c:v>2.5428484777651463</c:v>
                </c:pt>
                <c:pt idx="24">
                  <c:v>5.8884703892272974</c:v>
                </c:pt>
                <c:pt idx="25">
                  <c:v>0</c:v>
                </c:pt>
                <c:pt idx="26">
                  <c:v>5.9347298029209927</c:v>
                </c:pt>
                <c:pt idx="27">
                  <c:v>0</c:v>
                </c:pt>
                <c:pt idx="28">
                  <c:v>0</c:v>
                </c:pt>
                <c:pt idx="29">
                  <c:v>5.3206341387380958</c:v>
                </c:pt>
                <c:pt idx="30">
                  <c:v>6.3187446478243841</c:v>
                </c:pt>
                <c:pt idx="31">
                  <c:v>5.3476050830217465</c:v>
                </c:pt>
                <c:pt idx="32">
                  <c:v>4.7339083190608173</c:v>
                </c:pt>
                <c:pt idx="33">
                  <c:v>6.2433352835629652</c:v>
                </c:pt>
                <c:pt idx="34">
                  <c:v>4.2003748970048385</c:v>
                </c:pt>
                <c:pt idx="35">
                  <c:v>1.7235633724938664</c:v>
                </c:pt>
                <c:pt idx="36">
                  <c:v>2.9129708806605272</c:v>
                </c:pt>
                <c:pt idx="37">
                  <c:v>4.0241853958282352</c:v>
                </c:pt>
                <c:pt idx="38">
                  <c:v>1.5608605216099296</c:v>
                </c:pt>
                <c:pt idx="39">
                  <c:v>4.8363489931516064</c:v>
                </c:pt>
                <c:pt idx="40">
                  <c:v>6.5446721309228355</c:v>
                </c:pt>
                <c:pt idx="41">
                  <c:v>6.0280412772436724</c:v>
                </c:pt>
                <c:pt idx="42">
                  <c:v>6.1030091675210159</c:v>
                </c:pt>
                <c:pt idx="43">
                  <c:v>5.7956297047416143</c:v>
                </c:pt>
                <c:pt idx="44">
                  <c:v>5.4434909811127961</c:v>
                </c:pt>
                <c:pt idx="45">
                  <c:v>5.2133704769780218</c:v>
                </c:pt>
                <c:pt idx="46">
                  <c:v>3.984812981061308</c:v>
                </c:pt>
                <c:pt idx="47">
                  <c:v>4.2932041029456558</c:v>
                </c:pt>
                <c:pt idx="48">
                  <c:v>6.0764968989114907</c:v>
                </c:pt>
                <c:pt idx="49">
                  <c:v>4.7084042007765063</c:v>
                </c:pt>
                <c:pt idx="50">
                  <c:v>4.3793549213211653</c:v>
                </c:pt>
                <c:pt idx="51">
                  <c:v>6.4053852109721783</c:v>
                </c:pt>
                <c:pt idx="52">
                  <c:v>0</c:v>
                </c:pt>
                <c:pt idx="53">
                  <c:v>1.6418572825884805</c:v>
                </c:pt>
                <c:pt idx="54">
                  <c:v>5.9331158211676831</c:v>
                </c:pt>
                <c:pt idx="55">
                  <c:v>5.9838314912605544</c:v>
                </c:pt>
                <c:pt idx="56">
                  <c:v>0</c:v>
                </c:pt>
                <c:pt idx="57">
                  <c:v>0</c:v>
                </c:pt>
                <c:pt idx="58">
                  <c:v>5.0311429458496288</c:v>
                </c:pt>
                <c:pt idx="59">
                  <c:v>0</c:v>
                </c:pt>
                <c:pt idx="60">
                  <c:v>0</c:v>
                </c:pt>
                <c:pt idx="61">
                  <c:v>3.7296373107778868</c:v>
                </c:pt>
                <c:pt idx="62">
                  <c:v>4.2741507204518321</c:v>
                </c:pt>
                <c:pt idx="63">
                  <c:v>3.983534671993044</c:v>
                </c:pt>
                <c:pt idx="64">
                  <c:v>3.0199787828511813</c:v>
                </c:pt>
                <c:pt idx="65">
                  <c:v>3.0432469742501373</c:v>
                </c:pt>
                <c:pt idx="66">
                  <c:v>0</c:v>
                </c:pt>
                <c:pt idx="67">
                  <c:v>6.6529077251432334</c:v>
                </c:pt>
                <c:pt idx="68">
                  <c:v>0</c:v>
                </c:pt>
                <c:pt idx="69">
                  <c:v>3.6042140521322308</c:v>
                </c:pt>
                <c:pt idx="70">
                  <c:v>2.9122409064312129</c:v>
                </c:pt>
                <c:pt idx="71">
                  <c:v>2.1016890120980976</c:v>
                </c:pt>
                <c:pt idx="72">
                  <c:v>6.4461991603697859</c:v>
                </c:pt>
                <c:pt idx="73">
                  <c:v>5.9340837482630926</c:v>
                </c:pt>
                <c:pt idx="74">
                  <c:v>2.5600309283521359</c:v>
                </c:pt>
                <c:pt idx="75">
                  <c:v>5.6699225348372622</c:v>
                </c:pt>
                <c:pt idx="76">
                  <c:v>5.6082279890032432</c:v>
                </c:pt>
                <c:pt idx="77">
                  <c:v>6.7146752552941464</c:v>
                </c:pt>
                <c:pt idx="78">
                  <c:v>6.7214495969781645</c:v>
                </c:pt>
                <c:pt idx="79">
                  <c:v>5.1874220504011221</c:v>
                </c:pt>
                <c:pt idx="80">
                  <c:v>5.3369038392405477</c:v>
                </c:pt>
                <c:pt idx="81">
                  <c:v>6.130091058751737</c:v>
                </c:pt>
                <c:pt idx="82">
                  <c:v>6.2190347618217077</c:v>
                </c:pt>
                <c:pt idx="83">
                  <c:v>5.7735903650200688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5.8116355716530768</c:v>
                </c:pt>
                <c:pt idx="88">
                  <c:v>6.3728049803602218</c:v>
                </c:pt>
                <c:pt idx="89">
                  <c:v>0</c:v>
                </c:pt>
                <c:pt idx="90">
                  <c:v>4.3914316247183383</c:v>
                </c:pt>
                <c:pt idx="91">
                  <c:v>6.6148469582965648</c:v>
                </c:pt>
                <c:pt idx="92">
                  <c:v>4.6481460133370458</c:v>
                </c:pt>
                <c:pt idx="93">
                  <c:v>2.4428920143845474</c:v>
                </c:pt>
                <c:pt idx="94">
                  <c:v>0</c:v>
                </c:pt>
                <c:pt idx="95">
                  <c:v>5.3295575956025338</c:v>
                </c:pt>
                <c:pt idx="96">
                  <c:v>1.813727893588817</c:v>
                </c:pt>
                <c:pt idx="97">
                  <c:v>0</c:v>
                </c:pt>
                <c:pt idx="98">
                  <c:v>2.8491680660193248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02E8-4EBB-AE80-28BE5C4EB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71256"/>
        <c:axId val="565971584"/>
      </c:scatterChart>
      <c:valAx>
        <c:axId val="56597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71584"/>
        <c:crosses val="autoZero"/>
        <c:crossBetween val="midCat"/>
      </c:valAx>
      <c:valAx>
        <c:axId val="5659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7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+</a:t>
            </a:r>
            <a:r>
              <a:rPr lang="en-US" baseline="0"/>
              <a:t> NOT Disseminated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'Albopictus PCR'!$BZ$26</c:f>
              <c:strCache>
                <c:ptCount val="1"/>
                <c:pt idx="0">
                  <c:v>Titer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5.9597331583552057E-2"/>
                  <c:y val="0.2488232720909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'Albopictus PCR'!$BY$27:$BY$35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15</c:v>
                </c:pt>
                <c:pt idx="3">
                  <c:v>14</c:v>
                </c:pt>
                <c:pt idx="4">
                  <c:v>21</c:v>
                </c:pt>
                <c:pt idx="5">
                  <c:v>28</c:v>
                </c:pt>
                <c:pt idx="6">
                  <c:v>21</c:v>
                </c:pt>
                <c:pt idx="7">
                  <c:v>4</c:v>
                </c:pt>
                <c:pt idx="8">
                  <c:v>7</c:v>
                </c:pt>
              </c:numCache>
            </c:numRef>
          </c:xVal>
          <c:yVal>
            <c:numRef>
              <c:f>'Albopictus PCR'!$BZ$27:$BZ$35</c:f>
              <c:numCache>
                <c:formatCode>General</c:formatCode>
                <c:ptCount val="9"/>
                <c:pt idx="0">
                  <c:v>5.718170236417075</c:v>
                </c:pt>
                <c:pt idx="1">
                  <c:v>6.7325698546571457</c:v>
                </c:pt>
                <c:pt idx="2">
                  <c:v>7.2142794282405331</c:v>
                </c:pt>
                <c:pt idx="3">
                  <c:v>2.561276736399825</c:v>
                </c:pt>
                <c:pt idx="4">
                  <c:v>5.9486393463445619</c:v>
                </c:pt>
                <c:pt idx="5">
                  <c:v>4.300260613326599</c:v>
                </c:pt>
                <c:pt idx="6">
                  <c:v>2.9616351034174793</c:v>
                </c:pt>
                <c:pt idx="7">
                  <c:v>3.5803375400930908</c:v>
                </c:pt>
                <c:pt idx="8">
                  <c:v>7.0151375208796951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AB-49DB-AC9D-E4F442623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03880"/>
        <c:axId val="490704536"/>
      </c:scatterChart>
      <c:valAx>
        <c:axId val="49070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04536"/>
        <c:crosses val="autoZero"/>
        <c:crossBetween val="midCat"/>
      </c:valAx>
      <c:valAx>
        <c:axId val="49070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</a:t>
                </a:r>
                <a:r>
                  <a:rPr lang="en-US" baseline="0"/>
                  <a:t> Titer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0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Disseminated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'Albopictus PCR'!$BM$38</c:f>
              <c:strCache>
                <c:ptCount val="1"/>
                <c:pt idx="0">
                  <c:v>Body Titer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8.7298556430446192E-2"/>
                  <c:y val="-0.19095836978710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'Albopictus PCR'!$BL$39:$BL$108</c:f>
              <c:numCache>
                <c:formatCode>General</c:formatCode>
                <c:ptCount val="7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25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29</c:v>
                </c:pt>
                <c:pt idx="64">
                  <c:v>29</c:v>
                </c:pt>
                <c:pt idx="65">
                  <c:v>32</c:v>
                </c:pt>
                <c:pt idx="66">
                  <c:v>36</c:v>
                </c:pt>
                <c:pt idx="67">
                  <c:v>36</c:v>
                </c:pt>
                <c:pt idx="68">
                  <c:v>37</c:v>
                </c:pt>
                <c:pt idx="69">
                  <c:v>39</c:v>
                </c:pt>
              </c:numCache>
            </c:numRef>
          </c:xVal>
          <c:yVal>
            <c:numRef>
              <c:f>'Albopictus PCR'!$BM$39:$BM$108</c:f>
              <c:numCache>
                <c:formatCode>General</c:formatCode>
                <c:ptCount val="70"/>
                <c:pt idx="0">
                  <c:v>5.9181729801431446</c:v>
                </c:pt>
                <c:pt idx="1">
                  <c:v>6.9463264782609819</c:v>
                </c:pt>
                <c:pt idx="2">
                  <c:v>6.6291913775750517</c:v>
                </c:pt>
                <c:pt idx="3">
                  <c:v>7.4238780086447802</c:v>
                </c:pt>
                <c:pt idx="4">
                  <c:v>6.7593157346352033</c:v>
                </c:pt>
                <c:pt idx="5">
                  <c:v>5.5717065031457054</c:v>
                </c:pt>
                <c:pt idx="6">
                  <c:v>6.8419166868763872</c:v>
                </c:pt>
                <c:pt idx="7">
                  <c:v>8.219568809603631</c:v>
                </c:pt>
                <c:pt idx="8">
                  <c:v>6.9808266134473271</c:v>
                </c:pt>
                <c:pt idx="9">
                  <c:v>6.4700295444268336</c:v>
                </c:pt>
                <c:pt idx="10">
                  <c:v>7.279466173307906</c:v>
                </c:pt>
                <c:pt idx="11">
                  <c:v>6.5253325128373367</c:v>
                </c:pt>
                <c:pt idx="12">
                  <c:v>7.6515435504116702</c:v>
                </c:pt>
                <c:pt idx="13">
                  <c:v>7.1497947102555814</c:v>
                </c:pt>
                <c:pt idx="14">
                  <c:v>6.9392456108234359</c:v>
                </c:pt>
                <c:pt idx="15">
                  <c:v>7.2641091563058087</c:v>
                </c:pt>
                <c:pt idx="16">
                  <c:v>7.5738934297406777</c:v>
                </c:pt>
                <c:pt idx="17">
                  <c:v>5.7633373812964841</c:v>
                </c:pt>
                <c:pt idx="18">
                  <c:v>4.9314009103004519</c:v>
                </c:pt>
                <c:pt idx="19">
                  <c:v>7.5496934133454783</c:v>
                </c:pt>
                <c:pt idx="20">
                  <c:v>7.5207127378106371</c:v>
                </c:pt>
                <c:pt idx="21">
                  <c:v>6.6838365199355119</c:v>
                </c:pt>
                <c:pt idx="22">
                  <c:v>7.112078569691155</c:v>
                </c:pt>
                <c:pt idx="23">
                  <c:v>6.7213802279845138</c:v>
                </c:pt>
                <c:pt idx="24">
                  <c:v>7.7059927845718965</c:v>
                </c:pt>
                <c:pt idx="25">
                  <c:v>7.4961835147411868</c:v>
                </c:pt>
                <c:pt idx="26">
                  <c:v>8.1046100074548661</c:v>
                </c:pt>
                <c:pt idx="27">
                  <c:v>8.111830221140572</c:v>
                </c:pt>
                <c:pt idx="28">
                  <c:v>5.7331972651065692</c:v>
                </c:pt>
                <c:pt idx="29">
                  <c:v>7.6782970783075664</c:v>
                </c:pt>
                <c:pt idx="30">
                  <c:v>7.0995839670315029</c:v>
                </c:pt>
                <c:pt idx="31">
                  <c:v>7.2294207264933057</c:v>
                </c:pt>
                <c:pt idx="32">
                  <c:v>7.9872545624192872</c:v>
                </c:pt>
                <c:pt idx="33">
                  <c:v>7.2759237731076478</c:v>
                </c:pt>
                <c:pt idx="34">
                  <c:v>7.96680557829667</c:v>
                </c:pt>
                <c:pt idx="35">
                  <c:v>5.7502931227494098</c:v>
                </c:pt>
                <c:pt idx="36">
                  <c:v>6.6316040630918813</c:v>
                </c:pt>
                <c:pt idx="37">
                  <c:v>4.6325413083978653</c:v>
                </c:pt>
                <c:pt idx="38">
                  <c:v>8.1835232268594247</c:v>
                </c:pt>
                <c:pt idx="39">
                  <c:v>5.4196286660082098</c:v>
                </c:pt>
                <c:pt idx="40">
                  <c:v>7.7884808941081207</c:v>
                </c:pt>
                <c:pt idx="41">
                  <c:v>7.5510936327336724</c:v>
                </c:pt>
                <c:pt idx="42">
                  <c:v>7.6820818688352643</c:v>
                </c:pt>
                <c:pt idx="43">
                  <c:v>5.1833780478435827</c:v>
                </c:pt>
                <c:pt idx="44">
                  <c:v>2.4764272770238129</c:v>
                </c:pt>
                <c:pt idx="45">
                  <c:v>4.7247557865378278</c:v>
                </c:pt>
                <c:pt idx="46">
                  <c:v>8.364228203066876</c:v>
                </c:pt>
                <c:pt idx="47">
                  <c:v>5.6440937744581383</c:v>
                </c:pt>
                <c:pt idx="48">
                  <c:v>8.1695980291208983</c:v>
                </c:pt>
                <c:pt idx="49">
                  <c:v>7.6892049357409142</c:v>
                </c:pt>
                <c:pt idx="50">
                  <c:v>8.0274393119239598</c:v>
                </c:pt>
                <c:pt idx="51">
                  <c:v>7.8371804643525094</c:v>
                </c:pt>
                <c:pt idx="52">
                  <c:v>7.7844475351794333</c:v>
                </c:pt>
                <c:pt idx="53">
                  <c:v>8.1571907304079723</c:v>
                </c:pt>
                <c:pt idx="54">
                  <c:v>7.9822685186905744</c:v>
                </c:pt>
                <c:pt idx="55">
                  <c:v>8.0157326860641405</c:v>
                </c:pt>
                <c:pt idx="56">
                  <c:v>5.8307252863743972</c:v>
                </c:pt>
                <c:pt idx="57">
                  <c:v>7.8012095033496296</c:v>
                </c:pt>
                <c:pt idx="58">
                  <c:v>5.5038573877449251</c:v>
                </c:pt>
                <c:pt idx="59">
                  <c:v>5.7182209259821439</c:v>
                </c:pt>
                <c:pt idx="60">
                  <c:v>8.2033157937601011</c:v>
                </c:pt>
                <c:pt idx="61">
                  <c:v>7.7765362950862924</c:v>
                </c:pt>
                <c:pt idx="62">
                  <c:v>8.5161081406320562</c:v>
                </c:pt>
                <c:pt idx="63">
                  <c:v>7.223791773062942</c:v>
                </c:pt>
                <c:pt idx="64">
                  <c:v>8.1001498950521515</c:v>
                </c:pt>
                <c:pt idx="65">
                  <c:v>7.9809831798262802</c:v>
                </c:pt>
                <c:pt idx="66">
                  <c:v>6.9483650342381562</c:v>
                </c:pt>
                <c:pt idx="67">
                  <c:v>5.5789427662244995</c:v>
                </c:pt>
                <c:pt idx="68">
                  <c:v>7.7414339639730825</c:v>
                </c:pt>
                <c:pt idx="69">
                  <c:v>7.3317385407012585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9-4F6B-A0A2-5AE24D7EC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48552"/>
        <c:axId val="493750848"/>
      </c:scatterChart>
      <c:valAx>
        <c:axId val="49374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50848"/>
        <c:crosses val="autoZero"/>
        <c:crossBetween val="midCat"/>
      </c:valAx>
      <c:valAx>
        <c:axId val="4937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4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Infected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5076334208223965E-2"/>
                  <c:y val="-0.136999854184893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'Albopictus PCR'!$AW$6:$AW$92</c:f>
              <c:numCache>
                <c:formatCode>General</c:formatCode>
                <c:ptCount val="87"/>
                <c:pt idx="0">
                  <c:v>7</c:v>
                </c:pt>
                <c:pt idx="1">
                  <c:v>37</c:v>
                </c:pt>
                <c:pt idx="2">
                  <c:v>1</c:v>
                </c:pt>
                <c:pt idx="3">
                  <c:v>3</c:v>
                </c:pt>
                <c:pt idx="4">
                  <c:v>14</c:v>
                </c:pt>
                <c:pt idx="5">
                  <c:v>1</c:v>
                </c:pt>
                <c:pt idx="6">
                  <c:v>18</c:v>
                </c:pt>
                <c:pt idx="7">
                  <c:v>16</c:v>
                </c:pt>
                <c:pt idx="8">
                  <c:v>11</c:v>
                </c:pt>
                <c:pt idx="9">
                  <c:v>7</c:v>
                </c:pt>
                <c:pt idx="10">
                  <c:v>15</c:v>
                </c:pt>
                <c:pt idx="11">
                  <c:v>14</c:v>
                </c:pt>
                <c:pt idx="12">
                  <c:v>10</c:v>
                </c:pt>
                <c:pt idx="13">
                  <c:v>39</c:v>
                </c:pt>
                <c:pt idx="14">
                  <c:v>23</c:v>
                </c:pt>
                <c:pt idx="15">
                  <c:v>7</c:v>
                </c:pt>
                <c:pt idx="16">
                  <c:v>21</c:v>
                </c:pt>
                <c:pt idx="17">
                  <c:v>16</c:v>
                </c:pt>
                <c:pt idx="18">
                  <c:v>18</c:v>
                </c:pt>
                <c:pt idx="19">
                  <c:v>23</c:v>
                </c:pt>
                <c:pt idx="20">
                  <c:v>14</c:v>
                </c:pt>
                <c:pt idx="21">
                  <c:v>10</c:v>
                </c:pt>
                <c:pt idx="22">
                  <c:v>29</c:v>
                </c:pt>
                <c:pt idx="23">
                  <c:v>14</c:v>
                </c:pt>
                <c:pt idx="24">
                  <c:v>14</c:v>
                </c:pt>
                <c:pt idx="25">
                  <c:v>21</c:v>
                </c:pt>
                <c:pt idx="26">
                  <c:v>14</c:v>
                </c:pt>
                <c:pt idx="27">
                  <c:v>28</c:v>
                </c:pt>
                <c:pt idx="28">
                  <c:v>28</c:v>
                </c:pt>
                <c:pt idx="29">
                  <c:v>18</c:v>
                </c:pt>
                <c:pt idx="30">
                  <c:v>21</c:v>
                </c:pt>
                <c:pt idx="31">
                  <c:v>8</c:v>
                </c:pt>
                <c:pt idx="32">
                  <c:v>17</c:v>
                </c:pt>
                <c:pt idx="33">
                  <c:v>28</c:v>
                </c:pt>
                <c:pt idx="34">
                  <c:v>36</c:v>
                </c:pt>
                <c:pt idx="35">
                  <c:v>21</c:v>
                </c:pt>
                <c:pt idx="36">
                  <c:v>24</c:v>
                </c:pt>
                <c:pt idx="37">
                  <c:v>25</c:v>
                </c:pt>
                <c:pt idx="38">
                  <c:v>22</c:v>
                </c:pt>
                <c:pt idx="39">
                  <c:v>14</c:v>
                </c:pt>
                <c:pt idx="40">
                  <c:v>15</c:v>
                </c:pt>
                <c:pt idx="41">
                  <c:v>28</c:v>
                </c:pt>
                <c:pt idx="42">
                  <c:v>11</c:v>
                </c:pt>
                <c:pt idx="43">
                  <c:v>32</c:v>
                </c:pt>
                <c:pt idx="44">
                  <c:v>36</c:v>
                </c:pt>
                <c:pt idx="45">
                  <c:v>9</c:v>
                </c:pt>
                <c:pt idx="46">
                  <c:v>16</c:v>
                </c:pt>
                <c:pt idx="47">
                  <c:v>3</c:v>
                </c:pt>
                <c:pt idx="48">
                  <c:v>21</c:v>
                </c:pt>
                <c:pt idx="49">
                  <c:v>17</c:v>
                </c:pt>
                <c:pt idx="50">
                  <c:v>24</c:v>
                </c:pt>
                <c:pt idx="51">
                  <c:v>18</c:v>
                </c:pt>
                <c:pt idx="52">
                  <c:v>3</c:v>
                </c:pt>
                <c:pt idx="53">
                  <c:v>28</c:v>
                </c:pt>
                <c:pt idx="54">
                  <c:v>14</c:v>
                </c:pt>
                <c:pt idx="55">
                  <c:v>21</c:v>
                </c:pt>
                <c:pt idx="56">
                  <c:v>18</c:v>
                </c:pt>
                <c:pt idx="57">
                  <c:v>21</c:v>
                </c:pt>
                <c:pt idx="58">
                  <c:v>3</c:v>
                </c:pt>
                <c:pt idx="59">
                  <c:v>24</c:v>
                </c:pt>
                <c:pt idx="60">
                  <c:v>21</c:v>
                </c:pt>
                <c:pt idx="61">
                  <c:v>17</c:v>
                </c:pt>
                <c:pt idx="62">
                  <c:v>11</c:v>
                </c:pt>
                <c:pt idx="63">
                  <c:v>28</c:v>
                </c:pt>
                <c:pt idx="64">
                  <c:v>22</c:v>
                </c:pt>
                <c:pt idx="65">
                  <c:v>14</c:v>
                </c:pt>
                <c:pt idx="66">
                  <c:v>7</c:v>
                </c:pt>
                <c:pt idx="67">
                  <c:v>14</c:v>
                </c:pt>
                <c:pt idx="68">
                  <c:v>18</c:v>
                </c:pt>
                <c:pt idx="69">
                  <c:v>14</c:v>
                </c:pt>
                <c:pt idx="70">
                  <c:v>17</c:v>
                </c:pt>
                <c:pt idx="71">
                  <c:v>14</c:v>
                </c:pt>
                <c:pt idx="72">
                  <c:v>15</c:v>
                </c:pt>
                <c:pt idx="73">
                  <c:v>17</c:v>
                </c:pt>
                <c:pt idx="74">
                  <c:v>28</c:v>
                </c:pt>
                <c:pt idx="75">
                  <c:v>2</c:v>
                </c:pt>
                <c:pt idx="76">
                  <c:v>4</c:v>
                </c:pt>
                <c:pt idx="77">
                  <c:v>29</c:v>
                </c:pt>
                <c:pt idx="78">
                  <c:v>21</c:v>
                </c:pt>
                <c:pt idx="79">
                  <c:v>21</c:v>
                </c:pt>
                <c:pt idx="80">
                  <c:v>28</c:v>
                </c:pt>
                <c:pt idx="81">
                  <c:v>7</c:v>
                </c:pt>
                <c:pt idx="82">
                  <c:v>7</c:v>
                </c:pt>
                <c:pt idx="83">
                  <c:v>14</c:v>
                </c:pt>
                <c:pt idx="84">
                  <c:v>7</c:v>
                </c:pt>
                <c:pt idx="85">
                  <c:v>1</c:v>
                </c:pt>
                <c:pt idx="86">
                  <c:v>18</c:v>
                </c:pt>
              </c:numCache>
            </c:numRef>
          </c:xVal>
          <c:yVal>
            <c:numRef>
              <c:f>'Albopictus PCR'!$AQ$6:$AQ$92</c:f>
              <c:numCache>
                <c:formatCode>General</c:formatCode>
                <c:ptCount val="87"/>
                <c:pt idx="0">
                  <c:v>5.718170236417075</c:v>
                </c:pt>
                <c:pt idx="1">
                  <c:v>7.7414339639730825</c:v>
                </c:pt>
                <c:pt idx="2">
                  <c:v>3.2519325164113235</c:v>
                </c:pt>
                <c:pt idx="3">
                  <c:v>4.9111080483824088</c:v>
                </c:pt>
                <c:pt idx="4">
                  <c:v>6.5253325128373367</c:v>
                </c:pt>
                <c:pt idx="5">
                  <c:v>6.3005041811589102</c:v>
                </c:pt>
                <c:pt idx="6">
                  <c:v>7.2759237731076478</c:v>
                </c:pt>
                <c:pt idx="7">
                  <c:v>7.4961835147411868</c:v>
                </c:pt>
                <c:pt idx="8">
                  <c:v>6.9808266134473271</c:v>
                </c:pt>
                <c:pt idx="9">
                  <c:v>6.7325698546571457</c:v>
                </c:pt>
                <c:pt idx="10">
                  <c:v>7.2142794282405331</c:v>
                </c:pt>
                <c:pt idx="11">
                  <c:v>7.6515435504116702</c:v>
                </c:pt>
                <c:pt idx="12">
                  <c:v>6.8419166868763872</c:v>
                </c:pt>
                <c:pt idx="13">
                  <c:v>7.3317385407012585</c:v>
                </c:pt>
                <c:pt idx="14">
                  <c:v>8.0274393119239598</c:v>
                </c:pt>
                <c:pt idx="15">
                  <c:v>5.9181729801431446</c:v>
                </c:pt>
                <c:pt idx="16">
                  <c:v>7.7884808941081207</c:v>
                </c:pt>
                <c:pt idx="17">
                  <c:v>8.1046100074548661</c:v>
                </c:pt>
                <c:pt idx="18">
                  <c:v>7.96680557829667</c:v>
                </c:pt>
                <c:pt idx="19">
                  <c:v>7.8371804643525094</c:v>
                </c:pt>
                <c:pt idx="20">
                  <c:v>7.1497947102555814</c:v>
                </c:pt>
                <c:pt idx="21">
                  <c:v>8.219568809603631</c:v>
                </c:pt>
                <c:pt idx="22">
                  <c:v>7.223791773062942</c:v>
                </c:pt>
                <c:pt idx="23">
                  <c:v>2.561276736399825</c:v>
                </c:pt>
                <c:pt idx="24">
                  <c:v>6.9392456108234359</c:v>
                </c:pt>
                <c:pt idx="25">
                  <c:v>7.5510936327336724</c:v>
                </c:pt>
                <c:pt idx="26">
                  <c:v>7.2641091563058087</c:v>
                </c:pt>
                <c:pt idx="27">
                  <c:v>5.8307252863743972</c:v>
                </c:pt>
                <c:pt idx="28">
                  <c:v>7.8012095033496296</c:v>
                </c:pt>
                <c:pt idx="29">
                  <c:v>5.7502931227494098</c:v>
                </c:pt>
                <c:pt idx="30">
                  <c:v>5.9486393463445619</c:v>
                </c:pt>
                <c:pt idx="31">
                  <c:v>6.7593157346352033</c:v>
                </c:pt>
                <c:pt idx="32">
                  <c:v>5.7331972651065692</c:v>
                </c:pt>
                <c:pt idx="33">
                  <c:v>4.300260613326599</c:v>
                </c:pt>
                <c:pt idx="34">
                  <c:v>6.9483650342381562</c:v>
                </c:pt>
                <c:pt idx="35">
                  <c:v>7.6820818688352643</c:v>
                </c:pt>
                <c:pt idx="36">
                  <c:v>7.7844475351794333</c:v>
                </c:pt>
                <c:pt idx="37">
                  <c:v>8.0157326860641405</c:v>
                </c:pt>
                <c:pt idx="38">
                  <c:v>8.1695980291208983</c:v>
                </c:pt>
                <c:pt idx="39">
                  <c:v>7.5738934297406777</c:v>
                </c:pt>
                <c:pt idx="40">
                  <c:v>6.7213802279845138</c:v>
                </c:pt>
                <c:pt idx="41">
                  <c:v>5.5038573877449251</c:v>
                </c:pt>
                <c:pt idx="42">
                  <c:v>6.4700295444268336</c:v>
                </c:pt>
                <c:pt idx="43">
                  <c:v>7.9809831798262802</c:v>
                </c:pt>
                <c:pt idx="44">
                  <c:v>5.5789427662244995</c:v>
                </c:pt>
                <c:pt idx="45">
                  <c:v>5.5717065031457054</c:v>
                </c:pt>
                <c:pt idx="46">
                  <c:v>8.111830221140572</c:v>
                </c:pt>
                <c:pt idx="47">
                  <c:v>3.5628588630728451</c:v>
                </c:pt>
                <c:pt idx="48">
                  <c:v>2.9616351034174793</c:v>
                </c:pt>
                <c:pt idx="49">
                  <c:v>7.6782970783075664</c:v>
                </c:pt>
                <c:pt idx="50">
                  <c:v>8.1571907304079723</c:v>
                </c:pt>
                <c:pt idx="51">
                  <c:v>6.6316040630918813</c:v>
                </c:pt>
                <c:pt idx="52">
                  <c:v>5.876646148609483</c:v>
                </c:pt>
                <c:pt idx="53">
                  <c:v>5.7182209259821439</c:v>
                </c:pt>
                <c:pt idx="54">
                  <c:v>5.7633373812964841</c:v>
                </c:pt>
                <c:pt idx="55">
                  <c:v>5.1833780478435827</c:v>
                </c:pt>
                <c:pt idx="56">
                  <c:v>4.6325413083978653</c:v>
                </c:pt>
                <c:pt idx="57">
                  <c:v>2.4764272770238129</c:v>
                </c:pt>
                <c:pt idx="58">
                  <c:v>4.3197887291493053</c:v>
                </c:pt>
                <c:pt idx="59">
                  <c:v>7.9822685186905744</c:v>
                </c:pt>
                <c:pt idx="60">
                  <c:v>4.7247557865378278</c:v>
                </c:pt>
                <c:pt idx="61">
                  <c:v>7.0995839670315029</c:v>
                </c:pt>
                <c:pt idx="62">
                  <c:v>7.279466173307906</c:v>
                </c:pt>
                <c:pt idx="63">
                  <c:v>8.2033157937601011</c:v>
                </c:pt>
                <c:pt idx="64">
                  <c:v>7.6892049357409142</c:v>
                </c:pt>
                <c:pt idx="65">
                  <c:v>4.9314009103004519</c:v>
                </c:pt>
                <c:pt idx="66">
                  <c:v>6.9463264782609819</c:v>
                </c:pt>
                <c:pt idx="67">
                  <c:v>7.5496934133454783</c:v>
                </c:pt>
                <c:pt idx="68">
                  <c:v>8.1835232268594247</c:v>
                </c:pt>
                <c:pt idx="69">
                  <c:v>7.5207127378106371</c:v>
                </c:pt>
                <c:pt idx="70">
                  <c:v>7.2294207264933057</c:v>
                </c:pt>
                <c:pt idx="71">
                  <c:v>6.6838365199355119</c:v>
                </c:pt>
                <c:pt idx="72">
                  <c:v>7.7059927845718965</c:v>
                </c:pt>
                <c:pt idx="73">
                  <c:v>7.9872545624192872</c:v>
                </c:pt>
                <c:pt idx="74">
                  <c:v>7.7765362950862924</c:v>
                </c:pt>
                <c:pt idx="75">
                  <c:v>5.1311244293895752</c:v>
                </c:pt>
                <c:pt idx="76">
                  <c:v>3.5803375400930908</c:v>
                </c:pt>
                <c:pt idx="77">
                  <c:v>8.1001498950521515</c:v>
                </c:pt>
                <c:pt idx="78">
                  <c:v>8.364228203066876</c:v>
                </c:pt>
                <c:pt idx="79">
                  <c:v>5.6440937744581383</c:v>
                </c:pt>
                <c:pt idx="80">
                  <c:v>8.5161081406320562</c:v>
                </c:pt>
                <c:pt idx="81">
                  <c:v>6.6291913775750517</c:v>
                </c:pt>
                <c:pt idx="82">
                  <c:v>7.4238780086447802</c:v>
                </c:pt>
                <c:pt idx="83">
                  <c:v>7.112078569691155</c:v>
                </c:pt>
                <c:pt idx="84">
                  <c:v>7.0151375208796951</c:v>
                </c:pt>
                <c:pt idx="85">
                  <c:v>2.1832214278288062</c:v>
                </c:pt>
                <c:pt idx="86">
                  <c:v>5.4196286660082098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6B7-46DC-8239-740C2DA95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26536"/>
        <c:axId val="557130472"/>
      </c:scatterChart>
      <c:valAx>
        <c:axId val="55712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30472"/>
        <c:crosses val="autoZero"/>
        <c:crossBetween val="midCat"/>
      </c:valAx>
      <c:valAx>
        <c:axId val="55713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2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Infected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1.77668416447944E-2"/>
                  <c:y val="-0.26148549139690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'Aegypti PCR'!$Z$6:$Z$99</c:f>
              <c:numCache>
                <c:formatCode>General</c:formatCode>
                <c:ptCount val="9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18</c:v>
                </c:pt>
                <c:pt idx="59">
                  <c:v>18</c:v>
                </c:pt>
                <c:pt idx="60">
                  <c:v>21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1</c:v>
                </c:pt>
                <c:pt idx="69">
                  <c:v>4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14</c:v>
                </c:pt>
                <c:pt idx="87">
                  <c:v>15</c:v>
                </c:pt>
                <c:pt idx="88">
                  <c:v>23</c:v>
                </c:pt>
                <c:pt idx="89">
                  <c:v>7</c:v>
                </c:pt>
                <c:pt idx="90">
                  <c:v>14</c:v>
                </c:pt>
                <c:pt idx="91">
                  <c:v>14</c:v>
                </c:pt>
                <c:pt idx="92">
                  <c:v>15</c:v>
                </c:pt>
                <c:pt idx="93">
                  <c:v>15</c:v>
                </c:pt>
              </c:numCache>
            </c:numRef>
          </c:xVal>
          <c:yVal>
            <c:numRef>
              <c:f>'Aegypti PCR'!$T$6:$T$99</c:f>
              <c:numCache>
                <c:formatCode>General</c:formatCode>
                <c:ptCount val="94"/>
                <c:pt idx="0">
                  <c:v>7.1553360374650614</c:v>
                </c:pt>
                <c:pt idx="1">
                  <c:v>4.9237619608287</c:v>
                </c:pt>
                <c:pt idx="2">
                  <c:v>7.0170333392987807</c:v>
                </c:pt>
                <c:pt idx="3">
                  <c:v>6.9258275746247424</c:v>
                </c:pt>
                <c:pt idx="4">
                  <c:v>6.6127838567197355</c:v>
                </c:pt>
                <c:pt idx="5">
                  <c:v>3.0969100130080562</c:v>
                </c:pt>
                <c:pt idx="6">
                  <c:v>6.2552725051033065</c:v>
                </c:pt>
                <c:pt idx="7">
                  <c:v>6.7817553746524686</c:v>
                </c:pt>
                <c:pt idx="8">
                  <c:v>5.9576072870600951</c:v>
                </c:pt>
                <c:pt idx="9">
                  <c:v>5.6404814369704219</c:v>
                </c:pt>
                <c:pt idx="10">
                  <c:v>6.6972293427597176</c:v>
                </c:pt>
                <c:pt idx="11">
                  <c:v>7.012837224705172</c:v>
                </c:pt>
                <c:pt idx="12">
                  <c:v>6.5263392773898437</c:v>
                </c:pt>
                <c:pt idx="13">
                  <c:v>6.0293837776852097</c:v>
                </c:pt>
                <c:pt idx="14">
                  <c:v>6.8469553250198238</c:v>
                </c:pt>
                <c:pt idx="15">
                  <c:v>6.585460729508501</c:v>
                </c:pt>
                <c:pt idx="16">
                  <c:v>6.859138297294531</c:v>
                </c:pt>
                <c:pt idx="17">
                  <c:v>6.4771212547196626</c:v>
                </c:pt>
                <c:pt idx="18">
                  <c:v>7.1139433523068369</c:v>
                </c:pt>
                <c:pt idx="19">
                  <c:v>6.8299466959416355</c:v>
                </c:pt>
                <c:pt idx="20">
                  <c:v>7.20682587603185</c:v>
                </c:pt>
                <c:pt idx="21">
                  <c:v>6.1553360374650614</c:v>
                </c:pt>
                <c:pt idx="22">
                  <c:v>6.6242820958356683</c:v>
                </c:pt>
                <c:pt idx="23">
                  <c:v>7.6211762817750355</c:v>
                </c:pt>
                <c:pt idx="24">
                  <c:v>5.6589648426644352</c:v>
                </c:pt>
                <c:pt idx="25">
                  <c:v>6.8115750058705933</c:v>
                </c:pt>
                <c:pt idx="26">
                  <c:v>6.1238516409670858</c:v>
                </c:pt>
                <c:pt idx="27">
                  <c:v>7.0043213737826422</c:v>
                </c:pt>
                <c:pt idx="28">
                  <c:v>7.5599066250361124</c:v>
                </c:pt>
                <c:pt idx="29">
                  <c:v>6.8645110810583923</c:v>
                </c:pt>
                <c:pt idx="30">
                  <c:v>7.1367205671564067</c:v>
                </c:pt>
                <c:pt idx="31">
                  <c:v>7.5390760987927763</c:v>
                </c:pt>
                <c:pt idx="32">
                  <c:v>6.5327543789924976</c:v>
                </c:pt>
                <c:pt idx="33">
                  <c:v>7.510545010206612</c:v>
                </c:pt>
                <c:pt idx="34">
                  <c:v>7.6522463410033232</c:v>
                </c:pt>
                <c:pt idx="35">
                  <c:v>6.9960736544852757</c:v>
                </c:pt>
                <c:pt idx="36">
                  <c:v>6.9965116721541785</c:v>
                </c:pt>
                <c:pt idx="37">
                  <c:v>7.5145477526602864</c:v>
                </c:pt>
                <c:pt idx="38">
                  <c:v>7.6444385894678382</c:v>
                </c:pt>
                <c:pt idx="39">
                  <c:v>3.1702617153949575</c:v>
                </c:pt>
                <c:pt idx="40">
                  <c:v>6.9656719712201065</c:v>
                </c:pt>
                <c:pt idx="41">
                  <c:v>7.4742162640762553</c:v>
                </c:pt>
                <c:pt idx="42">
                  <c:v>6.1205739312058496</c:v>
                </c:pt>
                <c:pt idx="43">
                  <c:v>7.53655844257153</c:v>
                </c:pt>
                <c:pt idx="44">
                  <c:v>7.6627578316815743</c:v>
                </c:pt>
                <c:pt idx="45">
                  <c:v>6.4471580313422194</c:v>
                </c:pt>
                <c:pt idx="46">
                  <c:v>6.4828735836087539</c:v>
                </c:pt>
                <c:pt idx="47">
                  <c:v>7.0170333392987807</c:v>
                </c:pt>
                <c:pt idx="48">
                  <c:v>6.5763413502057926</c:v>
                </c:pt>
                <c:pt idx="49">
                  <c:v>6.2304489213782741</c:v>
                </c:pt>
                <c:pt idx="50">
                  <c:v>6.6434526764861879</c:v>
                </c:pt>
                <c:pt idx="51">
                  <c:v>6.2355284469075487</c:v>
                </c:pt>
                <c:pt idx="52">
                  <c:v>6.7160033436347994</c:v>
                </c:pt>
                <c:pt idx="53">
                  <c:v>6.8142475957319206</c:v>
                </c:pt>
                <c:pt idx="54">
                  <c:v>6.540329474790874</c:v>
                </c:pt>
                <c:pt idx="55">
                  <c:v>6.4969296480732153</c:v>
                </c:pt>
                <c:pt idx="56">
                  <c:v>6.4578818967339924</c:v>
                </c:pt>
                <c:pt idx="57">
                  <c:v>6.3263358609287517</c:v>
                </c:pt>
                <c:pt idx="58">
                  <c:v>7.0827853703164498</c:v>
                </c:pt>
                <c:pt idx="59">
                  <c:v>6.4548448600085102</c:v>
                </c:pt>
                <c:pt idx="60">
                  <c:v>6.5693739096150461</c:v>
                </c:pt>
                <c:pt idx="61">
                  <c:v>6.4548448600085102</c:v>
                </c:pt>
                <c:pt idx="62">
                  <c:v>6.7315887651867383</c:v>
                </c:pt>
                <c:pt idx="63">
                  <c:v>6.5415792439465807</c:v>
                </c:pt>
                <c:pt idx="64">
                  <c:v>6.6414741105040997</c:v>
                </c:pt>
                <c:pt idx="65">
                  <c:v>6.8893017025063106</c:v>
                </c:pt>
                <c:pt idx="66">
                  <c:v>6.702430536445525</c:v>
                </c:pt>
                <c:pt idx="67">
                  <c:v>7.1303337684950066</c:v>
                </c:pt>
                <c:pt idx="68">
                  <c:v>6.4345689040341991</c:v>
                </c:pt>
                <c:pt idx="69">
                  <c:v>4.4698220159781634</c:v>
                </c:pt>
                <c:pt idx="70">
                  <c:v>6.0934216851622347</c:v>
                </c:pt>
                <c:pt idx="71">
                  <c:v>4.1492191126553797</c:v>
                </c:pt>
                <c:pt idx="72">
                  <c:v>6</c:v>
                </c:pt>
                <c:pt idx="73">
                  <c:v>5.8273692730538249</c:v>
                </c:pt>
                <c:pt idx="74">
                  <c:v>6.1875207208364627</c:v>
                </c:pt>
                <c:pt idx="75">
                  <c:v>5.1072099696478688</c:v>
                </c:pt>
                <c:pt idx="76">
                  <c:v>6.2355284469075487</c:v>
                </c:pt>
                <c:pt idx="77">
                  <c:v>4.8115750058705933</c:v>
                </c:pt>
                <c:pt idx="78">
                  <c:v>6.419955748489758</c:v>
                </c:pt>
                <c:pt idx="79">
                  <c:v>4.8234742291703014</c:v>
                </c:pt>
                <c:pt idx="80">
                  <c:v>5.3201462861110542</c:v>
                </c:pt>
                <c:pt idx="81">
                  <c:v>5.3654879848908994</c:v>
                </c:pt>
                <c:pt idx="82">
                  <c:v>4.0827853703164498</c:v>
                </c:pt>
                <c:pt idx="83">
                  <c:v>5.802773725291976</c:v>
                </c:pt>
                <c:pt idx="84">
                  <c:v>6.2278867046136739</c:v>
                </c:pt>
                <c:pt idx="85">
                  <c:v>4.008600171761918</c:v>
                </c:pt>
                <c:pt idx="86">
                  <c:v>3.1038037209559568</c:v>
                </c:pt>
                <c:pt idx="87">
                  <c:v>2.9671912215449932</c:v>
                </c:pt>
                <c:pt idx="88">
                  <c:v>2.7378578920556103</c:v>
                </c:pt>
                <c:pt idx="89">
                  <c:v>2.1057825978144415</c:v>
                </c:pt>
                <c:pt idx="90">
                  <c:v>2.5589436497673272</c:v>
                </c:pt>
                <c:pt idx="91">
                  <c:v>2.5917622582702053</c:v>
                </c:pt>
                <c:pt idx="92">
                  <c:v>2.3840647445045464</c:v>
                </c:pt>
                <c:pt idx="93">
                  <c:v>2.3156198312039953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3-4023-883C-BC430F4F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022880"/>
        <c:axId val="645023864"/>
      </c:scatterChart>
      <c:valAx>
        <c:axId val="64502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23864"/>
        <c:crosses val="autoZero"/>
        <c:crossBetween val="midCat"/>
      </c:valAx>
      <c:valAx>
        <c:axId val="64502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2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Disseminated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3.8779527559055118E-3"/>
                  <c:y val="-0.19613772236803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'Aegypti PCR'!$AL$6:$AL$73</c:f>
              <c:numCache>
                <c:formatCode>General</c:formatCode>
                <c:ptCount val="6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18</c:v>
                </c:pt>
                <c:pt idx="59">
                  <c:v>18</c:v>
                </c:pt>
                <c:pt idx="60">
                  <c:v>21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</c:numCache>
            </c:numRef>
          </c:xVal>
          <c:yVal>
            <c:numRef>
              <c:f>'Aegypti PCR'!$AF$6:$AF$73</c:f>
              <c:numCache>
                <c:formatCode>General</c:formatCode>
                <c:ptCount val="68"/>
                <c:pt idx="0">
                  <c:v>7.1553360374650614</c:v>
                </c:pt>
                <c:pt idx="1">
                  <c:v>4.9237619608287</c:v>
                </c:pt>
                <c:pt idx="2">
                  <c:v>7.0170333392987807</c:v>
                </c:pt>
                <c:pt idx="3">
                  <c:v>6.9258275746247424</c:v>
                </c:pt>
                <c:pt idx="4">
                  <c:v>6.6127838567197355</c:v>
                </c:pt>
                <c:pt idx="5">
                  <c:v>3.0969100130080562</c:v>
                </c:pt>
                <c:pt idx="6">
                  <c:v>6.2552725051033065</c:v>
                </c:pt>
                <c:pt idx="7">
                  <c:v>6.7817553746524686</c:v>
                </c:pt>
                <c:pt idx="8">
                  <c:v>5.9576072870600951</c:v>
                </c:pt>
                <c:pt idx="9">
                  <c:v>5.6404814369704219</c:v>
                </c:pt>
                <c:pt idx="10">
                  <c:v>6.6972293427597176</c:v>
                </c:pt>
                <c:pt idx="11">
                  <c:v>7.012837224705172</c:v>
                </c:pt>
                <c:pt idx="12">
                  <c:v>6.5263392773898437</c:v>
                </c:pt>
                <c:pt idx="13">
                  <c:v>6.0293837776852097</c:v>
                </c:pt>
                <c:pt idx="14">
                  <c:v>6.8469553250198238</c:v>
                </c:pt>
                <c:pt idx="15">
                  <c:v>6.585460729508501</c:v>
                </c:pt>
                <c:pt idx="16">
                  <c:v>6.859138297294531</c:v>
                </c:pt>
                <c:pt idx="17">
                  <c:v>6.4771212547196626</c:v>
                </c:pt>
                <c:pt idx="18">
                  <c:v>7.1139433523068369</c:v>
                </c:pt>
                <c:pt idx="19">
                  <c:v>6.8299466959416355</c:v>
                </c:pt>
                <c:pt idx="20">
                  <c:v>7.20682587603185</c:v>
                </c:pt>
                <c:pt idx="21">
                  <c:v>6.1553360374650614</c:v>
                </c:pt>
                <c:pt idx="22">
                  <c:v>6.6242820958356683</c:v>
                </c:pt>
                <c:pt idx="23">
                  <c:v>7.6211762817750355</c:v>
                </c:pt>
                <c:pt idx="24">
                  <c:v>5.6589648426644352</c:v>
                </c:pt>
                <c:pt idx="25">
                  <c:v>6.8115750058705933</c:v>
                </c:pt>
                <c:pt idx="26">
                  <c:v>6.1238516409670858</c:v>
                </c:pt>
                <c:pt idx="27">
                  <c:v>7.0043213737826422</c:v>
                </c:pt>
                <c:pt idx="28">
                  <c:v>7.5599066250361124</c:v>
                </c:pt>
                <c:pt idx="29">
                  <c:v>6.8645110810583923</c:v>
                </c:pt>
                <c:pt idx="30">
                  <c:v>7.1367205671564067</c:v>
                </c:pt>
                <c:pt idx="31">
                  <c:v>7.5390760987927763</c:v>
                </c:pt>
                <c:pt idx="32">
                  <c:v>6.5327543789924976</c:v>
                </c:pt>
                <c:pt idx="33">
                  <c:v>7.510545010206612</c:v>
                </c:pt>
                <c:pt idx="34">
                  <c:v>7.6522463410033232</c:v>
                </c:pt>
                <c:pt idx="35">
                  <c:v>6.9960736544852757</c:v>
                </c:pt>
                <c:pt idx="36">
                  <c:v>6.9965116721541785</c:v>
                </c:pt>
                <c:pt idx="37">
                  <c:v>7.5145477526602864</c:v>
                </c:pt>
                <c:pt idx="38">
                  <c:v>7.6444385894678382</c:v>
                </c:pt>
                <c:pt idx="39">
                  <c:v>3.1702617153949575</c:v>
                </c:pt>
                <c:pt idx="40">
                  <c:v>6.9656719712201065</c:v>
                </c:pt>
                <c:pt idx="41">
                  <c:v>7.4742162640762553</c:v>
                </c:pt>
                <c:pt idx="42">
                  <c:v>6.1205739312058496</c:v>
                </c:pt>
                <c:pt idx="43">
                  <c:v>7.53655844257153</c:v>
                </c:pt>
                <c:pt idx="44">
                  <c:v>7.6627578316815743</c:v>
                </c:pt>
                <c:pt idx="45">
                  <c:v>6.4471580313422194</c:v>
                </c:pt>
                <c:pt idx="46">
                  <c:v>6.4828735836087539</c:v>
                </c:pt>
                <c:pt idx="47">
                  <c:v>7.0170333392987807</c:v>
                </c:pt>
                <c:pt idx="48">
                  <c:v>6.5763413502057926</c:v>
                </c:pt>
                <c:pt idx="49">
                  <c:v>6.2304489213782741</c:v>
                </c:pt>
                <c:pt idx="50">
                  <c:v>6.6434526764861879</c:v>
                </c:pt>
                <c:pt idx="51">
                  <c:v>6.2355284469075487</c:v>
                </c:pt>
                <c:pt idx="52">
                  <c:v>6.7160033436347994</c:v>
                </c:pt>
                <c:pt idx="53">
                  <c:v>6.8142475957319206</c:v>
                </c:pt>
                <c:pt idx="54">
                  <c:v>6.540329474790874</c:v>
                </c:pt>
                <c:pt idx="55">
                  <c:v>6.4969296480732153</c:v>
                </c:pt>
                <c:pt idx="56">
                  <c:v>6.4578818967339924</c:v>
                </c:pt>
                <c:pt idx="57">
                  <c:v>6.3263358609287517</c:v>
                </c:pt>
                <c:pt idx="58">
                  <c:v>7.0827853703164498</c:v>
                </c:pt>
                <c:pt idx="59">
                  <c:v>6.4548448600085102</c:v>
                </c:pt>
                <c:pt idx="60">
                  <c:v>6.5693739096150461</c:v>
                </c:pt>
                <c:pt idx="61">
                  <c:v>6.4548448600085102</c:v>
                </c:pt>
                <c:pt idx="62">
                  <c:v>6.7315887651867383</c:v>
                </c:pt>
                <c:pt idx="63">
                  <c:v>6.5415792439465807</c:v>
                </c:pt>
                <c:pt idx="64">
                  <c:v>6.6414741105040997</c:v>
                </c:pt>
                <c:pt idx="65">
                  <c:v>6.8893017025063106</c:v>
                </c:pt>
                <c:pt idx="66">
                  <c:v>6.702430536445525</c:v>
                </c:pt>
                <c:pt idx="67">
                  <c:v>7.1303337684950066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C-4F8F-8A18-912AA79B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54768"/>
        <c:axId val="656956080"/>
      </c:scatterChart>
      <c:valAx>
        <c:axId val="65695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56080"/>
        <c:crosses val="autoZero"/>
        <c:crossBetween val="midCat"/>
      </c:valAx>
      <c:valAx>
        <c:axId val="6569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5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Infected + NOT Disseminated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5530839895013127E-2"/>
                  <c:y val="-0.472589311752697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'Aegypti PCR'!$AX$6:$AX$26</c:f>
              <c:numCache>
                <c:formatCode>General</c:formatCode>
                <c:ptCount val="21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15</c:v>
                </c:pt>
                <c:pt idx="10">
                  <c:v>1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23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</c:numCache>
            </c:numRef>
          </c:xVal>
          <c:yVal>
            <c:numRef>
              <c:f>'Aegypti PCR'!$AR$6:$AR$26</c:f>
              <c:numCache>
                <c:formatCode>General</c:formatCode>
                <c:ptCount val="21"/>
                <c:pt idx="0">
                  <c:v>3.1038037209559568</c:v>
                </c:pt>
                <c:pt idx="1">
                  <c:v>6.2355284469075487</c:v>
                </c:pt>
                <c:pt idx="2">
                  <c:v>4.8115750058705933</c:v>
                </c:pt>
                <c:pt idx="3">
                  <c:v>5.802773725291976</c:v>
                </c:pt>
                <c:pt idx="4">
                  <c:v>6.2278867046136739</c:v>
                </c:pt>
                <c:pt idx="5">
                  <c:v>6.0934216851622347</c:v>
                </c:pt>
                <c:pt idx="6">
                  <c:v>6.419955748489758</c:v>
                </c:pt>
                <c:pt idx="7">
                  <c:v>4.1492191126553797</c:v>
                </c:pt>
                <c:pt idx="8">
                  <c:v>4.4698220159781634</c:v>
                </c:pt>
                <c:pt idx="9">
                  <c:v>2.9671912215449932</c:v>
                </c:pt>
                <c:pt idx="10">
                  <c:v>6.4345689040341991</c:v>
                </c:pt>
                <c:pt idx="11">
                  <c:v>5.3201462861110542</c:v>
                </c:pt>
                <c:pt idx="12">
                  <c:v>6</c:v>
                </c:pt>
                <c:pt idx="13">
                  <c:v>5.8273692730538249</c:v>
                </c:pt>
                <c:pt idx="14">
                  <c:v>5.3654879848908994</c:v>
                </c:pt>
                <c:pt idx="15">
                  <c:v>4.008600171761918</c:v>
                </c:pt>
                <c:pt idx="16">
                  <c:v>4.8234742291703014</c:v>
                </c:pt>
                <c:pt idx="17">
                  <c:v>2.7378578920556103</c:v>
                </c:pt>
                <c:pt idx="18">
                  <c:v>6.1875207208364627</c:v>
                </c:pt>
                <c:pt idx="19">
                  <c:v>4.0827853703164498</c:v>
                </c:pt>
                <c:pt idx="20">
                  <c:v>5.1072099696478688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F-4143-8051-93DF7046B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36488"/>
        <c:axId val="657531568"/>
      </c:scatterChart>
      <c:valAx>
        <c:axId val="65753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31568"/>
        <c:crosses val="autoZero"/>
        <c:crossBetween val="midCat"/>
      </c:valAx>
      <c:valAx>
        <c:axId val="6575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'Albopictus Blood'!$AD$5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Blood'!$AE$5:$AN$5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A-4B87-A451-7FB152FC516A}"/>
            </c:ext>
          </c:extLst>
        </c:ser>
        <c:ser>
          <c:idx val="0"/>
          <c:order val="1"/>
          <c:tx>
            <c:strRef>
              <c:f>'Albopictus Blood'!$AD$6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Blood'!$AE$6:$AN$6</c:f>
              <c:numCache>
                <c:formatCode>General</c:formatCode>
                <c:ptCount val="10"/>
                <c:pt idx="0">
                  <c:v>3</c:v>
                </c:pt>
                <c:pt idx="1">
                  <c:v>1.5</c:v>
                </c:pt>
                <c:pt idx="2">
                  <c:v>1.6666666666666667</c:v>
                </c:pt>
                <c:pt idx="3">
                  <c:v>1.25</c:v>
                </c:pt>
                <c:pt idx="4">
                  <c:v>1</c:v>
                </c:pt>
                <c:pt idx="5">
                  <c:v>1</c:v>
                </c:pt>
                <c:pt idx="6">
                  <c:v>1.1428571428571428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1A-4B87-A451-7FB152FC516A}"/>
            </c:ext>
          </c:extLst>
        </c:ser>
        <c:ser>
          <c:idx val="2"/>
          <c:order val="2"/>
          <c:tx>
            <c:strRef>
              <c:f>'Albopictus Blood'!$AD$7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Blood'!$AE$7:$AN$7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1A-4B87-A451-7FB152FC516A}"/>
            </c:ext>
          </c:extLst>
        </c:ser>
        <c:ser>
          <c:idx val="3"/>
          <c:order val="3"/>
          <c:tx>
            <c:strRef>
              <c:f>'Albopictus Blood'!$AD$8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Blood'!$AE$8:$AN$8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1A-4B87-A451-7FB152FC516A}"/>
            </c:ext>
          </c:extLst>
        </c:ser>
        <c:ser>
          <c:idx val="4"/>
          <c:order val="4"/>
          <c:tx>
            <c:strRef>
              <c:f>'Albopictus Blood'!$AD$9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Blood'!$AE$9:$AN$9</c:f>
              <c:numCache>
                <c:formatCode>General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2.3333333333333335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1A-4B87-A451-7FB152FC516A}"/>
            </c:ext>
          </c:extLst>
        </c:ser>
        <c:ser>
          <c:idx val="5"/>
          <c:order val="5"/>
          <c:tx>
            <c:strRef>
              <c:f>'Albopictus Blood'!$AD$10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Blood'!$AE$10:$AN$10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1A-4B87-A451-7FB152FC516A}"/>
            </c:ext>
          </c:extLst>
        </c:ser>
        <c:ser>
          <c:idx val="6"/>
          <c:order val="6"/>
          <c:tx>
            <c:strRef>
              <c:f>'Albopictus Blood'!$AD$11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Blood'!$AE$11:$AN$11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1.3333333333333333</c:v>
                </c:pt>
                <c:pt idx="3">
                  <c:v>1.25</c:v>
                </c:pt>
                <c:pt idx="4">
                  <c:v>1.25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41A-4B87-A451-7FB152FC516A}"/>
            </c:ext>
          </c:extLst>
        </c:ser>
        <c:ser>
          <c:idx val="7"/>
          <c:order val="7"/>
          <c:tx>
            <c:strRef>
              <c:f>'Albopictus Blood'!$AD$12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Blood'!$AE$12:$AN$12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41A-4B87-A451-7FB152FC516A}"/>
            </c:ext>
          </c:extLst>
        </c:ser>
        <c:ser>
          <c:idx val="8"/>
          <c:order val="8"/>
          <c:tx>
            <c:strRef>
              <c:f>'Albopictus Blood'!$AD$13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Blood'!$AE$13:$AN$13</c:f>
              <c:numCache>
                <c:formatCode>General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41A-4B87-A451-7FB152FC516A}"/>
            </c:ext>
          </c:extLst>
        </c:ser>
        <c:ser>
          <c:idx val="9"/>
          <c:order val="9"/>
          <c:tx>
            <c:strRef>
              <c:f>'Albopictus Blood'!$AD$14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Blood'!$AE$14:$AN$14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41A-4B87-A451-7FB152FC516A}"/>
            </c:ext>
          </c:extLst>
        </c:ser>
        <c:ser>
          <c:idx val="10"/>
          <c:order val="10"/>
          <c:tx>
            <c:strRef>
              <c:f>'Albopictus Blood'!$AD$15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Blood'!$AE$15:$AN$15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1.1666666666666667</c:v>
                </c:pt>
                <c:pt idx="6">
                  <c:v>1.2857142857142858</c:v>
                </c:pt>
                <c:pt idx="7">
                  <c:v>1.2857142857142858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41A-4B87-A451-7FB152FC516A}"/>
            </c:ext>
          </c:extLst>
        </c:ser>
        <c:ser>
          <c:idx val="11"/>
          <c:order val="11"/>
          <c:tx>
            <c:strRef>
              <c:f>'Albopictus Blood'!$AD$16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Blood'!$AE$16:$AN$16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41A-4B87-A451-7FB152FC516A}"/>
            </c:ext>
          </c:extLst>
        </c:ser>
        <c:ser>
          <c:idx val="12"/>
          <c:order val="12"/>
          <c:tx>
            <c:strRef>
              <c:f>'Albopictus Blood'!$AD$17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Blood'!$AE$17:$AN$17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41A-4B87-A451-7FB152FC516A}"/>
            </c:ext>
          </c:extLst>
        </c:ser>
        <c:ser>
          <c:idx val="13"/>
          <c:order val="13"/>
          <c:tx>
            <c:strRef>
              <c:f>'Albopictus Blood'!$AD$18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Blood'!$AE$18:$AN$18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1.3333333333333333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41A-4B87-A451-7FB152FC516A}"/>
            </c:ext>
          </c:extLst>
        </c:ser>
        <c:ser>
          <c:idx val="14"/>
          <c:order val="14"/>
          <c:tx>
            <c:strRef>
              <c:f>'Albopictus Blood'!$AD$19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Blood'!$AE$19:$AN$19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41A-4B87-A451-7FB152FC516A}"/>
            </c:ext>
          </c:extLst>
        </c:ser>
        <c:ser>
          <c:idx val="15"/>
          <c:order val="15"/>
          <c:tx>
            <c:strRef>
              <c:f>'Albopictus Blood'!$AD$20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Blood'!$AE$20:$AN$20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0.875</c:v>
                </c:pt>
                <c:pt idx="8">
                  <c:v>0.77777777777777779</c:v>
                </c:pt>
                <c:pt idx="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41A-4B87-A451-7FB152FC516A}"/>
            </c:ext>
          </c:extLst>
        </c:ser>
        <c:ser>
          <c:idx val="16"/>
          <c:order val="16"/>
          <c:tx>
            <c:strRef>
              <c:f>'Albopictus Blood'!$AD$21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Blood'!$AE$21:$AN$21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41A-4B87-A451-7FB152FC516A}"/>
            </c:ext>
          </c:extLst>
        </c:ser>
        <c:ser>
          <c:idx val="17"/>
          <c:order val="17"/>
          <c:tx>
            <c:strRef>
              <c:f>'Albopictus Blood'!$AD$22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Blood'!$AE$22:$AN$22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41A-4B87-A451-7FB152FC516A}"/>
            </c:ext>
          </c:extLst>
        </c:ser>
        <c:ser>
          <c:idx val="18"/>
          <c:order val="18"/>
          <c:tx>
            <c:strRef>
              <c:f>'Albopictus Blood'!$AD$23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Blood'!$AE$23:$AN$23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0.4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41A-4B87-A451-7FB152FC516A}"/>
            </c:ext>
          </c:extLst>
        </c:ser>
        <c:ser>
          <c:idx val="19"/>
          <c:order val="19"/>
          <c:tx>
            <c:strRef>
              <c:f>'Albopictus Blood'!$AD$24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Blood'!$AE$24:$AN$24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41A-4B87-A451-7FB152FC516A}"/>
            </c:ext>
          </c:extLst>
        </c:ser>
        <c:ser>
          <c:idx val="20"/>
          <c:order val="20"/>
          <c:tx>
            <c:strRef>
              <c:f>'Albopictus Blood'!$AD$25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Blood'!$AE$25:$AN$25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41A-4B87-A451-7FB152FC516A}"/>
            </c:ext>
          </c:extLst>
        </c:ser>
        <c:ser>
          <c:idx val="21"/>
          <c:order val="21"/>
          <c:tx>
            <c:strRef>
              <c:f>'Albopictus Blood'!$AD$26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Blood'!$AE$26:$AN$26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0.83333333333333337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41A-4B87-A451-7FB152FC516A}"/>
            </c:ext>
          </c:extLst>
        </c:ser>
        <c:ser>
          <c:idx val="22"/>
          <c:order val="22"/>
          <c:tx>
            <c:strRef>
              <c:f>'Albopictus Blood'!$AD$27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Blood'!$AE$27:$AN$27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41A-4B87-A451-7FB152FC516A}"/>
            </c:ext>
          </c:extLst>
        </c:ser>
        <c:ser>
          <c:idx val="23"/>
          <c:order val="23"/>
          <c:tx>
            <c:strRef>
              <c:f>'Albopictus Blood'!$AD$28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Blood'!$AE$28:$AN$28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41A-4B87-A451-7FB152FC516A}"/>
            </c:ext>
          </c:extLst>
        </c:ser>
        <c:ser>
          <c:idx val="24"/>
          <c:order val="24"/>
          <c:tx>
            <c:strRef>
              <c:f>'Albopictus Blood'!$AD$29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Blood'!$AE$29:$AN$29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41A-4B87-A451-7FB152FC516A}"/>
            </c:ext>
          </c:extLst>
        </c:ser>
        <c:ser>
          <c:idx val="25"/>
          <c:order val="25"/>
          <c:tx>
            <c:strRef>
              <c:f>'Albopictus Blood'!$AD$30</c:f>
              <c:strCache>
                <c:ptCount val="1"/>
                <c:pt idx="0">
                  <c:v>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Blood'!$AE$30:$AN$30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41A-4B87-A451-7FB152FC516A}"/>
            </c:ext>
          </c:extLst>
        </c:ser>
        <c:ser>
          <c:idx val="26"/>
          <c:order val="26"/>
          <c:tx>
            <c:strRef>
              <c:f>'Albopictus Blood'!$AD$31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Blood'!$AE$31:$AN$31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1.3333333333333333</c:v>
                </c:pt>
                <c:pt idx="3">
                  <c:v>1.5</c:v>
                </c:pt>
                <c:pt idx="4">
                  <c:v>1.4</c:v>
                </c:pt>
                <c:pt idx="5">
                  <c:v>1.6666666666666667</c:v>
                </c:pt>
                <c:pt idx="6">
                  <c:v>1.5714285714285714</c:v>
                </c:pt>
                <c:pt idx="7">
                  <c:v>1.5714285714285714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41A-4B87-A451-7FB152FC516A}"/>
            </c:ext>
          </c:extLst>
        </c:ser>
        <c:ser>
          <c:idx val="27"/>
          <c:order val="27"/>
          <c:tx>
            <c:strRef>
              <c:f>'Albopictus Blood'!$AD$32</c:f>
              <c:strCache>
                <c:ptCount val="1"/>
                <c:pt idx="0">
                  <c:v>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Blood'!$AE$32:$AN$32</c:f>
              <c:numCache>
                <c:formatCode>General</c:formatCode>
                <c:ptCount val="10"/>
                <c:pt idx="0">
                  <c:v>3</c:v>
                </c:pt>
                <c:pt idx="1">
                  <c:v>2.5</c:v>
                </c:pt>
                <c:pt idx="2">
                  <c:v>1.6666666666666667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41A-4B87-A451-7FB152FC516A}"/>
            </c:ext>
          </c:extLst>
        </c:ser>
        <c:ser>
          <c:idx val="28"/>
          <c:order val="28"/>
          <c:tx>
            <c:strRef>
              <c:f>'Albopictus Blood'!$AD$33</c:f>
              <c:strCache>
                <c:ptCount val="1"/>
                <c:pt idx="0">
                  <c:v>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Blood'!$AE$33:$AN$33</c:f>
              <c:numCache>
                <c:formatCode>General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2.3333333333333335</c:v>
                </c:pt>
                <c:pt idx="3">
                  <c:v>2.25</c:v>
                </c:pt>
                <c:pt idx="4">
                  <c:v>2.2000000000000002</c:v>
                </c:pt>
                <c:pt idx="5">
                  <c:v>2.3333333333333335</c:v>
                </c:pt>
                <c:pt idx="6">
                  <c:v>2.2857142857142856</c:v>
                </c:pt>
                <c:pt idx="7">
                  <c:v>2.375</c:v>
                </c:pt>
                <c:pt idx="8">
                  <c:v>2.2222222222222223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41A-4B87-A451-7FB152FC516A}"/>
            </c:ext>
          </c:extLst>
        </c:ser>
        <c:ser>
          <c:idx val="29"/>
          <c:order val="29"/>
          <c:tx>
            <c:strRef>
              <c:f>'Albopictus Blood'!$AD$34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Blood'!$AE$34:$AN$34</c:f>
              <c:numCache>
                <c:formatCode>General</c:formatCode>
                <c:ptCount val="10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41A-4B87-A451-7FB152FC516A}"/>
            </c:ext>
          </c:extLst>
        </c:ser>
        <c:ser>
          <c:idx val="30"/>
          <c:order val="30"/>
          <c:tx>
            <c:strRef>
              <c:f>'Albopictus Blood'!$AD$35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Blood'!$AE$35:$AN$35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1.25</c:v>
                </c:pt>
                <c:pt idx="4">
                  <c:v>1.6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41A-4B87-A451-7FB152FC516A}"/>
            </c:ext>
          </c:extLst>
        </c:ser>
        <c:ser>
          <c:idx val="31"/>
          <c:order val="31"/>
          <c:tx>
            <c:strRef>
              <c:f>'Albopictus Blood'!$AD$36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Blood'!$AE$36:$AN$36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41A-4B87-A451-7FB152FC516A}"/>
            </c:ext>
          </c:extLst>
        </c:ser>
        <c:ser>
          <c:idx val="32"/>
          <c:order val="32"/>
          <c:tx>
            <c:strRef>
              <c:f>'Albopictus Blood'!$AD$37</c:f>
              <c:strCache>
                <c:ptCount val="1"/>
                <c:pt idx="0">
                  <c:v>33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Blood'!$AE$37:$AN$37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0.8</c:v>
                </c:pt>
                <c:pt idx="5">
                  <c:v>1.1666666666666667</c:v>
                </c:pt>
                <c:pt idx="6">
                  <c:v>1.1428571428571428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41A-4B87-A451-7FB152FC516A}"/>
            </c:ext>
          </c:extLst>
        </c:ser>
        <c:ser>
          <c:idx val="33"/>
          <c:order val="33"/>
          <c:tx>
            <c:strRef>
              <c:f>'Albopictus Blood'!$AD$38</c:f>
              <c:strCache>
                <c:ptCount val="1"/>
                <c:pt idx="0">
                  <c:v>34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Blood'!$AE$38:$AN$38</c:f>
              <c:numCache>
                <c:formatCode>General</c:formatCode>
                <c:ptCount val="10"/>
                <c:pt idx="0">
                  <c:v>3</c:v>
                </c:pt>
                <c:pt idx="1">
                  <c:v>2.5</c:v>
                </c:pt>
                <c:pt idx="2">
                  <c:v>1.6666666666666667</c:v>
                </c:pt>
                <c:pt idx="3">
                  <c:v>1.75</c:v>
                </c:pt>
                <c:pt idx="4">
                  <c:v>1.4</c:v>
                </c:pt>
                <c:pt idx="5">
                  <c:v>1.5</c:v>
                </c:pt>
                <c:pt idx="6">
                  <c:v>1.5714285714285714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41A-4B87-A451-7FB152FC516A}"/>
            </c:ext>
          </c:extLst>
        </c:ser>
        <c:ser>
          <c:idx val="34"/>
          <c:order val="34"/>
          <c:tx>
            <c:strRef>
              <c:f>'Albopictus Blood'!$AD$39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Blood'!$AE$39:$AN$39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1.6666666666666667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1A-4B87-A451-7FB152FC516A}"/>
            </c:ext>
          </c:extLst>
        </c:ser>
        <c:ser>
          <c:idx val="35"/>
          <c:order val="35"/>
          <c:tx>
            <c:strRef>
              <c:f>'Albopictus Blood'!$AD$40</c:f>
              <c:strCache>
                <c:ptCount val="1"/>
                <c:pt idx="0">
                  <c:v>36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Blood'!$AE$40:$AN$40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1.6666666666666667</c:v>
                </c:pt>
                <c:pt idx="3">
                  <c:v>1.75</c:v>
                </c:pt>
                <c:pt idx="4">
                  <c:v>1.8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41A-4B87-A451-7FB152FC516A}"/>
            </c:ext>
          </c:extLst>
        </c:ser>
        <c:ser>
          <c:idx val="36"/>
          <c:order val="36"/>
          <c:tx>
            <c:strRef>
              <c:f>'Albopictus Blood'!$AD$41</c:f>
              <c:strCache>
                <c:ptCount val="1"/>
                <c:pt idx="0">
                  <c:v>37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Blood'!$AE$41:$AN$41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41A-4B87-A451-7FB152FC516A}"/>
            </c:ext>
          </c:extLst>
        </c:ser>
        <c:ser>
          <c:idx val="37"/>
          <c:order val="37"/>
          <c:tx>
            <c:strRef>
              <c:f>'Albopictus Blood'!$AD$42</c:f>
              <c:strCache>
                <c:ptCount val="1"/>
                <c:pt idx="0">
                  <c:v>38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Blood'!$AE$42:$AN$42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41A-4B87-A451-7FB152FC516A}"/>
            </c:ext>
          </c:extLst>
        </c:ser>
        <c:ser>
          <c:idx val="38"/>
          <c:order val="38"/>
          <c:tx>
            <c:strRef>
              <c:f>'Albopictus Blood'!$AD$43</c:f>
              <c:strCache>
                <c:ptCount val="1"/>
                <c:pt idx="0">
                  <c:v>39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Blood'!$AE$43:$AN$43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41A-4B87-A451-7FB152FC516A}"/>
            </c:ext>
          </c:extLst>
        </c:ser>
        <c:ser>
          <c:idx val="39"/>
          <c:order val="39"/>
          <c:tx>
            <c:strRef>
              <c:f>'Albopictus Blood'!$AD$44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Blood'!$AE$44:$AN$44</c:f>
              <c:numCache>
                <c:formatCode>General</c:formatCode>
                <c:ptCount val="10"/>
                <c:pt idx="0">
                  <c:v>3</c:v>
                </c:pt>
                <c:pt idx="1">
                  <c:v>2.5</c:v>
                </c:pt>
                <c:pt idx="2">
                  <c:v>1.6666666666666667</c:v>
                </c:pt>
                <c:pt idx="3">
                  <c:v>1.25</c:v>
                </c:pt>
                <c:pt idx="4">
                  <c:v>1</c:v>
                </c:pt>
                <c:pt idx="5">
                  <c:v>1</c:v>
                </c:pt>
                <c:pt idx="6">
                  <c:v>0.8571428571428571</c:v>
                </c:pt>
                <c:pt idx="7">
                  <c:v>1</c:v>
                </c:pt>
                <c:pt idx="8">
                  <c:v>0.88888888888888884</c:v>
                </c:pt>
                <c:pt idx="9">
                  <c:v>0.88888888888888884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41A-4B87-A451-7FB152FC516A}"/>
            </c:ext>
          </c:extLst>
        </c:ser>
        <c:ser>
          <c:idx val="40"/>
          <c:order val="40"/>
          <c:tx>
            <c:strRef>
              <c:f>'Albopictus Blood'!$AD$45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Blood'!$AE$45:$AN$45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41A-4B87-A451-7FB152FC516A}"/>
            </c:ext>
          </c:extLst>
        </c:ser>
        <c:ser>
          <c:idx val="41"/>
          <c:order val="41"/>
          <c:tx>
            <c:strRef>
              <c:f>'Albopictus Blood'!$AD$46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Blood'!$AE$46:$AN$46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1.6666666666666667</c:v>
                </c:pt>
                <c:pt idx="3">
                  <c:v>1.5</c:v>
                </c:pt>
                <c:pt idx="4">
                  <c:v>1.6</c:v>
                </c:pt>
                <c:pt idx="5">
                  <c:v>1.5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41A-4B87-A451-7FB152FC516A}"/>
            </c:ext>
          </c:extLst>
        </c:ser>
        <c:ser>
          <c:idx val="42"/>
          <c:order val="42"/>
          <c:tx>
            <c:strRef>
              <c:f>'Albopictus Blood'!$AD$47</c:f>
              <c:strCache>
                <c:ptCount val="1"/>
                <c:pt idx="0">
                  <c:v>43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Blood'!$AE$47:$AN$47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1.8</c:v>
                </c:pt>
                <c:pt idx="5">
                  <c:v>1.6666666666666667</c:v>
                </c:pt>
                <c:pt idx="6">
                  <c:v>1.6666666666666667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41A-4B87-A451-7FB152FC516A}"/>
            </c:ext>
          </c:extLst>
        </c:ser>
        <c:ser>
          <c:idx val="43"/>
          <c:order val="43"/>
          <c:tx>
            <c:strRef>
              <c:f>'Albopictus Blood'!$AD$48</c:f>
              <c:strCache>
                <c:ptCount val="1"/>
                <c:pt idx="0">
                  <c:v>44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Blood'!$AE$48:$AN$48</c:f>
              <c:numCache>
                <c:formatCode>General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1</c:v>
                </c:pt>
                <c:pt idx="3">
                  <c:v>1.5</c:v>
                </c:pt>
                <c:pt idx="4">
                  <c:v>1.6</c:v>
                </c:pt>
                <c:pt idx="5">
                  <c:v>1.6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41A-4B87-A451-7FB152FC516A}"/>
            </c:ext>
          </c:extLst>
        </c:ser>
        <c:ser>
          <c:idx val="44"/>
          <c:order val="44"/>
          <c:tx>
            <c:strRef>
              <c:f>'Albopictus Blood'!$AD$49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Blood'!$AE$49:$AN$49</c:f>
              <c:numCache>
                <c:formatCode>General</c:formatCode>
                <c:ptCount val="10"/>
                <c:pt idx="0">
                  <c:v>4</c:v>
                </c:pt>
                <c:pt idx="1">
                  <c:v>3.5</c:v>
                </c:pt>
                <c:pt idx="2">
                  <c:v>2.6666666666666665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41A-4B87-A451-7FB152FC516A}"/>
            </c:ext>
          </c:extLst>
        </c:ser>
        <c:ser>
          <c:idx val="45"/>
          <c:order val="45"/>
          <c:tx>
            <c:strRef>
              <c:f>'Albopictus Blood'!$AD$50</c:f>
              <c:strCache>
                <c:ptCount val="1"/>
                <c:pt idx="0">
                  <c:v>46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Blood'!$AE$50:$AN$50</c:f>
              <c:numCache>
                <c:formatCode>General</c:formatCode>
                <c:ptCount val="10"/>
                <c:pt idx="0">
                  <c:v>4</c:v>
                </c:pt>
                <c:pt idx="1">
                  <c:v>2.5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41A-4B87-A451-7FB152FC516A}"/>
            </c:ext>
          </c:extLst>
        </c:ser>
        <c:ser>
          <c:idx val="46"/>
          <c:order val="46"/>
          <c:tx>
            <c:strRef>
              <c:f>'Albopictus Blood'!$AD$51</c:f>
              <c:strCache>
                <c:ptCount val="1"/>
                <c:pt idx="0">
                  <c:v>47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Blood'!$AE$51:$AN$51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41A-4B87-A451-7FB152FC516A}"/>
            </c:ext>
          </c:extLst>
        </c:ser>
        <c:ser>
          <c:idx val="47"/>
          <c:order val="47"/>
          <c:tx>
            <c:strRef>
              <c:f>'Albopictus Blood'!$AD$52</c:f>
              <c:strCache>
                <c:ptCount val="1"/>
                <c:pt idx="0">
                  <c:v>48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Blood'!$AE$52:$AN$52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41A-4B87-A451-7FB152FC516A}"/>
            </c:ext>
          </c:extLst>
        </c:ser>
        <c:ser>
          <c:idx val="48"/>
          <c:order val="48"/>
          <c:tx>
            <c:strRef>
              <c:f>'Albopictus Blood'!$AD$53</c:f>
              <c:strCache>
                <c:ptCount val="1"/>
                <c:pt idx="0">
                  <c:v>49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Blood'!$AE$53:$AN$53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0.6</c:v>
                </c:pt>
                <c:pt idx="5">
                  <c:v>0.83333333333333337</c:v>
                </c:pt>
                <c:pt idx="6">
                  <c:v>1</c:v>
                </c:pt>
                <c:pt idx="7">
                  <c:v>1.125</c:v>
                </c:pt>
                <c:pt idx="8">
                  <c:v>1.125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41A-4B87-A451-7FB152FC516A}"/>
            </c:ext>
          </c:extLst>
        </c:ser>
        <c:ser>
          <c:idx val="49"/>
          <c:order val="49"/>
          <c:tx>
            <c:strRef>
              <c:f>'Albopictus Blood'!$AD$54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Blood'!$AE$54:$AN$54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0.4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1</c:v>
                </c:pt>
                <c:pt idx="8">
                  <c:v>0.88888888888888884</c:v>
                </c:pt>
                <c:pt idx="9">
                  <c:v>0.88888888888888884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41A-4B87-A451-7FB152FC516A}"/>
            </c:ext>
          </c:extLst>
        </c:ser>
        <c:ser>
          <c:idx val="50"/>
          <c:order val="50"/>
          <c:tx>
            <c:strRef>
              <c:f>'Albopictus Blood'!$AD$55</c:f>
              <c:strCache>
                <c:ptCount val="1"/>
                <c:pt idx="0">
                  <c:v>51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Blood'!$AE$55:$AN$55</c:f>
              <c:numCache>
                <c:formatCode>General</c:formatCode>
                <c:ptCount val="10"/>
                <c:pt idx="0">
                  <c:v>3</c:v>
                </c:pt>
                <c:pt idx="1">
                  <c:v>1.5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41A-4B87-A451-7FB152FC516A}"/>
            </c:ext>
          </c:extLst>
        </c:ser>
        <c:ser>
          <c:idx val="51"/>
          <c:order val="51"/>
          <c:tx>
            <c:strRef>
              <c:f>'Albopictus Blood'!$AD$56</c:f>
              <c:strCache>
                <c:ptCount val="1"/>
                <c:pt idx="0">
                  <c:v>52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Blood'!$AE$56:$AN$56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41A-4B87-A451-7FB152FC516A}"/>
            </c:ext>
          </c:extLst>
        </c:ser>
        <c:ser>
          <c:idx val="52"/>
          <c:order val="52"/>
          <c:tx>
            <c:strRef>
              <c:f>'Albopictus Blood'!$AD$57</c:f>
              <c:strCache>
                <c:ptCount val="1"/>
                <c:pt idx="0">
                  <c:v>53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Blood'!$AE$57:$AN$57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41A-4B87-A451-7FB152FC516A}"/>
            </c:ext>
          </c:extLst>
        </c:ser>
        <c:ser>
          <c:idx val="53"/>
          <c:order val="53"/>
          <c:tx>
            <c:strRef>
              <c:f>'Albopictus Blood'!$AD$58</c:f>
              <c:strCache>
                <c:ptCount val="1"/>
                <c:pt idx="0">
                  <c:v>54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Blood'!$AE$58:$AN$58</c:f>
              <c:numCache>
                <c:formatCode>General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2.3333333333333335</c:v>
                </c:pt>
                <c:pt idx="3">
                  <c:v>2.5</c:v>
                </c:pt>
                <c:pt idx="4">
                  <c:v>2.2000000000000002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41A-4B87-A451-7FB152FC516A}"/>
            </c:ext>
          </c:extLst>
        </c:ser>
        <c:ser>
          <c:idx val="54"/>
          <c:order val="54"/>
          <c:tx>
            <c:strRef>
              <c:f>'Albopictus Blood'!$AD$59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Blood'!$AE$59:$AN$59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41A-4B87-A451-7FB152FC516A}"/>
            </c:ext>
          </c:extLst>
        </c:ser>
        <c:ser>
          <c:idx val="55"/>
          <c:order val="55"/>
          <c:tx>
            <c:strRef>
              <c:f>'Albopictus Blood'!$AD$60</c:f>
              <c:strCache>
                <c:ptCount val="1"/>
                <c:pt idx="0">
                  <c:v>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Blood'!$AE$60:$AN$60</c:f>
              <c:numCache>
                <c:formatCode>General</c:formatCode>
                <c:ptCount val="10"/>
                <c:pt idx="0">
                  <c:v>3</c:v>
                </c:pt>
                <c:pt idx="1">
                  <c:v>2.5</c:v>
                </c:pt>
                <c:pt idx="2">
                  <c:v>1.6666666666666667</c:v>
                </c:pt>
                <c:pt idx="3">
                  <c:v>1.75</c:v>
                </c:pt>
                <c:pt idx="4">
                  <c:v>1.6</c:v>
                </c:pt>
                <c:pt idx="5">
                  <c:v>1.8333333333333333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41A-4B87-A451-7FB152FC516A}"/>
            </c:ext>
          </c:extLst>
        </c:ser>
        <c:ser>
          <c:idx val="56"/>
          <c:order val="56"/>
          <c:tx>
            <c:strRef>
              <c:f>'Albopictus Blood'!$AD$61</c:f>
              <c:strCache>
                <c:ptCount val="1"/>
                <c:pt idx="0">
                  <c:v>57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Blood'!$AE$61:$AN$61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1.25</c:v>
                </c:pt>
                <c:pt idx="4">
                  <c:v>1.2</c:v>
                </c:pt>
                <c:pt idx="5">
                  <c:v>1</c:v>
                </c:pt>
                <c:pt idx="6">
                  <c:v>0.8571428571428571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41A-4B87-A451-7FB152FC516A}"/>
            </c:ext>
          </c:extLst>
        </c:ser>
        <c:ser>
          <c:idx val="57"/>
          <c:order val="57"/>
          <c:tx>
            <c:strRef>
              <c:f>'Albopictus Blood'!$AD$62</c:f>
              <c:strCache>
                <c:ptCount val="1"/>
                <c:pt idx="0">
                  <c:v>58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Blood'!$AE$62:$AN$62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1.3333333333333333</c:v>
                </c:pt>
                <c:pt idx="3">
                  <c:v>1.5</c:v>
                </c:pt>
                <c:pt idx="4">
                  <c:v>1.5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41A-4B87-A451-7FB152FC516A}"/>
            </c:ext>
          </c:extLst>
        </c:ser>
        <c:ser>
          <c:idx val="58"/>
          <c:order val="58"/>
          <c:tx>
            <c:strRef>
              <c:f>'Albopictus Blood'!$AD$63</c:f>
              <c:strCache>
                <c:ptCount val="1"/>
                <c:pt idx="0">
                  <c:v>59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Blood'!$AE$63:$AN$63</c:f>
              <c:numCache>
                <c:formatCode>General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1.6666666666666667</c:v>
                </c:pt>
                <c:pt idx="3">
                  <c:v>1.75</c:v>
                </c:pt>
                <c:pt idx="4">
                  <c:v>1.75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41A-4B87-A451-7FB152FC516A}"/>
            </c:ext>
          </c:extLst>
        </c:ser>
        <c:ser>
          <c:idx val="59"/>
          <c:order val="59"/>
          <c:tx>
            <c:strRef>
              <c:f>'Albopictus Blood'!$AD$64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Blood'!$AE$64:$AN$64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41A-4B87-A451-7FB152FC516A}"/>
            </c:ext>
          </c:extLst>
        </c:ser>
        <c:ser>
          <c:idx val="60"/>
          <c:order val="60"/>
          <c:tx>
            <c:strRef>
              <c:f>'Albopictus Blood'!$AD$65</c:f>
              <c:strCache>
                <c:ptCount val="1"/>
                <c:pt idx="0">
                  <c:v>81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Blood'!$AE$65:$AN$65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41A-4B87-A451-7FB152FC516A}"/>
            </c:ext>
          </c:extLst>
        </c:ser>
        <c:ser>
          <c:idx val="61"/>
          <c:order val="61"/>
          <c:tx>
            <c:strRef>
              <c:f>'Albopictus Blood'!$AD$66</c:f>
              <c:strCache>
                <c:ptCount val="1"/>
                <c:pt idx="0">
                  <c:v>82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Blood'!$AE$66:$AN$66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0.33333333333333331</c:v>
                </c:pt>
                <c:pt idx="6">
                  <c:v>0.2857142857142857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41A-4B87-A451-7FB152FC516A}"/>
            </c:ext>
          </c:extLst>
        </c:ser>
        <c:ser>
          <c:idx val="62"/>
          <c:order val="62"/>
          <c:tx>
            <c:strRef>
              <c:f>'Albopictus Blood'!$AD$67</c:f>
              <c:strCache>
                <c:ptCount val="1"/>
                <c:pt idx="0">
                  <c:v>83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Blood'!$AE$67:$AN$67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41A-4B87-A451-7FB152FC516A}"/>
            </c:ext>
          </c:extLst>
        </c:ser>
        <c:ser>
          <c:idx val="63"/>
          <c:order val="63"/>
          <c:tx>
            <c:strRef>
              <c:f>'Albopictus Blood'!$AD$68</c:f>
              <c:strCache>
                <c:ptCount val="1"/>
                <c:pt idx="0">
                  <c:v>84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Blood'!$AE$68:$AN$68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1.3333333333333333</c:v>
                </c:pt>
                <c:pt idx="3">
                  <c:v>1.75</c:v>
                </c:pt>
                <c:pt idx="4">
                  <c:v>1.8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41A-4B87-A451-7FB152FC516A}"/>
            </c:ext>
          </c:extLst>
        </c:ser>
        <c:ser>
          <c:idx val="64"/>
          <c:order val="64"/>
          <c:tx>
            <c:strRef>
              <c:f>'Albopictus Blood'!$AD$69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Blood'!$AE$69:$AN$69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1.75</c:v>
                </c:pt>
                <c:pt idx="4">
                  <c:v>1.75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41A-4B87-A451-7FB152FC516A}"/>
            </c:ext>
          </c:extLst>
        </c:ser>
        <c:ser>
          <c:idx val="65"/>
          <c:order val="65"/>
          <c:tx>
            <c:strRef>
              <c:f>'Albopictus Blood'!$AD$70</c:f>
              <c:strCache>
                <c:ptCount val="1"/>
                <c:pt idx="0">
                  <c:v>86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Blood'!$AE$70:$AN$70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1.75</c:v>
                </c:pt>
                <c:pt idx="4">
                  <c:v>1.6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41A-4B87-A451-7FB152FC516A}"/>
            </c:ext>
          </c:extLst>
        </c:ser>
        <c:ser>
          <c:idx val="66"/>
          <c:order val="66"/>
          <c:tx>
            <c:strRef>
              <c:f>'Albopictus Blood'!$AD$71</c:f>
              <c:strCache>
                <c:ptCount val="1"/>
                <c:pt idx="0">
                  <c:v>87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Blood'!$AE$71:$AN$71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41A-4B87-A451-7FB152FC516A}"/>
            </c:ext>
          </c:extLst>
        </c:ser>
        <c:ser>
          <c:idx val="67"/>
          <c:order val="67"/>
          <c:tx>
            <c:strRef>
              <c:f>'Albopictus Blood'!$AD$72</c:f>
              <c:strCache>
                <c:ptCount val="1"/>
                <c:pt idx="0">
                  <c:v>88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Blood'!$AE$72:$AN$72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1</c:v>
                </c:pt>
                <c:pt idx="4">
                  <c:v>1</c:v>
                </c:pt>
                <c:pt idx="5">
                  <c:v>1.1666666666666667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41A-4B87-A451-7FB152FC516A}"/>
            </c:ext>
          </c:extLst>
        </c:ser>
        <c:ser>
          <c:idx val="68"/>
          <c:order val="68"/>
          <c:tx>
            <c:strRef>
              <c:f>'Albopictus Blood'!$AD$73</c:f>
              <c:strCache>
                <c:ptCount val="1"/>
                <c:pt idx="0">
                  <c:v>89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Blood'!$AE$73:$AN$73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41A-4B87-A451-7FB152FC516A}"/>
            </c:ext>
          </c:extLst>
        </c:ser>
        <c:ser>
          <c:idx val="69"/>
          <c:order val="69"/>
          <c:tx>
            <c:strRef>
              <c:f>'Albopictus Blood'!$AD$74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Blood'!$AE$74:$AN$74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1.25</c:v>
                </c:pt>
                <c:pt idx="4">
                  <c:v>1.2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41A-4B87-A451-7FB152FC516A}"/>
            </c:ext>
          </c:extLst>
        </c:ser>
        <c:ser>
          <c:idx val="70"/>
          <c:order val="70"/>
          <c:tx>
            <c:strRef>
              <c:f>'Albopictus Blood'!$AD$75</c:f>
              <c:strCache>
                <c:ptCount val="1"/>
                <c:pt idx="0">
                  <c:v>91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Blood'!$AE$75:$AN$75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41A-4B87-A451-7FB152FC516A}"/>
            </c:ext>
          </c:extLst>
        </c:ser>
        <c:ser>
          <c:idx val="71"/>
          <c:order val="71"/>
          <c:tx>
            <c:strRef>
              <c:f>'Albopictus Blood'!$AD$76</c:f>
              <c:strCache>
                <c:ptCount val="1"/>
                <c:pt idx="0">
                  <c:v>92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Blood'!$AE$76:$AN$76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41A-4B87-A451-7FB152FC516A}"/>
            </c:ext>
          </c:extLst>
        </c:ser>
        <c:ser>
          <c:idx val="72"/>
          <c:order val="72"/>
          <c:tx>
            <c:strRef>
              <c:f>'Albopictus Blood'!$AD$77</c:f>
              <c:strCache>
                <c:ptCount val="1"/>
                <c:pt idx="0">
                  <c:v>93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Blood'!$AE$77:$AN$77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41A-4B87-A451-7FB152FC516A}"/>
            </c:ext>
          </c:extLst>
        </c:ser>
        <c:ser>
          <c:idx val="73"/>
          <c:order val="73"/>
          <c:tx>
            <c:strRef>
              <c:f>'Albopictus Blood'!$AD$78</c:f>
              <c:strCache>
                <c:ptCount val="1"/>
                <c:pt idx="0">
                  <c:v>94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Blood'!$AE$78:$AN$78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41A-4B87-A451-7FB152FC516A}"/>
            </c:ext>
          </c:extLst>
        </c:ser>
        <c:ser>
          <c:idx val="74"/>
          <c:order val="74"/>
          <c:tx>
            <c:strRef>
              <c:f>'Albopictus Blood'!$AD$79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Blood'!$AE$79:$AN$79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C41A-4B87-A451-7FB152FC516A}"/>
            </c:ext>
          </c:extLst>
        </c:ser>
        <c:ser>
          <c:idx val="75"/>
          <c:order val="75"/>
          <c:tx>
            <c:strRef>
              <c:f>'Albopictus Blood'!$AD$80</c:f>
              <c:strCache>
                <c:ptCount val="1"/>
                <c:pt idx="0">
                  <c:v>96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Blood'!$AE$80:$AN$80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C41A-4B87-A451-7FB152FC516A}"/>
            </c:ext>
          </c:extLst>
        </c:ser>
        <c:ser>
          <c:idx val="76"/>
          <c:order val="76"/>
          <c:tx>
            <c:strRef>
              <c:f>'Albopictus Blood'!$AD$81</c:f>
              <c:strCache>
                <c:ptCount val="1"/>
                <c:pt idx="0">
                  <c:v>97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Blood'!$AE$81:$AN$81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1.6666666666666667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C41A-4B87-A451-7FB152FC516A}"/>
            </c:ext>
          </c:extLst>
        </c:ser>
        <c:ser>
          <c:idx val="77"/>
          <c:order val="77"/>
          <c:tx>
            <c:strRef>
              <c:f>'Albopictus Blood'!$AD$82</c:f>
              <c:strCache>
                <c:ptCount val="1"/>
                <c:pt idx="0">
                  <c:v>98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Blood'!$AE$82:$AN$82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1.5</c:v>
                </c:pt>
                <c:pt idx="4">
                  <c:v>1.5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C41A-4B87-A451-7FB152FC516A}"/>
            </c:ext>
          </c:extLst>
        </c:ser>
        <c:ser>
          <c:idx val="78"/>
          <c:order val="78"/>
          <c:tx>
            <c:strRef>
              <c:f>'Albopictus Blood'!$AD$83</c:f>
              <c:strCache>
                <c:ptCount val="1"/>
                <c:pt idx="0">
                  <c:v>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Blood'!$AE$83:$AN$83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C41A-4B87-A451-7FB152FC516A}"/>
            </c:ext>
          </c:extLst>
        </c:ser>
        <c:ser>
          <c:idx val="79"/>
          <c:order val="79"/>
          <c:tx>
            <c:strRef>
              <c:f>'Albopictus Blood'!$AD$84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Blood'!$AE$84:$AN$84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1.6666666666666667</c:v>
                </c:pt>
                <c:pt idx="3">
                  <c:v>1.5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C41A-4B87-A451-7FB152FC516A}"/>
            </c:ext>
          </c:extLst>
        </c:ser>
        <c:ser>
          <c:idx val="80"/>
          <c:order val="80"/>
          <c:tx>
            <c:strRef>
              <c:f>'Albopictus Blood'!$AD$85</c:f>
              <c:strCache>
                <c:ptCount val="1"/>
                <c:pt idx="0">
                  <c:v>101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Blood'!$AE$85:$AN$85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C41A-4B87-A451-7FB152FC516A}"/>
            </c:ext>
          </c:extLst>
        </c:ser>
        <c:ser>
          <c:idx val="81"/>
          <c:order val="81"/>
          <c:tx>
            <c:strRef>
              <c:f>'Albopictus Blood'!$AD$86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Blood'!$AE$86:$AN$86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C41A-4B87-A451-7FB152FC516A}"/>
            </c:ext>
          </c:extLst>
        </c:ser>
        <c:ser>
          <c:idx val="82"/>
          <c:order val="82"/>
          <c:tx>
            <c:strRef>
              <c:f>'Albopictus Blood'!$AD$87</c:f>
              <c:strCache>
                <c:ptCount val="1"/>
                <c:pt idx="0">
                  <c:v>103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Blood'!$AE$87:$AN$87</c:f>
              <c:numCache>
                <c:formatCode>General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1.3333333333333333</c:v>
                </c:pt>
                <c:pt idx="3">
                  <c:v>1.25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C41A-4B87-A451-7FB152FC516A}"/>
            </c:ext>
          </c:extLst>
        </c:ser>
        <c:ser>
          <c:idx val="83"/>
          <c:order val="83"/>
          <c:tx>
            <c:strRef>
              <c:f>'Albopictus Blood'!$AD$88</c:f>
              <c:strCache>
                <c:ptCount val="1"/>
                <c:pt idx="0">
                  <c:v>104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Blood'!$AE$88:$AN$88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1.2</c:v>
                </c:pt>
                <c:pt idx="5">
                  <c:v>1.5</c:v>
                </c:pt>
                <c:pt idx="6">
                  <c:v>1.5714285714285714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C41A-4B87-A451-7FB152FC516A}"/>
            </c:ext>
          </c:extLst>
        </c:ser>
        <c:ser>
          <c:idx val="84"/>
          <c:order val="84"/>
          <c:tx>
            <c:strRef>
              <c:f>'Albopictus Blood'!$AD$89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Blood'!$AE$89:$AN$89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C41A-4B87-A451-7FB152FC516A}"/>
            </c:ext>
          </c:extLst>
        </c:ser>
        <c:ser>
          <c:idx val="85"/>
          <c:order val="85"/>
          <c:tx>
            <c:strRef>
              <c:f>'Albopictus Blood'!$AD$90</c:f>
              <c:strCache>
                <c:ptCount val="1"/>
                <c:pt idx="0">
                  <c:v>106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Blood'!$AE$90:$AN$90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C41A-4B87-A451-7FB152FC516A}"/>
            </c:ext>
          </c:extLst>
        </c:ser>
        <c:ser>
          <c:idx val="86"/>
          <c:order val="86"/>
          <c:tx>
            <c:strRef>
              <c:f>'Albopictus Blood'!$AD$91</c:f>
              <c:strCache>
                <c:ptCount val="1"/>
                <c:pt idx="0">
                  <c:v>107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Blood'!$AE$91:$AN$91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C41A-4B87-A451-7FB152FC516A}"/>
            </c:ext>
          </c:extLst>
        </c:ser>
        <c:ser>
          <c:idx val="87"/>
          <c:order val="87"/>
          <c:tx>
            <c:strRef>
              <c:f>'Albopictus Blood'!$AD$92</c:f>
              <c:strCache>
                <c:ptCount val="1"/>
                <c:pt idx="0">
                  <c:v>108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Blood'!$AE$92:$AN$92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C41A-4B87-A451-7FB152FC516A}"/>
            </c:ext>
          </c:extLst>
        </c:ser>
        <c:ser>
          <c:idx val="88"/>
          <c:order val="88"/>
          <c:tx>
            <c:strRef>
              <c:f>'Albopictus Blood'!$AD$93</c:f>
              <c:strCache>
                <c:ptCount val="1"/>
                <c:pt idx="0">
                  <c:v>109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Blood'!$AE$93:$AN$93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C41A-4B87-A451-7FB152FC516A}"/>
            </c:ext>
          </c:extLst>
        </c:ser>
        <c:ser>
          <c:idx val="89"/>
          <c:order val="89"/>
          <c:tx>
            <c:strRef>
              <c:f>'Albopictus Blood'!$AD$94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Blood'!$AE$94:$AN$94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C41A-4B87-A451-7FB152FC516A}"/>
            </c:ext>
          </c:extLst>
        </c:ser>
        <c:ser>
          <c:idx val="90"/>
          <c:order val="90"/>
          <c:tx>
            <c:strRef>
              <c:f>'Albopictus Blood'!$AD$95</c:f>
              <c:strCache>
                <c:ptCount val="1"/>
                <c:pt idx="0">
                  <c:v>111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Blood'!$AE$95:$AN$95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1.75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C41A-4B87-A451-7FB152FC516A}"/>
            </c:ext>
          </c:extLst>
        </c:ser>
        <c:ser>
          <c:idx val="91"/>
          <c:order val="91"/>
          <c:tx>
            <c:strRef>
              <c:f>'Albopictus Blood'!$AD$96</c:f>
              <c:strCache>
                <c:ptCount val="1"/>
                <c:pt idx="0">
                  <c:v>112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Blood'!$AE$96:$AN$96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1.3333333333333333</c:v>
                </c:pt>
                <c:pt idx="3">
                  <c:v>1.5</c:v>
                </c:pt>
                <c:pt idx="4">
                  <c:v>1.6</c:v>
                </c:pt>
                <c:pt idx="5">
                  <c:v>1.3333333333333333</c:v>
                </c:pt>
                <c:pt idx="6">
                  <c:v>1.4285714285714286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41A-4B87-A451-7FB152FC516A}"/>
            </c:ext>
          </c:extLst>
        </c:ser>
        <c:ser>
          <c:idx val="92"/>
          <c:order val="92"/>
          <c:tx>
            <c:strRef>
              <c:f>'Albopictus Blood'!$AD$97</c:f>
              <c:strCache>
                <c:ptCount val="1"/>
                <c:pt idx="0">
                  <c:v>113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Blood'!$AE$97:$AN$97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C41A-4B87-A451-7FB152FC516A}"/>
            </c:ext>
          </c:extLst>
        </c:ser>
        <c:ser>
          <c:idx val="93"/>
          <c:order val="93"/>
          <c:tx>
            <c:strRef>
              <c:f>'Albopictus Blood'!$AD$98</c:f>
              <c:strCache>
                <c:ptCount val="1"/>
                <c:pt idx="0">
                  <c:v>114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Blood'!$AE$98:$AN$98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C41A-4B87-A451-7FB152FC516A}"/>
            </c:ext>
          </c:extLst>
        </c:ser>
        <c:ser>
          <c:idx val="94"/>
          <c:order val="94"/>
          <c:tx>
            <c:strRef>
              <c:f>'Albopictus Blood'!$AD$99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Blood'!$AE$99:$AN$99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C41A-4B87-A451-7FB152FC516A}"/>
            </c:ext>
          </c:extLst>
        </c:ser>
        <c:ser>
          <c:idx val="95"/>
          <c:order val="95"/>
          <c:tx>
            <c:strRef>
              <c:f>'Albopictus Blood'!$AD$100</c:f>
              <c:strCache>
                <c:ptCount val="1"/>
                <c:pt idx="0">
                  <c:v>116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Blood'!$AE$100:$AN$100</c:f>
              <c:numCache>
                <c:formatCode>General</c:formatCode>
                <c:ptCount val="10"/>
                <c:pt idx="0">
                  <c:v>2</c:v>
                </c:pt>
                <c:pt idx="1">
                  <c:v>2.5</c:v>
                </c:pt>
                <c:pt idx="2">
                  <c:v>1.6666666666666667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C41A-4B87-A451-7FB152FC516A}"/>
            </c:ext>
          </c:extLst>
        </c:ser>
        <c:ser>
          <c:idx val="96"/>
          <c:order val="96"/>
          <c:tx>
            <c:strRef>
              <c:f>'Albopictus Blood'!$AD$101</c:f>
              <c:strCache>
                <c:ptCount val="1"/>
                <c:pt idx="0">
                  <c:v>117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Blood'!$AE$101:$AN$101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C41A-4B87-A451-7FB152FC516A}"/>
            </c:ext>
          </c:extLst>
        </c:ser>
        <c:ser>
          <c:idx val="97"/>
          <c:order val="97"/>
          <c:tx>
            <c:strRef>
              <c:f>'Albopictus Blood'!$AD$102</c:f>
              <c:strCache>
                <c:ptCount val="1"/>
                <c:pt idx="0">
                  <c:v>118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Blood'!$AE$102:$AN$102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C41A-4B87-A451-7FB152FC516A}"/>
            </c:ext>
          </c:extLst>
        </c:ser>
        <c:ser>
          <c:idx val="98"/>
          <c:order val="98"/>
          <c:tx>
            <c:strRef>
              <c:f>'Albopictus Blood'!$AD$103</c:f>
              <c:strCache>
                <c:ptCount val="1"/>
                <c:pt idx="0">
                  <c:v>119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Blood'!$AE$103:$AN$103</c:f>
              <c:numCache>
                <c:formatCode>General</c:formatCode>
                <c:ptCount val="10"/>
                <c:pt idx="0">
                  <c:v>2</c:v>
                </c:pt>
                <c:pt idx="1">
                  <c:v>1.5</c:v>
                </c:pt>
                <c:pt idx="2">
                  <c:v>1.3333333333333333</c:v>
                </c:pt>
                <c:pt idx="3">
                  <c:v>1.25</c:v>
                </c:pt>
                <c:pt idx="4">
                  <c:v>1.25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C41A-4B87-A451-7FB152FC516A}"/>
            </c:ext>
          </c:extLst>
        </c:ser>
        <c:ser>
          <c:idx val="99"/>
          <c:order val="99"/>
          <c:tx>
            <c:strRef>
              <c:f>'Albopictus Blood'!$AD$104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Blood'!$AE$104:$AN$104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C41A-4B87-A451-7FB152FC516A}"/>
            </c:ext>
          </c:extLst>
        </c:ser>
        <c:ser>
          <c:idx val="100"/>
          <c:order val="100"/>
          <c:tx>
            <c:strRef>
              <c:f>'Albopictus Blood'!$AD$105</c:f>
              <c:strCache>
                <c:ptCount val="1"/>
                <c:pt idx="0">
                  <c:v>Average up to Day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'Albopictus Blood'!$AE$4:$AN$4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cat>
          <c:val>
            <c:numRef>
              <c:f>'Albopictus Blood'!$AE$105:$AN$105</c:f>
              <c:numCache>
                <c:formatCode>General</c:formatCode>
                <c:ptCount val="10"/>
                <c:pt idx="0">
                  <c:v>1.6404494382022472</c:v>
                </c:pt>
                <c:pt idx="1">
                  <c:v>1.3987341772151898</c:v>
                </c:pt>
                <c:pt idx="2">
                  <c:v>1.182432432432432</c:v>
                </c:pt>
                <c:pt idx="3">
                  <c:v>1.1724137931034482</c:v>
                </c:pt>
                <c:pt idx="4">
                  <c:v>1.2173913043478264</c:v>
                </c:pt>
                <c:pt idx="5">
                  <c:v>1.1576923076923078</c:v>
                </c:pt>
                <c:pt idx="6">
                  <c:v>1.1177944862155389</c:v>
                </c:pt>
                <c:pt idx="7">
                  <c:v>1.2232142857142858</c:v>
                </c:pt>
                <c:pt idx="8">
                  <c:v>1.1130952380952381</c:v>
                </c:pt>
                <c:pt idx="9">
                  <c:v>1.0629629629629631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C41A-4B87-A451-7FB152FC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830256"/>
        <c:axId val="751834192"/>
      </c:lineChart>
      <c:catAx>
        <c:axId val="7518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34192"/>
        <c:crosses val="autoZero"/>
        <c:auto val="1"/>
        <c:lblAlgn val="ctr"/>
        <c:lblOffset val="100"/>
        <c:noMultiLvlLbl val="0"/>
      </c:catAx>
      <c:valAx>
        <c:axId val="7518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Zika Exposed Death of Albopictus wrt DPI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'Albopictus Mortality'!$B$28</c:f>
              <c:strCache>
                <c:ptCount val="1"/>
                <c:pt idx="0">
                  <c:v>Death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'Albopictus Mortality'!$C$28:$AP$28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F-44F4-80C7-9263D4783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70984"/>
        <c:axId val="431769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'Albopictus Mortality'!$B$31</c15:sqref>
                        </c15:formulaRef>
                      </c:ext>
                    </c:extLst>
                    <c:strCache>
                      <c:ptCount val="1"/>
                      <c:pt idx="0">
                        <c:v>%Death of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'Albopictus Mortality'!$C$49:$AP$49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</c:v>
                      </c:pt>
                      <c:pt idx="1">
                        <c:v>96</c:v>
                      </c:pt>
                      <c:pt idx="2">
                        <c:v>93</c:v>
                      </c:pt>
                      <c:pt idx="3">
                        <c:v>89</c:v>
                      </c:pt>
                      <c:pt idx="4">
                        <c:v>88</c:v>
                      </c:pt>
                      <c:pt idx="5">
                        <c:v>88</c:v>
                      </c:pt>
                      <c:pt idx="6">
                        <c:v>88</c:v>
                      </c:pt>
                      <c:pt idx="7">
                        <c:v>79</c:v>
                      </c:pt>
                      <c:pt idx="8">
                        <c:v>78</c:v>
                      </c:pt>
                      <c:pt idx="9">
                        <c:v>76</c:v>
                      </c:pt>
                      <c:pt idx="10">
                        <c:v>74</c:v>
                      </c:pt>
                      <c:pt idx="11">
                        <c:v>71</c:v>
                      </c:pt>
                      <c:pt idx="12">
                        <c:v>71</c:v>
                      </c:pt>
                      <c:pt idx="13">
                        <c:v>71</c:v>
                      </c:pt>
                      <c:pt idx="14">
                        <c:v>58</c:v>
                      </c:pt>
                      <c:pt idx="15">
                        <c:v>55</c:v>
                      </c:pt>
                      <c:pt idx="16">
                        <c:v>52</c:v>
                      </c:pt>
                      <c:pt idx="17">
                        <c:v>46</c:v>
                      </c:pt>
                      <c:pt idx="18">
                        <c:v>37</c:v>
                      </c:pt>
                      <c:pt idx="19">
                        <c:v>37</c:v>
                      </c:pt>
                      <c:pt idx="20">
                        <c:v>37</c:v>
                      </c:pt>
                      <c:pt idx="21">
                        <c:v>26</c:v>
                      </c:pt>
                      <c:pt idx="22">
                        <c:v>24</c:v>
                      </c:pt>
                      <c:pt idx="23">
                        <c:v>22</c:v>
                      </c:pt>
                      <c:pt idx="24">
                        <c:v>19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18</c:v>
                      </c:pt>
                      <c:pt idx="28">
                        <c:v>10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6</c:v>
                      </c:pt>
                      <c:pt idx="33">
                        <c:v>6</c:v>
                      </c:pt>
                      <c:pt idx="34">
                        <c:v>6</c:v>
                      </c:pt>
                      <c:pt idx="35">
                        <c:v>6</c:v>
                      </c:pt>
                      <c:pt idx="36">
                        <c:v>4</c:v>
                      </c:pt>
                      <c:pt idx="37">
                        <c:v>3</c:v>
                      </c:pt>
                      <c:pt idx="38">
                        <c:v>2</c:v>
                      </c:pt>
                      <c:pt idx="3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20F-44F4-80C7-9263D47832AD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2"/>
          <c:tx>
            <c:strRef>
              <c:f>'Albopictus Mortality'!$B$49</c:f>
              <c:strCache>
                <c:ptCount val="1"/>
                <c:pt idx="0">
                  <c:v>Survival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'Albopictus Mortality'!$C$50:$AP$50</c:f>
              <c:numCache>
                <c:formatCode>General</c:formatCode>
                <c:ptCount val="40"/>
                <c:pt idx="0">
                  <c:v>0</c:v>
                </c:pt>
                <c:pt idx="1">
                  <c:v>4</c:v>
                </c:pt>
                <c:pt idx="2">
                  <c:v>3.125</c:v>
                </c:pt>
                <c:pt idx="3">
                  <c:v>4.301075268817204</c:v>
                </c:pt>
                <c:pt idx="4">
                  <c:v>1.1235955056179776</c:v>
                </c:pt>
                <c:pt idx="5">
                  <c:v>0</c:v>
                </c:pt>
                <c:pt idx="6">
                  <c:v>0</c:v>
                </c:pt>
                <c:pt idx="7">
                  <c:v>10.227272727272727</c:v>
                </c:pt>
                <c:pt idx="8">
                  <c:v>1.2658227848101264</c:v>
                </c:pt>
                <c:pt idx="9">
                  <c:v>2.5641025641025639</c:v>
                </c:pt>
                <c:pt idx="10">
                  <c:v>2.6315789473684212</c:v>
                </c:pt>
                <c:pt idx="11">
                  <c:v>4.0540540540540544</c:v>
                </c:pt>
                <c:pt idx="12">
                  <c:v>0</c:v>
                </c:pt>
                <c:pt idx="13">
                  <c:v>0</c:v>
                </c:pt>
                <c:pt idx="14">
                  <c:v>18.30985915492958</c:v>
                </c:pt>
                <c:pt idx="15">
                  <c:v>5.1724137931034484</c:v>
                </c:pt>
                <c:pt idx="16">
                  <c:v>5.4545454545454541</c:v>
                </c:pt>
                <c:pt idx="17">
                  <c:v>11.538461538461538</c:v>
                </c:pt>
                <c:pt idx="18">
                  <c:v>19.565217391304348</c:v>
                </c:pt>
                <c:pt idx="19">
                  <c:v>0</c:v>
                </c:pt>
                <c:pt idx="20">
                  <c:v>0</c:v>
                </c:pt>
                <c:pt idx="21">
                  <c:v>29.72972972972973</c:v>
                </c:pt>
                <c:pt idx="22">
                  <c:v>7.6923076923076916</c:v>
                </c:pt>
                <c:pt idx="23">
                  <c:v>8.3333333333333339</c:v>
                </c:pt>
                <c:pt idx="24">
                  <c:v>13.636363636363637</c:v>
                </c:pt>
                <c:pt idx="25">
                  <c:v>5.2631578947368425</c:v>
                </c:pt>
                <c:pt idx="26">
                  <c:v>0</c:v>
                </c:pt>
                <c:pt idx="27">
                  <c:v>0</c:v>
                </c:pt>
                <c:pt idx="28">
                  <c:v>44.444444444444443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14.285714285714285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33.333333333333336</c:v>
                </c:pt>
                <c:pt idx="37">
                  <c:v>25</c:v>
                </c:pt>
                <c:pt idx="38">
                  <c:v>33.333333333333336</c:v>
                </c:pt>
                <c:pt idx="3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0F-44F4-80C7-9263D4783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015544"/>
        <c:axId val="486016528"/>
      </c:lineChart>
      <c:catAx>
        <c:axId val="43177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69344"/>
        <c:crosses val="autoZero"/>
        <c:auto val="1"/>
        <c:lblAlgn val="ctr"/>
        <c:lblOffset val="100"/>
        <c:noMultiLvlLbl val="0"/>
      </c:catAx>
      <c:valAx>
        <c:axId val="4317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Mosquitos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70984"/>
        <c:crosses val="autoZero"/>
        <c:crossBetween val="between"/>
      </c:valAx>
      <c:valAx>
        <c:axId val="486016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%Death of Surviving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15544"/>
        <c:crosses val="max"/>
        <c:crossBetween val="between"/>
      </c:valAx>
      <c:catAx>
        <c:axId val="486015544"/>
        <c:scaling>
          <c:orientation val="minMax"/>
        </c:scaling>
        <c:delete val="1"/>
        <c:axPos val="b"/>
        <c:majorTickMark val="out"/>
        <c:minorTickMark val="none"/>
        <c:tickLblPos val="nextTo"/>
        <c:crossAx val="486016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Zika Unexposed Death of Albopictus wrt DPI</a:t>
            </a:r>
          </a:p>
        </c:rich>
      </c:tx>
      <c:layout>
        <c:manualLayout>
          <c:xMode val="edge"/>
          <c:yMode val="edge"/>
          <c:x val="0.14423600174978127"/>
          <c:y val="1.3468013468013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'Albopictus Mortality'!$B$74</c:f>
              <c:strCache>
                <c:ptCount val="1"/>
                <c:pt idx="0">
                  <c:v>Daily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'Albopictus Mortality'!$C$4:$AP$4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cat>
          <c:val>
            <c:numRef>
              <c:f>'Albopictus Mortality'!$C$74:$AP$74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17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34-4279-8D37-C6B6FE8B0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70984"/>
        <c:axId val="431769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'Albopictus Mortality'!$B$75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'Albopictus Mortality'!$C$4:$AP$4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'Albopictus Mortality'!$C$75:$AP$75</c15:sqref>
                        </c15:formulaRef>
                      </c:ext>
                    </c:extLst>
                    <c:numCache>
                      <c:formatCode>General</c:formatCode>
                      <c:ptCount val="4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334-4279-8D37-C6B6FE8B0DD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'Albopictus Mortality'!$B$76</c:f>
              <c:strCache>
                <c:ptCount val="1"/>
                <c:pt idx="0">
                  <c:v>For R Data Entry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'Albopictus Mortality'!$C$4:$AP$4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cat>
          <c:val>
            <c:numRef>
              <c:f>'Albopictus Mortality'!$C$76:$AF$76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34-4279-8D37-C6B6FE8B0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10464"/>
        <c:axId val="486512104"/>
      </c:lineChart>
      <c:catAx>
        <c:axId val="43177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69344"/>
        <c:crosses val="autoZero"/>
        <c:auto val="1"/>
        <c:lblAlgn val="ctr"/>
        <c:lblOffset val="100"/>
        <c:noMultiLvlLbl val="0"/>
      </c:catAx>
      <c:valAx>
        <c:axId val="4317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Mosquitos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70984"/>
        <c:crosses val="autoZero"/>
        <c:crossBetween val="between"/>
      </c:valAx>
      <c:valAx>
        <c:axId val="486512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%Death of Surviving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10464"/>
        <c:crosses val="max"/>
        <c:crossBetween val="between"/>
      </c:valAx>
      <c:catAx>
        <c:axId val="486510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6512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Zika Exposed Death of Albopictus wrt DPF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'Albopictus Mortality'!$AS$26:$AV$26</c:f>
              <c:strCache>
                <c:ptCount val="4"/>
                <c:pt idx="0">
                  <c:v>Days Post Feeding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'Albopictus Mortality'!$AS$27:$AW$27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'Albopictus Mortality'!$AS$28:$AW$28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3-405B-9173-41FAB71A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70984"/>
        <c:axId val="431769344"/>
        <c:extLst/>
      </c:lineChart>
      <c:catAx>
        <c:axId val="43177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Feeding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69344"/>
        <c:crosses val="autoZero"/>
        <c:auto val="1"/>
        <c:lblAlgn val="ctr"/>
        <c:lblOffset val="100"/>
        <c:noMultiLvlLbl val="0"/>
      </c:catAx>
      <c:valAx>
        <c:axId val="4317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Mosquitos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7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AEG Eggs Laid by Group wrt DPI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'Aegypti Eggs'!$A$131:$A$135</c:f>
              <c:strCache>
                <c:ptCount val="1"/>
                <c:pt idx="0">
                  <c:v>Uninfected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'Aegypti Eggs'!#REF!</c:f>
            </c:numRef>
          </c:xVal>
          <c:yVal>
            <c:numRef>
              <c:f>'Aegypti Eggs'!$E$133:$R$133</c:f>
              <c:numCache>
                <c:formatCode>General</c:formatCode>
                <c:ptCount val="14"/>
                <c:pt idx="0">
                  <c:v>0</c:v>
                </c:pt>
                <c:pt idx="1">
                  <c:v>18.615384615384617</c:v>
                </c:pt>
                <c:pt idx="2">
                  <c:v>1.5714285714285714</c:v>
                </c:pt>
                <c:pt idx="3">
                  <c:v>0</c:v>
                </c:pt>
                <c:pt idx="4">
                  <c:v>6.8</c:v>
                </c:pt>
                <c:pt idx="5">
                  <c:v>2.8571428571428572</c:v>
                </c:pt>
                <c:pt idx="6">
                  <c:v>13.636363636363637</c:v>
                </c:pt>
                <c:pt idx="7">
                  <c:v>4.666666666666667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62-4AEE-AC30-E169F1DEBD91}"/>
            </c:ext>
          </c:extLst>
        </c:ser>
        <c:ser>
          <c:idx val="1"/>
          <c:order val="1"/>
          <c:tx>
            <c:strRef>
              <c:f>'Aegypti Eggs'!$A$136:$A$140</c:f>
              <c:strCache>
                <c:ptCount val="1"/>
                <c:pt idx="0">
                  <c:v>Infected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'Aegypti Eggs'!#REF!</c:f>
            </c:numRef>
          </c:xVal>
          <c:yVal>
            <c:numRef>
              <c:f>'Aegypti Eggs'!$E$138:$R$138</c:f>
              <c:numCache>
                <c:formatCode>General</c:formatCode>
                <c:ptCount val="14"/>
                <c:pt idx="0">
                  <c:v>0.5376344086021505</c:v>
                </c:pt>
                <c:pt idx="1">
                  <c:v>9.6521739130434785</c:v>
                </c:pt>
                <c:pt idx="2">
                  <c:v>0.56756756756756754</c:v>
                </c:pt>
                <c:pt idx="3">
                  <c:v>0.45901639344262296</c:v>
                </c:pt>
                <c:pt idx="4">
                  <c:v>5.2978723404255321</c:v>
                </c:pt>
                <c:pt idx="5">
                  <c:v>1.7380952380952381</c:v>
                </c:pt>
                <c:pt idx="6">
                  <c:v>6.7352941176470589</c:v>
                </c:pt>
                <c:pt idx="7">
                  <c:v>2.6</c:v>
                </c:pt>
                <c:pt idx="8">
                  <c:v>1.4666666666666666</c:v>
                </c:pt>
                <c:pt idx="9">
                  <c:v>0</c:v>
                </c:pt>
                <c:pt idx="10">
                  <c:v>0.36363636363636365</c:v>
                </c:pt>
                <c:pt idx="11">
                  <c:v>6.333333333333333</c:v>
                </c:pt>
                <c:pt idx="12">
                  <c:v>1.7142857142857142</c:v>
                </c:pt>
                <c:pt idx="13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62-4AEE-AC30-E169F1DEBD91}"/>
            </c:ext>
          </c:extLst>
        </c:ser>
        <c:ser>
          <c:idx val="2"/>
          <c:order val="2"/>
          <c:tx>
            <c:strRef>
              <c:f>'Aegypti Eggs'!$A$141:$A$145</c:f>
              <c:strCache>
                <c:ptCount val="1"/>
                <c:pt idx="0">
                  <c:v>Infected + NOT Disseminated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'Aegypti Eggs'!#REF!</c:f>
            </c:numRef>
          </c:xVal>
          <c:yVal>
            <c:numRef>
              <c:f>'Aegypti Eggs'!$E$143:$R$143</c:f>
              <c:numCache>
                <c:formatCode>General</c:formatCode>
                <c:ptCount val="14"/>
                <c:pt idx="0">
                  <c:v>2.5</c:v>
                </c:pt>
                <c:pt idx="1">
                  <c:v>8.2105263157894743</c:v>
                </c:pt>
                <c:pt idx="2">
                  <c:v>0.46153846153846156</c:v>
                </c:pt>
                <c:pt idx="3">
                  <c:v>2.333333333333333</c:v>
                </c:pt>
                <c:pt idx="4">
                  <c:v>8.6666666666666661</c:v>
                </c:pt>
                <c:pt idx="5">
                  <c:v>0</c:v>
                </c:pt>
                <c:pt idx="6">
                  <c:v>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  <c:pt idx="12">
                  <c:v>0</c:v>
                </c:pt>
                <c:pt idx="13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62-4AEE-AC30-E169F1DEBD91}"/>
            </c:ext>
          </c:extLst>
        </c:ser>
        <c:ser>
          <c:idx val="3"/>
          <c:order val="3"/>
          <c:tx>
            <c:strRef>
              <c:f>'Aegypti Eggs'!$A$146:$A$150</c:f>
              <c:strCache>
                <c:ptCount val="1"/>
                <c:pt idx="0">
                  <c:v>Infected + Disseminated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'Aegypti Eggs'!#REF!</c:f>
            </c:numRef>
          </c:xVal>
          <c:yVal>
            <c:numRef>
              <c:f>'Aegypti Eggs'!$E$148:$R$148</c:f>
              <c:numCache>
                <c:formatCode>General</c:formatCode>
                <c:ptCount val="14"/>
                <c:pt idx="0">
                  <c:v>0</c:v>
                </c:pt>
                <c:pt idx="1">
                  <c:v>9.75</c:v>
                </c:pt>
                <c:pt idx="2">
                  <c:v>0.63157894736842102</c:v>
                </c:pt>
                <c:pt idx="3">
                  <c:v>0.14583333333333331</c:v>
                </c:pt>
                <c:pt idx="4">
                  <c:v>5.2162162162162167</c:v>
                </c:pt>
                <c:pt idx="5">
                  <c:v>2.0857142857142854</c:v>
                </c:pt>
                <c:pt idx="6">
                  <c:v>4.2592592592592586</c:v>
                </c:pt>
                <c:pt idx="7">
                  <c:v>3.25</c:v>
                </c:pt>
                <c:pt idx="8">
                  <c:v>1.5714285714285712</c:v>
                </c:pt>
                <c:pt idx="9">
                  <c:v>0</c:v>
                </c:pt>
                <c:pt idx="10">
                  <c:v>0.4</c:v>
                </c:pt>
                <c:pt idx="11">
                  <c:v>3.5</c:v>
                </c:pt>
                <c:pt idx="12">
                  <c:v>1.9999999999999998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62-4AEE-AC30-E169F1DEBD91}"/>
            </c:ext>
          </c:extLst>
        </c:ser>
        <c:ser>
          <c:idx val="4"/>
          <c:order val="4"/>
          <c:tx>
            <c:strRef>
              <c:f>'Aegypti Eggs'!$A$151:$A$155</c:f>
              <c:strCache>
                <c:ptCount val="1"/>
                <c:pt idx="0">
                  <c:v>Exposed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'Aegypti Eggs'!#REF!</c:f>
            </c:numRef>
          </c:xVal>
          <c:yVal>
            <c:numRef>
              <c:f>'Aegypti Eggs'!$E$153:$R$153</c:f>
              <c:numCache>
                <c:formatCode>General</c:formatCode>
                <c:ptCount val="14"/>
                <c:pt idx="0">
                  <c:v>0.42016806722689076</c:v>
                </c:pt>
                <c:pt idx="1">
                  <c:v>14.291666666666666</c:v>
                </c:pt>
                <c:pt idx="2">
                  <c:v>0.94936708860759489</c:v>
                </c:pt>
                <c:pt idx="3">
                  <c:v>0.44444444444444442</c:v>
                </c:pt>
                <c:pt idx="4">
                  <c:v>6.1578947368421053</c:v>
                </c:pt>
                <c:pt idx="5">
                  <c:v>2.4565217391304346</c:v>
                </c:pt>
                <c:pt idx="6">
                  <c:v>14.037037037037036</c:v>
                </c:pt>
                <c:pt idx="7">
                  <c:v>4.4444444444444446</c:v>
                </c:pt>
                <c:pt idx="8">
                  <c:v>1.5714285714285714</c:v>
                </c:pt>
                <c:pt idx="9">
                  <c:v>0</c:v>
                </c:pt>
                <c:pt idx="10">
                  <c:v>0.36363636363636365</c:v>
                </c:pt>
                <c:pt idx="11">
                  <c:v>6.5555555555555554</c:v>
                </c:pt>
                <c:pt idx="12">
                  <c:v>8.4</c:v>
                </c:pt>
                <c:pt idx="13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62-4AEE-AC30-E169F1DEBD91}"/>
            </c:ext>
          </c:extLst>
        </c:ser>
        <c:ser>
          <c:idx val="5"/>
          <c:order val="5"/>
          <c:tx>
            <c:strRef>
              <c:f>'Aegypti Eggs'!$A$156:$A$160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'Aegypti Eggs'!#REF!</c:f>
            </c:numRef>
          </c:xVal>
          <c:yVal>
            <c:numRef>
              <c:f>'Aegypti Eggs'!$E$158:$R$158</c:f>
              <c:numCache>
                <c:formatCode>General</c:formatCode>
                <c:ptCount val="14"/>
                <c:pt idx="0">
                  <c:v>0</c:v>
                </c:pt>
                <c:pt idx="1">
                  <c:v>16.689655172413794</c:v>
                </c:pt>
                <c:pt idx="2">
                  <c:v>1.5714285714285714</c:v>
                </c:pt>
                <c:pt idx="3">
                  <c:v>0</c:v>
                </c:pt>
                <c:pt idx="4">
                  <c:v>7.2857142857142856</c:v>
                </c:pt>
                <c:pt idx="5">
                  <c:v>2.8571428571428572</c:v>
                </c:pt>
                <c:pt idx="6">
                  <c:v>11.538461538461538</c:v>
                </c:pt>
                <c:pt idx="7">
                  <c:v>5.6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15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F62-4AEE-AC30-E169F1DEB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04192"/>
        <c:axId val="516304520"/>
      </c:scatterChart>
      <c:valAx>
        <c:axId val="5163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04520"/>
        <c:crosses val="autoZero"/>
        <c:crossBetween val="midCat"/>
      </c:valAx>
      <c:valAx>
        <c:axId val="51630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Eggs Laid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0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'Aegypti Eggs'!$C$128</c:f>
              <c:strCache>
                <c:ptCount val="1"/>
                <c:pt idx="0">
                  <c:v>Daily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'Aegypti Eggs'!$E$128:$R$128</c:f>
              <c:numCache>
                <c:formatCode>General</c:formatCode>
                <c:ptCount val="14"/>
                <c:pt idx="0">
                  <c:v>50</c:v>
                </c:pt>
                <c:pt idx="1">
                  <c:v>1372</c:v>
                </c:pt>
                <c:pt idx="2">
                  <c:v>75</c:v>
                </c:pt>
                <c:pt idx="3">
                  <c:v>28</c:v>
                </c:pt>
                <c:pt idx="4">
                  <c:v>351</c:v>
                </c:pt>
                <c:pt idx="5">
                  <c:v>113</c:v>
                </c:pt>
                <c:pt idx="6">
                  <c:v>379</c:v>
                </c:pt>
                <c:pt idx="7">
                  <c:v>80</c:v>
                </c:pt>
                <c:pt idx="8">
                  <c:v>22</c:v>
                </c:pt>
                <c:pt idx="9">
                  <c:v>0</c:v>
                </c:pt>
                <c:pt idx="10">
                  <c:v>4</c:v>
                </c:pt>
                <c:pt idx="11">
                  <c:v>59</c:v>
                </c:pt>
                <c:pt idx="12">
                  <c:v>42</c:v>
                </c:pt>
                <c:pt idx="13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DBB-49FC-B110-63058F65A13B}"/>
            </c:ext>
          </c:extLst>
        </c:ser>
        <c:ser>
          <c:idx val="0"/>
          <c:order val="1"/>
          <c:tx>
            <c:strRef>
              <c:f>'Aegypti Eggs'!$C$8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'Aegypti Eggs'!$E$8:$R$8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9DBB-49FC-B110-63058F65A13B}"/>
            </c:ext>
          </c:extLst>
        </c:ser>
        <c:ser>
          <c:idx val="2"/>
          <c:order val="2"/>
          <c:tx>
            <c:strRef>
              <c:f>'Aegypti Eggs'!$C$9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'Aegypti Eggs'!$E$9:$R$9</c:f>
              <c:numCache>
                <c:formatCode>General</c:formatCode>
                <c:ptCount val="14"/>
                <c:pt idx="1">
                  <c:v>3</c:v>
                </c:pt>
                <c:pt idx="6">
                  <c:v>19</c:v>
                </c:pt>
                <c:pt idx="11">
                  <c:v>2</c:v>
                </c:pt>
                <c:pt idx="12">
                  <c:v>30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9DBB-49FC-B110-63058F65A13B}"/>
            </c:ext>
          </c:extLst>
        </c:ser>
        <c:ser>
          <c:idx val="3"/>
          <c:order val="3"/>
          <c:tx>
            <c:strRef>
              <c:f>'Aegypti Eggs'!$C$10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'Aegypti Eggs'!$E$10:$R$10</c:f>
              <c:numCache>
                <c:formatCode>General</c:formatCode>
                <c:ptCount val="14"/>
                <c:pt idx="1">
                  <c:v>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9DBB-49FC-B110-63058F65A13B}"/>
            </c:ext>
          </c:extLst>
        </c:ser>
        <c:ser>
          <c:idx val="4"/>
          <c:order val="4"/>
          <c:tx>
            <c:strRef>
              <c:f>'Aegypti Eggs'!$C$11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'Aegypti Eggs'!$E$11:$R$11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9DBB-49FC-B110-63058F65A13B}"/>
            </c:ext>
          </c:extLst>
        </c:ser>
        <c:ser>
          <c:idx val="5"/>
          <c:order val="5"/>
          <c:tx>
            <c:strRef>
              <c:f>'Aegypti Eggs'!$C$12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'Aegypti Eggs'!$E$12:$R$12</c:f>
              <c:numCache>
                <c:formatCode>General</c:formatCode>
                <c:ptCount val="14"/>
                <c:pt idx="1">
                  <c:v>4</c:v>
                </c:pt>
                <c:pt idx="4">
                  <c:v>50</c:v>
                </c:pt>
                <c:pt idx="5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9DBB-49FC-B110-63058F65A13B}"/>
            </c:ext>
          </c:extLst>
        </c:ser>
        <c:ser>
          <c:idx val="6"/>
          <c:order val="6"/>
          <c:tx>
            <c:strRef>
              <c:f>'Aegypti Eggs'!$C$13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Eggs'!$E$13:$R$13</c:f>
              <c:numCache>
                <c:formatCode>General</c:formatCode>
                <c:ptCount val="14"/>
                <c:pt idx="1">
                  <c:v>23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9DBB-49FC-B110-63058F65A13B}"/>
            </c:ext>
          </c:extLst>
        </c:ser>
        <c:ser>
          <c:idx val="7"/>
          <c:order val="7"/>
          <c:tx>
            <c:strRef>
              <c:f>'Aegypti Eggs'!$C$14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Eggs'!$E$14:$R$14</c:f>
              <c:numCache>
                <c:formatCode>General</c:formatCode>
                <c:ptCount val="14"/>
                <c:pt idx="1">
                  <c:v>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7-9DBB-49FC-B110-63058F65A13B}"/>
            </c:ext>
          </c:extLst>
        </c:ser>
        <c:ser>
          <c:idx val="8"/>
          <c:order val="8"/>
          <c:tx>
            <c:strRef>
              <c:f>'Aegypti Eggs'!$C$15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Eggs'!$E$15:$R$15</c:f>
              <c:numCache>
                <c:formatCode>General</c:formatCode>
                <c:ptCount val="14"/>
                <c:pt idx="1">
                  <c:v>5</c:v>
                </c:pt>
                <c:pt idx="4">
                  <c:v>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8-9DBB-49FC-B110-63058F65A13B}"/>
            </c:ext>
          </c:extLst>
        </c:ser>
        <c:ser>
          <c:idx val="9"/>
          <c:order val="9"/>
          <c:tx>
            <c:strRef>
              <c:f>'Aegypti Eggs'!$C$16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Eggs'!$E$16:$R$16</c:f>
              <c:numCache>
                <c:formatCode>General</c:formatCode>
                <c:ptCount val="14"/>
                <c:pt idx="1">
                  <c:v>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9-9DBB-49FC-B110-63058F65A13B}"/>
            </c:ext>
          </c:extLst>
        </c:ser>
        <c:ser>
          <c:idx val="10"/>
          <c:order val="10"/>
          <c:tx>
            <c:strRef>
              <c:f>'Aegypti Eggs'!$C$17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Eggs'!$E$17:$R$17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A-9DBB-49FC-B110-63058F65A13B}"/>
            </c:ext>
          </c:extLst>
        </c:ser>
        <c:ser>
          <c:idx val="11"/>
          <c:order val="11"/>
          <c:tx>
            <c:strRef>
              <c:f>'Aegypti Eggs'!$C$18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Eggs'!$E$18:$R$18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B-9DBB-49FC-B110-63058F65A13B}"/>
            </c:ext>
          </c:extLst>
        </c:ser>
        <c:ser>
          <c:idx val="12"/>
          <c:order val="12"/>
          <c:tx>
            <c:strRef>
              <c:f>'Aegypti Eggs'!$C$19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Eggs'!$E$19:$R$19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C-9DBB-49FC-B110-63058F65A13B}"/>
            </c:ext>
          </c:extLst>
        </c:ser>
        <c:ser>
          <c:idx val="13"/>
          <c:order val="13"/>
          <c:tx>
            <c:strRef>
              <c:f>'Aegypti Eggs'!$C$20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Eggs'!$E$20:$R$20</c:f>
              <c:numCache>
                <c:formatCode>General</c:formatCode>
                <c:ptCount val="14"/>
                <c:pt idx="1">
                  <c:v>10</c:v>
                </c:pt>
                <c:pt idx="4">
                  <c:v>38</c:v>
                </c:pt>
                <c:pt idx="6">
                  <c:v>35</c:v>
                </c:pt>
                <c:pt idx="7">
                  <c:v>15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D-9DBB-49FC-B110-63058F65A13B}"/>
            </c:ext>
          </c:extLst>
        </c:ser>
        <c:ser>
          <c:idx val="14"/>
          <c:order val="14"/>
          <c:tx>
            <c:strRef>
              <c:f>'Aegypti Eggs'!$C$21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Eggs'!$E$21:$R$21</c:f>
              <c:numCache>
                <c:formatCode>General</c:formatCode>
                <c:ptCount val="14"/>
                <c:pt idx="1">
                  <c:v>71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E-9DBB-49FC-B110-63058F65A13B}"/>
            </c:ext>
          </c:extLst>
        </c:ser>
        <c:ser>
          <c:idx val="15"/>
          <c:order val="15"/>
          <c:tx>
            <c:strRef>
              <c:f>'Aegypti Eggs'!$C$22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Eggs'!$E$22:$R$22</c:f>
              <c:numCache>
                <c:formatCode>General</c:formatCode>
                <c:ptCount val="14"/>
                <c:pt idx="1">
                  <c:v>21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F-9DBB-49FC-B110-63058F65A13B}"/>
            </c:ext>
          </c:extLst>
        </c:ser>
        <c:ser>
          <c:idx val="16"/>
          <c:order val="16"/>
          <c:tx>
            <c:strRef>
              <c:f>'Aegypti Eggs'!$C$23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Eggs'!$E$23:$R$23</c:f>
              <c:numCache>
                <c:formatCode>General</c:formatCode>
                <c:ptCount val="14"/>
                <c:pt idx="1">
                  <c:v>0</c:v>
                </c:pt>
                <c:pt idx="6">
                  <c:v>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0-9DBB-49FC-B110-63058F65A13B}"/>
            </c:ext>
          </c:extLst>
        </c:ser>
        <c:ser>
          <c:idx val="17"/>
          <c:order val="17"/>
          <c:tx>
            <c:strRef>
              <c:f>'Aegypti Eggs'!$C$24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Eggs'!$E$24:$R$24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1-9DBB-49FC-B110-63058F65A13B}"/>
            </c:ext>
          </c:extLst>
        </c:ser>
        <c:ser>
          <c:idx val="18"/>
          <c:order val="18"/>
          <c:tx>
            <c:strRef>
              <c:f>'Aegypti Eggs'!$C$25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Eggs'!$E$25:$R$25</c:f>
              <c:numCache>
                <c:formatCode>General</c:formatCode>
                <c:ptCount val="14"/>
                <c:pt idx="1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2-9DBB-49FC-B110-63058F65A13B}"/>
            </c:ext>
          </c:extLst>
        </c:ser>
        <c:ser>
          <c:idx val="19"/>
          <c:order val="19"/>
          <c:tx>
            <c:strRef>
              <c:f>'Aegypti Eggs'!$C$26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Eggs'!$E$26:$R$26</c:f>
              <c:numCache>
                <c:formatCode>General</c:formatCode>
                <c:ptCount val="14"/>
                <c:pt idx="1">
                  <c:v>15</c:v>
                </c:pt>
                <c:pt idx="4">
                  <c:v>15</c:v>
                </c:pt>
                <c:pt idx="6">
                  <c:v>35</c:v>
                </c:pt>
                <c:pt idx="7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3-9DBB-49FC-B110-63058F65A13B}"/>
            </c:ext>
          </c:extLst>
        </c:ser>
        <c:ser>
          <c:idx val="20"/>
          <c:order val="20"/>
          <c:tx>
            <c:strRef>
              <c:f>'Aegypti Eggs'!$C$27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Eggs'!$E$27:$R$27</c:f>
              <c:numCache>
                <c:formatCode>General</c:formatCode>
                <c:ptCount val="14"/>
                <c:pt idx="1">
                  <c:v>16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4-9DBB-49FC-B110-63058F65A13B}"/>
            </c:ext>
          </c:extLst>
        </c:ser>
        <c:ser>
          <c:idx val="21"/>
          <c:order val="21"/>
          <c:tx>
            <c:strRef>
              <c:f>'Aegypti Eggs'!$C$28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Eggs'!$E$28:$R$28</c:f>
              <c:numCache>
                <c:formatCode>General</c:formatCode>
                <c:ptCount val="14"/>
                <c:pt idx="1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5-9DBB-49FC-B110-63058F65A13B}"/>
            </c:ext>
          </c:extLst>
        </c:ser>
        <c:ser>
          <c:idx val="22"/>
          <c:order val="22"/>
          <c:tx>
            <c:strRef>
              <c:f>'Aegypti Eggs'!$C$29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Eggs'!$E$29:$R$29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6-9DBB-49FC-B110-63058F65A13B}"/>
            </c:ext>
          </c:extLst>
        </c:ser>
        <c:ser>
          <c:idx val="23"/>
          <c:order val="23"/>
          <c:tx>
            <c:strRef>
              <c:f>'Aegypti Eggs'!$C$30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Eggs'!$E$30:$R$30</c:f>
              <c:numCache>
                <c:formatCode>General</c:formatCode>
                <c:ptCount val="14"/>
                <c:pt idx="1">
                  <c:v>56</c:v>
                </c:pt>
                <c:pt idx="4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7-9DBB-49FC-B110-63058F65A13B}"/>
            </c:ext>
          </c:extLst>
        </c:ser>
        <c:ser>
          <c:idx val="24"/>
          <c:order val="24"/>
          <c:tx>
            <c:strRef>
              <c:f>'Aegypti Eggs'!$C$31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Eggs'!$E$31:$R$31</c:f>
              <c:numCache>
                <c:formatCode>General</c:formatCode>
                <c:ptCount val="14"/>
                <c:pt idx="1">
                  <c:v>16</c:v>
                </c:pt>
                <c:pt idx="4">
                  <c:v>5</c:v>
                </c:pt>
                <c:pt idx="6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8-9DBB-49FC-B110-63058F65A13B}"/>
            </c:ext>
          </c:extLst>
        </c:ser>
        <c:ser>
          <c:idx val="25"/>
          <c:order val="25"/>
          <c:tx>
            <c:strRef>
              <c:f>'Aegypti Eggs'!$C$32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Eggs'!$E$32:$R$32</c:f>
              <c:numCache>
                <c:formatCode>General</c:formatCode>
                <c:ptCount val="14"/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9-9DBB-49FC-B110-63058F65A13B}"/>
            </c:ext>
          </c:extLst>
        </c:ser>
        <c:ser>
          <c:idx val="26"/>
          <c:order val="26"/>
          <c:tx>
            <c:strRef>
              <c:f>'Aegypti Eggs'!$C$33</c:f>
              <c:strCache>
                <c:ptCount val="1"/>
                <c:pt idx="0">
                  <c:v>26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Eggs'!$E$33:$R$33</c:f>
              <c:numCache>
                <c:formatCode>General</c:formatCode>
                <c:ptCount val="14"/>
                <c:pt idx="1">
                  <c:v>51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A-9DBB-49FC-B110-63058F65A13B}"/>
            </c:ext>
          </c:extLst>
        </c:ser>
        <c:ser>
          <c:idx val="27"/>
          <c:order val="27"/>
          <c:tx>
            <c:strRef>
              <c:f>'Aegypti Eggs'!$C$34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Eggs'!$E$34:$R$34</c:f>
              <c:numCache>
                <c:formatCode>General</c:formatCode>
                <c:ptCount val="14"/>
                <c:pt idx="1">
                  <c:v>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B-9DBB-49FC-B110-63058F65A13B}"/>
            </c:ext>
          </c:extLst>
        </c:ser>
        <c:ser>
          <c:idx val="28"/>
          <c:order val="28"/>
          <c:tx>
            <c:strRef>
              <c:f>'Aegypti Eggs'!$C$35</c:f>
              <c:strCache>
                <c:ptCount val="1"/>
                <c:pt idx="0">
                  <c:v>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Eggs'!$E$35:$R$35</c:f>
              <c:numCache>
                <c:formatCode>General</c:formatCode>
                <c:ptCount val="14"/>
                <c:pt idx="1">
                  <c:v>20</c:v>
                </c:pt>
                <c:pt idx="2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C-9DBB-49FC-B110-63058F65A13B}"/>
            </c:ext>
          </c:extLst>
        </c:ser>
        <c:ser>
          <c:idx val="29"/>
          <c:order val="29"/>
          <c:tx>
            <c:strRef>
              <c:f>'Aegypti Eggs'!$C$36</c:f>
              <c:strCache>
                <c:ptCount val="1"/>
                <c:pt idx="0">
                  <c:v>29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Eggs'!$E$36:$R$36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D-9DBB-49FC-B110-63058F65A13B}"/>
            </c:ext>
          </c:extLst>
        </c:ser>
        <c:ser>
          <c:idx val="30"/>
          <c:order val="30"/>
          <c:tx>
            <c:strRef>
              <c:f>'Aegypti Eggs'!$C$37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Eggs'!$E$37:$R$37</c:f>
              <c:numCache>
                <c:formatCode>General</c:formatCode>
                <c:ptCount val="14"/>
                <c:pt idx="1">
                  <c:v>47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E-9DBB-49FC-B110-63058F65A13B}"/>
            </c:ext>
          </c:extLst>
        </c:ser>
        <c:ser>
          <c:idx val="31"/>
          <c:order val="31"/>
          <c:tx>
            <c:strRef>
              <c:f>'Aegypti Eggs'!$C$38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Eggs'!$E$38:$R$38</c:f>
              <c:numCache>
                <c:formatCode>General</c:formatCode>
                <c:ptCount val="14"/>
                <c:pt idx="1">
                  <c:v>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1F-9DBB-49FC-B110-63058F65A13B}"/>
            </c:ext>
          </c:extLst>
        </c:ser>
        <c:ser>
          <c:idx val="32"/>
          <c:order val="32"/>
          <c:tx>
            <c:strRef>
              <c:f>'Aegypti Eggs'!$C$39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Eggs'!$E$39:$R$39</c:f>
              <c:numCache>
                <c:formatCode>General</c:formatCode>
                <c:ptCount val="14"/>
                <c:pt idx="1">
                  <c:v>0</c:v>
                </c:pt>
                <c:pt idx="2">
                  <c:v>33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0-9DBB-49FC-B110-63058F65A13B}"/>
            </c:ext>
          </c:extLst>
        </c:ser>
        <c:ser>
          <c:idx val="33"/>
          <c:order val="33"/>
          <c:tx>
            <c:strRef>
              <c:f>'Aegypti Eggs'!$C$40</c:f>
              <c:strCache>
                <c:ptCount val="1"/>
                <c:pt idx="0">
                  <c:v>33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Eggs'!$E$40:$R$40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1-9DBB-49FC-B110-63058F65A13B}"/>
            </c:ext>
          </c:extLst>
        </c:ser>
        <c:ser>
          <c:idx val="34"/>
          <c:order val="34"/>
          <c:tx>
            <c:strRef>
              <c:f>'Aegypti Eggs'!$C$41</c:f>
              <c:strCache>
                <c:ptCount val="1"/>
                <c:pt idx="0">
                  <c:v>34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Eggs'!$E$41:$R$41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2-9DBB-49FC-B110-63058F65A13B}"/>
            </c:ext>
          </c:extLst>
        </c:ser>
        <c:ser>
          <c:idx val="35"/>
          <c:order val="35"/>
          <c:tx>
            <c:strRef>
              <c:f>'Aegypti Eggs'!$C$42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Eggs'!$E$42:$R$42</c:f>
              <c:numCache>
                <c:formatCode>General</c:formatCode>
                <c:ptCount val="14"/>
                <c:pt idx="0">
                  <c:v>50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3-9DBB-49FC-B110-63058F65A13B}"/>
            </c:ext>
          </c:extLst>
        </c:ser>
        <c:ser>
          <c:idx val="36"/>
          <c:order val="36"/>
          <c:tx>
            <c:strRef>
              <c:f>'Aegypti Eggs'!$C$43</c:f>
              <c:strCache>
                <c:ptCount val="1"/>
                <c:pt idx="0">
                  <c:v>36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Eggs'!$E$43:$R$43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4-9DBB-49FC-B110-63058F65A13B}"/>
            </c:ext>
          </c:extLst>
        </c:ser>
        <c:ser>
          <c:idx val="37"/>
          <c:order val="37"/>
          <c:tx>
            <c:strRef>
              <c:f>'Aegypti Eggs'!$C$44</c:f>
              <c:strCache>
                <c:ptCount val="1"/>
                <c:pt idx="0">
                  <c:v>37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Eggs'!$E$44:$R$44</c:f>
              <c:numCache>
                <c:formatCode>General</c:formatCode>
                <c:ptCount val="14"/>
                <c:pt idx="1">
                  <c:v>34</c:v>
                </c:pt>
                <c:pt idx="4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5-9DBB-49FC-B110-63058F65A13B}"/>
            </c:ext>
          </c:extLst>
        </c:ser>
        <c:ser>
          <c:idx val="38"/>
          <c:order val="38"/>
          <c:tx>
            <c:strRef>
              <c:f>'Aegypti Eggs'!$C$45</c:f>
              <c:strCache>
                <c:ptCount val="1"/>
                <c:pt idx="0">
                  <c:v>38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Eggs'!$E$45:$R$45</c:f>
              <c:numCache>
                <c:formatCode>General</c:formatCode>
                <c:ptCount val="14"/>
                <c:pt idx="1">
                  <c:v>49</c:v>
                </c:pt>
                <c:pt idx="2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6-9DBB-49FC-B110-63058F65A13B}"/>
            </c:ext>
          </c:extLst>
        </c:ser>
        <c:ser>
          <c:idx val="39"/>
          <c:order val="39"/>
          <c:tx>
            <c:strRef>
              <c:f>'Aegypti Eggs'!$C$46</c:f>
              <c:strCache>
                <c:ptCount val="1"/>
                <c:pt idx="0">
                  <c:v>39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Eggs'!$E$46:$R$46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7-9DBB-49FC-B110-63058F65A13B}"/>
            </c:ext>
          </c:extLst>
        </c:ser>
        <c:ser>
          <c:idx val="40"/>
          <c:order val="40"/>
          <c:tx>
            <c:strRef>
              <c:f>'Aegypti Eggs'!$C$47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Eggs'!$E$47:$R$47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8-9DBB-49FC-B110-63058F65A13B}"/>
            </c:ext>
          </c:extLst>
        </c:ser>
        <c:ser>
          <c:idx val="41"/>
          <c:order val="41"/>
          <c:tx>
            <c:strRef>
              <c:f>'Aegypti Eggs'!$C$48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Eggs'!$E$48:$R$48</c:f>
              <c:numCache>
                <c:formatCode>General</c:formatCode>
                <c:ptCount val="14"/>
                <c:pt idx="1">
                  <c:v>46</c:v>
                </c:pt>
                <c:pt idx="4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9-9DBB-49FC-B110-63058F65A13B}"/>
            </c:ext>
          </c:extLst>
        </c:ser>
        <c:ser>
          <c:idx val="42"/>
          <c:order val="42"/>
          <c:tx>
            <c:strRef>
              <c:f>'Aegypti Eggs'!$C$49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Eggs'!$E$49:$R$49</c:f>
              <c:numCache>
                <c:formatCode>General</c:formatCode>
                <c:ptCount val="14"/>
                <c:pt idx="1">
                  <c:v>12</c:v>
                </c:pt>
                <c:pt idx="4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A-9DBB-49FC-B110-63058F65A13B}"/>
            </c:ext>
          </c:extLst>
        </c:ser>
        <c:ser>
          <c:idx val="43"/>
          <c:order val="43"/>
          <c:tx>
            <c:strRef>
              <c:f>'Aegypti Eggs'!$C$50</c:f>
              <c:strCache>
                <c:ptCount val="1"/>
                <c:pt idx="0">
                  <c:v>43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Eggs'!$E$50:$R$50</c:f>
              <c:numCache>
                <c:formatCode>General</c:formatCode>
                <c:ptCount val="14"/>
                <c:pt idx="1">
                  <c:v>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B-9DBB-49FC-B110-63058F65A13B}"/>
            </c:ext>
          </c:extLst>
        </c:ser>
        <c:ser>
          <c:idx val="44"/>
          <c:order val="44"/>
          <c:tx>
            <c:strRef>
              <c:f>'Aegypti Eggs'!$C$51</c:f>
              <c:strCache>
                <c:ptCount val="1"/>
                <c:pt idx="0">
                  <c:v>44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Eggs'!$E$51:$R$51</c:f>
              <c:numCache>
                <c:formatCode>General</c:formatCode>
                <c:ptCount val="14"/>
                <c:pt idx="1">
                  <c:v>12</c:v>
                </c:pt>
                <c:pt idx="4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C-9DBB-49FC-B110-63058F65A13B}"/>
            </c:ext>
          </c:extLst>
        </c:ser>
        <c:ser>
          <c:idx val="45"/>
          <c:order val="45"/>
          <c:tx>
            <c:strRef>
              <c:f>'Aegypti Eggs'!$C$52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Eggs'!$E$52:$R$52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D-9DBB-49FC-B110-63058F65A13B}"/>
            </c:ext>
          </c:extLst>
        </c:ser>
        <c:ser>
          <c:idx val="46"/>
          <c:order val="46"/>
          <c:tx>
            <c:strRef>
              <c:f>'Aegypti Eggs'!$C$53</c:f>
              <c:strCache>
                <c:ptCount val="1"/>
                <c:pt idx="0">
                  <c:v>46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Eggs'!$E$53:$R$53</c:f>
              <c:numCache>
                <c:formatCode>General</c:formatCode>
                <c:ptCount val="14"/>
                <c:pt idx="1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E-9DBB-49FC-B110-63058F65A13B}"/>
            </c:ext>
          </c:extLst>
        </c:ser>
        <c:ser>
          <c:idx val="47"/>
          <c:order val="47"/>
          <c:tx>
            <c:strRef>
              <c:f>'Aegypti Eggs'!$C$54</c:f>
              <c:strCache>
                <c:ptCount val="1"/>
                <c:pt idx="0">
                  <c:v>47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Eggs'!$E$54:$R$54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2F-9DBB-49FC-B110-63058F65A13B}"/>
            </c:ext>
          </c:extLst>
        </c:ser>
        <c:ser>
          <c:idx val="48"/>
          <c:order val="48"/>
          <c:tx>
            <c:strRef>
              <c:f>'Aegypti Eggs'!$C$55</c:f>
              <c:strCache>
                <c:ptCount val="1"/>
                <c:pt idx="0">
                  <c:v>48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Eggs'!$E$55:$R$55</c:f>
              <c:numCache>
                <c:formatCode>General</c:formatCode>
                <c:ptCount val="14"/>
                <c:pt idx="3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0-9DBB-49FC-B110-63058F65A13B}"/>
            </c:ext>
          </c:extLst>
        </c:ser>
        <c:ser>
          <c:idx val="49"/>
          <c:order val="49"/>
          <c:tx>
            <c:strRef>
              <c:f>'Aegypti Eggs'!$C$56</c:f>
              <c:strCache>
                <c:ptCount val="1"/>
                <c:pt idx="0">
                  <c:v>49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Eggs'!$E$56:$R$56</c:f>
              <c:numCache>
                <c:formatCode>General</c:formatCode>
                <c:ptCount val="14"/>
                <c:pt idx="1">
                  <c:v>41</c:v>
                </c:pt>
                <c:pt idx="6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1-9DBB-49FC-B110-63058F65A13B}"/>
            </c:ext>
          </c:extLst>
        </c:ser>
        <c:ser>
          <c:idx val="50"/>
          <c:order val="50"/>
          <c:tx>
            <c:strRef>
              <c:f>'Aegypti Eggs'!$C$57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Eggs'!$E$57:$R$57</c:f>
              <c:numCache>
                <c:formatCode>General</c:formatCode>
                <c:ptCount val="14"/>
                <c:pt idx="1">
                  <c:v>0</c:v>
                </c:pt>
                <c:pt idx="6">
                  <c:v>0</c:v>
                </c:pt>
                <c:pt idx="7">
                  <c:v>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2-9DBB-49FC-B110-63058F65A13B}"/>
            </c:ext>
          </c:extLst>
        </c:ser>
        <c:ser>
          <c:idx val="51"/>
          <c:order val="51"/>
          <c:tx>
            <c:strRef>
              <c:f>'Aegypti Eggs'!$C$58</c:f>
              <c:strCache>
                <c:ptCount val="1"/>
                <c:pt idx="0">
                  <c:v>51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Eggs'!$E$58:$R$58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3-9DBB-49FC-B110-63058F65A13B}"/>
            </c:ext>
          </c:extLst>
        </c:ser>
        <c:ser>
          <c:idx val="52"/>
          <c:order val="52"/>
          <c:tx>
            <c:strRef>
              <c:f>'Aegypti Eggs'!$C$59</c:f>
              <c:strCache>
                <c:ptCount val="1"/>
                <c:pt idx="0">
                  <c:v>52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Eggs'!$E$59:$R$59</c:f>
              <c:numCache>
                <c:formatCode>General</c:formatCode>
                <c:ptCount val="14"/>
                <c:pt idx="1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4-9DBB-49FC-B110-63058F65A13B}"/>
            </c:ext>
          </c:extLst>
        </c:ser>
        <c:ser>
          <c:idx val="53"/>
          <c:order val="53"/>
          <c:tx>
            <c:strRef>
              <c:f>'Aegypti Eggs'!$C$60</c:f>
              <c:strCache>
                <c:ptCount val="1"/>
                <c:pt idx="0">
                  <c:v>53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Eggs'!$E$60:$R$60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5-9DBB-49FC-B110-63058F65A13B}"/>
            </c:ext>
          </c:extLst>
        </c:ser>
        <c:ser>
          <c:idx val="54"/>
          <c:order val="54"/>
          <c:tx>
            <c:strRef>
              <c:f>'Aegypti Eggs'!$C$61</c:f>
              <c:strCache>
                <c:ptCount val="1"/>
                <c:pt idx="0">
                  <c:v>54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'Aegypti Eggs'!$E$61:$R$61</c:f>
              <c:numCache>
                <c:formatCode>General</c:formatCode>
                <c:ptCount val="14"/>
                <c:pt idx="1">
                  <c:v>0</c:v>
                </c:pt>
                <c:pt idx="4">
                  <c:v>63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6-9DBB-49FC-B110-63058F65A13B}"/>
            </c:ext>
          </c:extLst>
        </c:ser>
        <c:ser>
          <c:idx val="55"/>
          <c:order val="55"/>
          <c:tx>
            <c:strRef>
              <c:f>'Aegypti Eggs'!$C$62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'Aegypti Eggs'!$E$62:$R$62</c:f>
              <c:numCache>
                <c:formatCode>General</c:formatCode>
                <c:ptCount val="14"/>
                <c:pt idx="5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7-9DBB-49FC-B110-63058F65A13B}"/>
            </c:ext>
          </c:extLst>
        </c:ser>
        <c:ser>
          <c:idx val="56"/>
          <c:order val="56"/>
          <c:tx>
            <c:strRef>
              <c:f>'Aegypti Eggs'!$C$63</c:f>
              <c:strCache>
                <c:ptCount val="1"/>
                <c:pt idx="0">
                  <c:v>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'Aegypti Eggs'!$E$63:$R$63</c:f>
              <c:numCache>
                <c:formatCode>General</c:formatCode>
                <c:ptCount val="14"/>
                <c:pt idx="6">
                  <c:v>30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8-9DBB-49FC-B110-63058F65A13B}"/>
            </c:ext>
          </c:extLst>
        </c:ser>
        <c:ser>
          <c:idx val="57"/>
          <c:order val="57"/>
          <c:tx>
            <c:strRef>
              <c:f>'Aegypti Eggs'!$C$64</c:f>
              <c:strCache>
                <c:ptCount val="1"/>
                <c:pt idx="0">
                  <c:v>57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'Aegypti Eggs'!$E$64:$R$64</c:f>
              <c:numCache>
                <c:formatCode>General</c:formatCode>
                <c:ptCount val="14"/>
                <c:pt idx="1">
                  <c:v>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9-9DBB-49FC-B110-63058F65A13B}"/>
            </c:ext>
          </c:extLst>
        </c:ser>
        <c:ser>
          <c:idx val="58"/>
          <c:order val="58"/>
          <c:tx>
            <c:strRef>
              <c:f>'Aegypti Eggs'!$C$65</c:f>
              <c:strCache>
                <c:ptCount val="1"/>
                <c:pt idx="0">
                  <c:v>58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'Aegypti Eggs'!$E$65:$R$65</c:f>
              <c:numCache>
                <c:formatCode>General</c:formatCode>
                <c:ptCount val="14"/>
                <c:pt idx="5">
                  <c:v>38</c:v>
                </c:pt>
                <c:pt idx="6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A-9DBB-49FC-B110-63058F65A13B}"/>
            </c:ext>
          </c:extLst>
        </c:ser>
        <c:ser>
          <c:idx val="59"/>
          <c:order val="59"/>
          <c:tx>
            <c:strRef>
              <c:f>'Aegypti Eggs'!$C$66</c:f>
              <c:strCache>
                <c:ptCount val="1"/>
                <c:pt idx="0">
                  <c:v>59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'Aegypti Eggs'!$E$66:$R$66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B-9DBB-49FC-B110-63058F65A13B}"/>
            </c:ext>
          </c:extLst>
        </c:ser>
        <c:ser>
          <c:idx val="60"/>
          <c:order val="60"/>
          <c:tx>
            <c:strRef>
              <c:f>'Aegypti Eggs'!$C$67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Eggs'!$E$67:$R$67</c:f>
              <c:numCache>
                <c:formatCode>General</c:formatCode>
                <c:ptCount val="14"/>
                <c:pt idx="1">
                  <c:v>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C-9DBB-49FC-B110-63058F65A13B}"/>
            </c:ext>
          </c:extLst>
        </c:ser>
        <c:ser>
          <c:idx val="61"/>
          <c:order val="61"/>
          <c:tx>
            <c:strRef>
              <c:f>'Aegypti Eggs'!$C$68</c:f>
              <c:strCache>
                <c:ptCount val="1"/>
                <c:pt idx="0">
                  <c:v>61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Eggs'!$E$68:$R$68</c:f>
              <c:numCache>
                <c:formatCode>General</c:formatCode>
                <c:ptCount val="14"/>
                <c:pt idx="1">
                  <c:v>22</c:v>
                </c:pt>
                <c:pt idx="6">
                  <c:v>1</c:v>
                </c:pt>
                <c:pt idx="11">
                  <c:v>1</c:v>
                </c:pt>
                <c:pt idx="12">
                  <c:v>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D-9DBB-49FC-B110-63058F65A13B}"/>
            </c:ext>
          </c:extLst>
        </c:ser>
        <c:ser>
          <c:idx val="62"/>
          <c:order val="62"/>
          <c:tx>
            <c:strRef>
              <c:f>'Aegypti Eggs'!$C$69</c:f>
              <c:strCache>
                <c:ptCount val="1"/>
                <c:pt idx="0">
                  <c:v>62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Eggs'!$E$69:$R$69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E-9DBB-49FC-B110-63058F65A13B}"/>
            </c:ext>
          </c:extLst>
        </c:ser>
        <c:ser>
          <c:idx val="63"/>
          <c:order val="63"/>
          <c:tx>
            <c:strRef>
              <c:f>'Aegypti Eggs'!$C$70</c:f>
              <c:strCache>
                <c:ptCount val="1"/>
                <c:pt idx="0">
                  <c:v>63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Eggs'!$E$70:$R$70</c:f>
              <c:numCache>
                <c:formatCode>General</c:formatCode>
                <c:ptCount val="14"/>
                <c:pt idx="1">
                  <c:v>0</c:v>
                </c:pt>
                <c:pt idx="6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3F-9DBB-49FC-B110-63058F65A13B}"/>
            </c:ext>
          </c:extLst>
        </c:ser>
        <c:ser>
          <c:idx val="64"/>
          <c:order val="64"/>
          <c:tx>
            <c:strRef>
              <c:f>'Aegypti Eggs'!$C$71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Eggs'!$E$71:$R$71</c:f>
              <c:numCache>
                <c:formatCode>General</c:formatCode>
                <c:ptCount val="14"/>
                <c:pt idx="1">
                  <c:v>0</c:v>
                </c:pt>
                <c:pt idx="6">
                  <c:v>1</c:v>
                </c:pt>
                <c:pt idx="11">
                  <c:v>5</c:v>
                </c:pt>
                <c:pt idx="12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0-9DBB-49FC-B110-63058F65A13B}"/>
            </c:ext>
          </c:extLst>
        </c:ser>
        <c:ser>
          <c:idx val="65"/>
          <c:order val="65"/>
          <c:tx>
            <c:strRef>
              <c:f>'Aegypti Eggs'!$C$72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Eggs'!$E$72:$R$72</c:f>
              <c:numCache>
                <c:formatCode>General</c:formatCode>
                <c:ptCount val="14"/>
                <c:pt idx="1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1-9DBB-49FC-B110-63058F65A13B}"/>
            </c:ext>
          </c:extLst>
        </c:ser>
        <c:ser>
          <c:idx val="66"/>
          <c:order val="66"/>
          <c:tx>
            <c:strRef>
              <c:f>'Aegypti Eggs'!$C$73</c:f>
              <c:strCache>
                <c:ptCount val="1"/>
                <c:pt idx="0">
                  <c:v>66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Eggs'!$E$73:$R$73</c:f>
              <c:numCache>
                <c:formatCode>General</c:formatCode>
                <c:ptCount val="14"/>
                <c:pt idx="4">
                  <c:v>15</c:v>
                </c:pt>
                <c:pt idx="6">
                  <c:v>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2-9DBB-49FC-B110-63058F65A13B}"/>
            </c:ext>
          </c:extLst>
        </c:ser>
        <c:ser>
          <c:idx val="67"/>
          <c:order val="67"/>
          <c:tx>
            <c:strRef>
              <c:f>'Aegypti Eggs'!$C$74</c:f>
              <c:strCache>
                <c:ptCount val="1"/>
                <c:pt idx="0">
                  <c:v>67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Eggs'!$E$74:$R$74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3-9DBB-49FC-B110-63058F65A13B}"/>
            </c:ext>
          </c:extLst>
        </c:ser>
        <c:ser>
          <c:idx val="68"/>
          <c:order val="68"/>
          <c:tx>
            <c:strRef>
              <c:f>'Aegypti Eggs'!$C$75</c:f>
              <c:strCache>
                <c:ptCount val="1"/>
                <c:pt idx="0">
                  <c:v>68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Eggs'!$E$75:$R$75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4-9DBB-49FC-B110-63058F65A13B}"/>
            </c:ext>
          </c:extLst>
        </c:ser>
        <c:ser>
          <c:idx val="69"/>
          <c:order val="69"/>
          <c:tx>
            <c:strRef>
              <c:f>'Aegypti Eggs'!$C$76</c:f>
              <c:strCache>
                <c:ptCount val="1"/>
                <c:pt idx="0">
                  <c:v>69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Eggs'!$E$76:$R$76</c:f>
              <c:numCache>
                <c:formatCode>General</c:formatCode>
                <c:ptCount val="14"/>
                <c:pt idx="1">
                  <c:v>39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5-9DBB-49FC-B110-63058F65A13B}"/>
            </c:ext>
          </c:extLst>
        </c:ser>
        <c:ser>
          <c:idx val="70"/>
          <c:order val="70"/>
          <c:tx>
            <c:strRef>
              <c:f>'Aegypti Eggs'!$C$77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Eggs'!$E$77:$R$77</c:f>
              <c:numCache>
                <c:formatCode>General</c:formatCode>
                <c:ptCount val="14"/>
                <c:pt idx="1">
                  <c:v>26</c:v>
                </c:pt>
                <c:pt idx="5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6-9DBB-49FC-B110-63058F65A13B}"/>
            </c:ext>
          </c:extLst>
        </c:ser>
        <c:ser>
          <c:idx val="71"/>
          <c:order val="71"/>
          <c:tx>
            <c:strRef>
              <c:f>'Aegypti Eggs'!$C$78</c:f>
              <c:strCache>
                <c:ptCount val="1"/>
                <c:pt idx="0">
                  <c:v>71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Eggs'!$E$78:$R$78</c:f>
              <c:numCache>
                <c:formatCode>General</c:formatCode>
                <c:ptCount val="14"/>
                <c:pt idx="1">
                  <c:v>18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7-9DBB-49FC-B110-63058F65A13B}"/>
            </c:ext>
          </c:extLst>
        </c:ser>
        <c:ser>
          <c:idx val="72"/>
          <c:order val="72"/>
          <c:tx>
            <c:strRef>
              <c:f>'Aegypti Eggs'!$C$79</c:f>
              <c:strCache>
                <c:ptCount val="1"/>
                <c:pt idx="0">
                  <c:v>72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Eggs'!$E$79:$R$79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8-9DBB-49FC-B110-63058F65A13B}"/>
            </c:ext>
          </c:extLst>
        </c:ser>
        <c:ser>
          <c:idx val="73"/>
          <c:order val="73"/>
          <c:tx>
            <c:strRef>
              <c:f>'Aegypti Eggs'!$C$80</c:f>
              <c:strCache>
                <c:ptCount val="1"/>
                <c:pt idx="0">
                  <c:v>73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Eggs'!$E$80:$R$80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9-9DBB-49FC-B110-63058F65A13B}"/>
            </c:ext>
          </c:extLst>
        </c:ser>
        <c:ser>
          <c:idx val="74"/>
          <c:order val="74"/>
          <c:tx>
            <c:strRef>
              <c:f>'Aegypti Eggs'!$C$81</c:f>
              <c:strCache>
                <c:ptCount val="1"/>
                <c:pt idx="0">
                  <c:v>74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Eggs'!$E$81:$R$81</c:f>
              <c:numCache>
                <c:formatCode>General</c:formatCode>
                <c:ptCount val="14"/>
                <c:pt idx="1">
                  <c:v>20</c:v>
                </c:pt>
                <c:pt idx="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A-9DBB-49FC-B110-63058F65A13B}"/>
            </c:ext>
          </c:extLst>
        </c:ser>
        <c:ser>
          <c:idx val="75"/>
          <c:order val="75"/>
          <c:tx>
            <c:strRef>
              <c:f>'Aegypti Eggs'!$C$82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Eggs'!$E$82:$R$82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B-9DBB-49FC-B110-63058F65A13B}"/>
            </c:ext>
          </c:extLst>
        </c:ser>
        <c:ser>
          <c:idx val="76"/>
          <c:order val="76"/>
          <c:tx>
            <c:strRef>
              <c:f>'Aegypti Eggs'!$C$83</c:f>
              <c:strCache>
                <c:ptCount val="1"/>
                <c:pt idx="0">
                  <c:v>76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Eggs'!$E$83:$R$83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C-9DBB-49FC-B110-63058F65A13B}"/>
            </c:ext>
          </c:extLst>
        </c:ser>
        <c:ser>
          <c:idx val="77"/>
          <c:order val="77"/>
          <c:tx>
            <c:strRef>
              <c:f>'Aegypti Eggs'!$C$84</c:f>
              <c:strCache>
                <c:ptCount val="1"/>
                <c:pt idx="0">
                  <c:v>77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'Aegypti Eggs'!$E$84:$R$84</c:f>
              <c:numCache>
                <c:formatCode>General</c:formatCode>
                <c:ptCount val="14"/>
                <c:pt idx="6">
                  <c:v>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D-9DBB-49FC-B110-63058F65A13B}"/>
            </c:ext>
          </c:extLst>
        </c:ser>
        <c:ser>
          <c:idx val="78"/>
          <c:order val="78"/>
          <c:tx>
            <c:strRef>
              <c:f>'Aegypti Eggs'!$C$85</c:f>
              <c:strCache>
                <c:ptCount val="1"/>
                <c:pt idx="0">
                  <c:v>78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Eggs'!$E$85:$R$85</c:f>
              <c:numCache>
                <c:formatCode>General</c:formatCode>
                <c:ptCount val="14"/>
                <c:pt idx="1">
                  <c:v>0</c:v>
                </c:pt>
                <c:pt idx="2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E-9DBB-49FC-B110-63058F65A13B}"/>
            </c:ext>
          </c:extLst>
        </c:ser>
        <c:ser>
          <c:idx val="79"/>
          <c:order val="79"/>
          <c:tx>
            <c:strRef>
              <c:f>'Aegypti Eggs'!$C$86</c:f>
              <c:strCache>
                <c:ptCount val="1"/>
                <c:pt idx="0">
                  <c:v>79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Eggs'!$E$86:$R$86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4F-9DBB-49FC-B110-63058F65A13B}"/>
            </c:ext>
          </c:extLst>
        </c:ser>
        <c:ser>
          <c:idx val="80"/>
          <c:order val="80"/>
          <c:tx>
            <c:strRef>
              <c:f>'Aegypti Eggs'!$C$87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Eggs'!$E$87:$R$87</c:f>
              <c:numCache>
                <c:formatCode>General</c:formatCode>
                <c:ptCount val="14"/>
                <c:pt idx="1">
                  <c:v>5</c:v>
                </c:pt>
                <c:pt idx="6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0-9DBB-49FC-B110-63058F65A13B}"/>
            </c:ext>
          </c:extLst>
        </c:ser>
        <c:ser>
          <c:idx val="81"/>
          <c:order val="81"/>
          <c:tx>
            <c:strRef>
              <c:f>'Aegypti Eggs'!$C$88</c:f>
              <c:strCache>
                <c:ptCount val="1"/>
                <c:pt idx="0">
                  <c:v>81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Eggs'!$E$88:$R$88</c:f>
              <c:numCache>
                <c:formatCode>General</c:formatCode>
                <c:ptCount val="14"/>
                <c:pt idx="1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1-9DBB-49FC-B110-63058F65A13B}"/>
            </c:ext>
          </c:extLst>
        </c:ser>
        <c:ser>
          <c:idx val="82"/>
          <c:order val="82"/>
          <c:tx>
            <c:strRef>
              <c:f>'Aegypti Eggs'!$C$89</c:f>
              <c:strCache>
                <c:ptCount val="1"/>
                <c:pt idx="0">
                  <c:v>82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Eggs'!$E$89:$R$89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2-9DBB-49FC-B110-63058F65A13B}"/>
            </c:ext>
          </c:extLst>
        </c:ser>
        <c:ser>
          <c:idx val="83"/>
          <c:order val="83"/>
          <c:tx>
            <c:strRef>
              <c:f>'Aegypti Eggs'!$C$90</c:f>
              <c:strCache>
                <c:ptCount val="1"/>
                <c:pt idx="0">
                  <c:v>83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'Aegypti Eggs'!$E$90:$R$90</c:f>
              <c:numCache>
                <c:formatCode>General</c:formatCode>
                <c:ptCount val="14"/>
                <c:pt idx="1">
                  <c:v>14</c:v>
                </c:pt>
                <c:pt idx="4">
                  <c:v>9</c:v>
                </c:pt>
                <c:pt idx="6">
                  <c:v>0</c:v>
                </c:pt>
                <c:pt idx="11">
                  <c:v>0</c:v>
                </c:pt>
                <c:pt idx="12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3-9DBB-49FC-B110-63058F65A13B}"/>
            </c:ext>
          </c:extLst>
        </c:ser>
        <c:ser>
          <c:idx val="84"/>
          <c:order val="84"/>
          <c:tx>
            <c:strRef>
              <c:f>'Aegypti Eggs'!$C$91</c:f>
              <c:strCache>
                <c:ptCount val="1"/>
                <c:pt idx="0">
                  <c:v>84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Eggs'!$E$91:$R$91</c:f>
              <c:numCache>
                <c:formatCode>General</c:formatCode>
                <c:ptCount val="14"/>
                <c:pt idx="1">
                  <c:v>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4-9DBB-49FC-B110-63058F65A13B}"/>
            </c:ext>
          </c:extLst>
        </c:ser>
        <c:ser>
          <c:idx val="85"/>
          <c:order val="85"/>
          <c:tx>
            <c:strRef>
              <c:f>'Aegypti Eggs'!$C$92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Eggs'!$E$92:$R$92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5-9DBB-49FC-B110-63058F65A13B}"/>
            </c:ext>
          </c:extLst>
        </c:ser>
        <c:ser>
          <c:idx val="86"/>
          <c:order val="86"/>
          <c:tx>
            <c:strRef>
              <c:f>'Aegypti Eggs'!$C$93</c:f>
              <c:strCache>
                <c:ptCount val="1"/>
                <c:pt idx="0">
                  <c:v>86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Eggs'!$E$93:$R$93</c:f>
              <c:numCache>
                <c:formatCode>General</c:formatCode>
                <c:ptCount val="14"/>
                <c:pt idx="1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6-9DBB-49FC-B110-63058F65A13B}"/>
            </c:ext>
          </c:extLst>
        </c:ser>
        <c:ser>
          <c:idx val="87"/>
          <c:order val="87"/>
          <c:tx>
            <c:strRef>
              <c:f>'Aegypti Eggs'!$C$94</c:f>
              <c:strCache>
                <c:ptCount val="1"/>
                <c:pt idx="0">
                  <c:v>87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Eggs'!$E$94:$R$94</c:f>
              <c:numCache>
                <c:formatCode>General</c:formatCode>
                <c:ptCount val="14"/>
                <c:pt idx="1">
                  <c:v>38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7-9DBB-49FC-B110-63058F65A13B}"/>
            </c:ext>
          </c:extLst>
        </c:ser>
        <c:ser>
          <c:idx val="88"/>
          <c:order val="88"/>
          <c:tx>
            <c:strRef>
              <c:f>'Aegypti Eggs'!$C$95</c:f>
              <c:strCache>
                <c:ptCount val="1"/>
                <c:pt idx="0">
                  <c:v>88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Eggs'!$E$95:$R$95</c:f>
              <c:numCache>
                <c:formatCode>General</c:formatCode>
                <c:ptCount val="14"/>
                <c:pt idx="1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8-9DBB-49FC-B110-63058F65A13B}"/>
            </c:ext>
          </c:extLst>
        </c:ser>
        <c:ser>
          <c:idx val="89"/>
          <c:order val="89"/>
          <c:tx>
            <c:strRef>
              <c:f>'Aegypti Eggs'!$C$96</c:f>
              <c:strCache>
                <c:ptCount val="1"/>
                <c:pt idx="0">
                  <c:v>89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'Aegypti Eggs'!$E$96:$R$96</c:f>
              <c:numCache>
                <c:formatCode>General</c:formatCode>
                <c:ptCount val="14"/>
                <c:pt idx="1">
                  <c:v>52</c:v>
                </c:pt>
                <c:pt idx="5">
                  <c:v>40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9-9DBB-49FC-B110-63058F65A13B}"/>
            </c:ext>
          </c:extLst>
        </c:ser>
        <c:ser>
          <c:idx val="90"/>
          <c:order val="90"/>
          <c:tx>
            <c:strRef>
              <c:f>'Aegypti Eggs'!$C$97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Eggs'!$E$97:$R$97</c:f>
              <c:numCache>
                <c:formatCode>General</c:formatCode>
                <c:ptCount val="14"/>
                <c:pt idx="1">
                  <c:v>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A-9DBB-49FC-B110-63058F65A13B}"/>
            </c:ext>
          </c:extLst>
        </c:ser>
        <c:ser>
          <c:idx val="91"/>
          <c:order val="91"/>
          <c:tx>
            <c:strRef>
              <c:f>'Aegypti Eggs'!$C$98</c:f>
              <c:strCache>
                <c:ptCount val="1"/>
                <c:pt idx="0">
                  <c:v>91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Eggs'!$E$98:$R$98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B-9DBB-49FC-B110-63058F65A13B}"/>
            </c:ext>
          </c:extLst>
        </c:ser>
        <c:ser>
          <c:idx val="92"/>
          <c:order val="92"/>
          <c:tx>
            <c:strRef>
              <c:f>'Aegypti Eggs'!$C$99</c:f>
              <c:strCache>
                <c:ptCount val="1"/>
                <c:pt idx="0">
                  <c:v>92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Eggs'!$E$99:$R$99</c:f>
              <c:numCache>
                <c:formatCode>General</c:formatCode>
                <c:ptCount val="14"/>
                <c:pt idx="1">
                  <c:v>5</c:v>
                </c:pt>
                <c:pt idx="5">
                  <c:v>33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C-9DBB-49FC-B110-63058F65A13B}"/>
            </c:ext>
          </c:extLst>
        </c:ser>
        <c:ser>
          <c:idx val="93"/>
          <c:order val="93"/>
          <c:tx>
            <c:strRef>
              <c:f>'Aegypti Eggs'!$C$100</c:f>
              <c:strCache>
                <c:ptCount val="1"/>
                <c:pt idx="0">
                  <c:v>93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Eggs'!$E$100:$R$100</c:f>
              <c:numCache>
                <c:formatCode>General</c:formatCode>
                <c:ptCount val="14"/>
                <c:pt idx="1">
                  <c:v>0</c:v>
                </c:pt>
                <c:pt idx="2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D-9DBB-49FC-B110-63058F65A13B}"/>
            </c:ext>
          </c:extLst>
        </c:ser>
        <c:ser>
          <c:idx val="94"/>
          <c:order val="94"/>
          <c:tx>
            <c:strRef>
              <c:f>'Aegypti Eggs'!$C$101</c:f>
              <c:strCache>
                <c:ptCount val="1"/>
                <c:pt idx="0">
                  <c:v>94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Eggs'!$E$101:$R$101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E-9DBB-49FC-B110-63058F65A13B}"/>
            </c:ext>
          </c:extLst>
        </c:ser>
        <c:ser>
          <c:idx val="95"/>
          <c:order val="95"/>
          <c:tx>
            <c:strRef>
              <c:f>'Aegypti Eggs'!$C$102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'Aegypti Eggs'!$E$102:$R$102</c:f>
              <c:numCache>
                <c:formatCode>General</c:formatCode>
                <c:ptCount val="14"/>
                <c:pt idx="1">
                  <c:v>0</c:v>
                </c:pt>
                <c:pt idx="4">
                  <c:v>69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5F-9DBB-49FC-B110-63058F65A13B}"/>
            </c:ext>
          </c:extLst>
        </c:ser>
        <c:ser>
          <c:idx val="96"/>
          <c:order val="96"/>
          <c:tx>
            <c:strRef>
              <c:f>'Aegypti Eggs'!$C$103</c:f>
              <c:strCache>
                <c:ptCount val="1"/>
                <c:pt idx="0">
                  <c:v>96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Eggs'!$E$103:$R$103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0-9DBB-49FC-B110-63058F65A13B}"/>
            </c:ext>
          </c:extLst>
        </c:ser>
        <c:ser>
          <c:idx val="97"/>
          <c:order val="97"/>
          <c:tx>
            <c:strRef>
              <c:f>'Aegypti Eggs'!$C$104</c:f>
              <c:strCache>
                <c:ptCount val="1"/>
                <c:pt idx="0">
                  <c:v>97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Eggs'!$E$104:$R$104</c:f>
              <c:numCache>
                <c:formatCode>General</c:formatCode>
                <c:ptCount val="14"/>
                <c:pt idx="1">
                  <c:v>0</c:v>
                </c:pt>
                <c:pt idx="6">
                  <c:v>28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1-9DBB-49FC-B110-63058F65A13B}"/>
            </c:ext>
          </c:extLst>
        </c:ser>
        <c:ser>
          <c:idx val="98"/>
          <c:order val="98"/>
          <c:tx>
            <c:strRef>
              <c:f>'Aegypti Eggs'!$C$105</c:f>
              <c:strCache>
                <c:ptCount val="1"/>
                <c:pt idx="0">
                  <c:v>98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Eggs'!$E$105:$R$105</c:f>
              <c:numCache>
                <c:formatCode>General</c:formatCode>
                <c:ptCount val="14"/>
                <c:pt idx="1">
                  <c:v>4</c:v>
                </c:pt>
                <c:pt idx="2">
                  <c:v>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2-9DBB-49FC-B110-63058F65A13B}"/>
            </c:ext>
          </c:extLst>
        </c:ser>
        <c:ser>
          <c:idx val="99"/>
          <c:order val="99"/>
          <c:tx>
            <c:strRef>
              <c:f>'Aegypti Eggs'!$C$106</c:f>
              <c:strCache>
                <c:ptCount val="1"/>
                <c:pt idx="0">
                  <c:v>99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Eggs'!$E$106:$R$106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3-9DBB-49FC-B110-63058F65A13B}"/>
            </c:ext>
          </c:extLst>
        </c:ser>
        <c:ser>
          <c:idx val="100"/>
          <c:order val="100"/>
          <c:tx>
            <c:strRef>
              <c:f>'Aegypti Eggs'!$C$107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Eggs'!$E$107:$R$107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4-9DBB-49FC-B110-63058F65A13B}"/>
            </c:ext>
          </c:extLst>
        </c:ser>
        <c:ser>
          <c:idx val="101"/>
          <c:order val="101"/>
          <c:tx>
            <c:strRef>
              <c:f>'Aegypti Eggs'!$C$108</c:f>
              <c:strCache>
                <c:ptCount val="1"/>
                <c:pt idx="0">
                  <c:v>101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val>
            <c:numRef>
              <c:f>'Aegypti Eggs'!$E$108:$R$108</c:f>
              <c:numCache>
                <c:formatCode>General</c:formatCode>
                <c:ptCount val="14"/>
                <c:pt idx="3">
                  <c:v>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5-9DBB-49FC-B110-63058F65A13B}"/>
            </c:ext>
          </c:extLst>
        </c:ser>
        <c:ser>
          <c:idx val="102"/>
          <c:order val="102"/>
          <c:tx>
            <c:strRef>
              <c:f>'Aegypti Eggs'!$C$109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Eggs'!$E$109:$R$109</c:f>
              <c:numCache>
                <c:formatCode>General</c:formatCode>
                <c:ptCount val="14"/>
                <c:pt idx="1">
                  <c:v>33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6-9DBB-49FC-B110-63058F65A13B}"/>
            </c:ext>
          </c:extLst>
        </c:ser>
        <c:ser>
          <c:idx val="103"/>
          <c:order val="103"/>
          <c:tx>
            <c:strRef>
              <c:f>'Aegypti Eggs'!$C$110</c:f>
              <c:strCache>
                <c:ptCount val="1"/>
                <c:pt idx="0">
                  <c:v>103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Eggs'!$E$110:$R$110</c:f>
              <c:numCache>
                <c:formatCode>General</c:formatCode>
                <c:ptCount val="14"/>
                <c:pt idx="1">
                  <c:v>1</c:v>
                </c:pt>
                <c:pt idx="4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7-9DBB-49FC-B110-63058F65A13B}"/>
            </c:ext>
          </c:extLst>
        </c:ser>
        <c:ser>
          <c:idx val="104"/>
          <c:order val="104"/>
          <c:tx>
            <c:strRef>
              <c:f>'Aegypti Eggs'!$C$111</c:f>
              <c:strCache>
                <c:ptCount val="1"/>
                <c:pt idx="0">
                  <c:v>104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Eggs'!$E$111:$R$111</c:f>
              <c:numCache>
                <c:formatCode>General</c:formatCode>
                <c:ptCount val="14"/>
                <c:pt idx="1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8-9DBB-49FC-B110-63058F65A13B}"/>
            </c:ext>
          </c:extLst>
        </c:ser>
        <c:ser>
          <c:idx val="105"/>
          <c:order val="105"/>
          <c:tx>
            <c:strRef>
              <c:f>'Aegypti Eggs'!$C$112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Eggs'!$E$112:$R$112</c:f>
              <c:numCache>
                <c:formatCode>General</c:formatCode>
                <c:ptCount val="14"/>
                <c:pt idx="1">
                  <c:v>56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9-9DBB-49FC-B110-63058F65A13B}"/>
            </c:ext>
          </c:extLst>
        </c:ser>
        <c:ser>
          <c:idx val="106"/>
          <c:order val="106"/>
          <c:tx>
            <c:strRef>
              <c:f>'Aegypti Eggs'!$C$113</c:f>
              <c:strCache>
                <c:ptCount val="1"/>
                <c:pt idx="0">
                  <c:v>106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Eggs'!$E$113:$R$113</c:f>
              <c:numCache>
                <c:formatCode>General</c:formatCode>
                <c:ptCount val="14"/>
                <c:pt idx="1">
                  <c:v>36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A-9DBB-49FC-B110-63058F65A13B}"/>
            </c:ext>
          </c:extLst>
        </c:ser>
        <c:ser>
          <c:idx val="107"/>
          <c:order val="107"/>
          <c:tx>
            <c:strRef>
              <c:f>'Aegypti Eggs'!$C$114</c:f>
              <c:strCache>
                <c:ptCount val="1"/>
                <c:pt idx="0">
                  <c:v>107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'Aegypti Eggs'!$E$114:$R$114</c:f>
              <c:numCache>
                <c:formatCode>General</c:formatCode>
                <c:ptCount val="14"/>
                <c:pt idx="1">
                  <c:v>0</c:v>
                </c:pt>
                <c:pt idx="6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B-9DBB-49FC-B110-63058F65A13B}"/>
            </c:ext>
          </c:extLst>
        </c:ser>
        <c:ser>
          <c:idx val="108"/>
          <c:order val="108"/>
          <c:tx>
            <c:strRef>
              <c:f>'Aegypti Eggs'!$C$115</c:f>
              <c:strCache>
                <c:ptCount val="1"/>
                <c:pt idx="0">
                  <c:v>108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'Aegypti Eggs'!$E$115:$R$115</c:f>
              <c:numCache>
                <c:formatCode>General</c:formatCode>
                <c:ptCount val="14"/>
                <c:pt idx="1">
                  <c:v>25</c:v>
                </c:pt>
                <c:pt idx="6">
                  <c:v>78</c:v>
                </c:pt>
                <c:pt idx="11">
                  <c:v>29</c:v>
                </c:pt>
                <c:pt idx="13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C-9DBB-49FC-B110-63058F65A13B}"/>
            </c:ext>
          </c:extLst>
        </c:ser>
        <c:ser>
          <c:idx val="109"/>
          <c:order val="109"/>
          <c:tx>
            <c:strRef>
              <c:f>'Aegypti Eggs'!$C$116</c:f>
              <c:strCache>
                <c:ptCount val="1"/>
                <c:pt idx="0">
                  <c:v>109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'Aegypti Eggs'!$E$116:$R$116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D-9DBB-49FC-B110-63058F65A13B}"/>
            </c:ext>
          </c:extLst>
        </c:ser>
        <c:ser>
          <c:idx val="110"/>
          <c:order val="110"/>
          <c:tx>
            <c:strRef>
              <c:f>'Aegypti Eggs'!$C$117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'Aegypti Eggs'!$E$117:$R$117</c:f>
              <c:numCache>
                <c:formatCode>General</c:formatCode>
                <c:ptCount val="14"/>
                <c:pt idx="1">
                  <c:v>7</c:v>
                </c:pt>
                <c:pt idx="6">
                  <c:v>1</c:v>
                </c:pt>
                <c:pt idx="10">
                  <c:v>4</c:v>
                </c:pt>
                <c:pt idx="11">
                  <c:v>22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E-9DBB-49FC-B110-63058F65A13B}"/>
            </c:ext>
          </c:extLst>
        </c:ser>
        <c:ser>
          <c:idx val="111"/>
          <c:order val="111"/>
          <c:tx>
            <c:strRef>
              <c:f>'Aegypti Eggs'!$C$118</c:f>
              <c:strCache>
                <c:ptCount val="1"/>
                <c:pt idx="0">
                  <c:v>111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'Aegypti Eggs'!$E$118:$R$118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6F-9DBB-49FC-B110-63058F65A13B}"/>
            </c:ext>
          </c:extLst>
        </c:ser>
        <c:ser>
          <c:idx val="112"/>
          <c:order val="112"/>
          <c:tx>
            <c:strRef>
              <c:f>'Aegypti Eggs'!$C$119</c:f>
              <c:strCache>
                <c:ptCount val="1"/>
                <c:pt idx="0">
                  <c:v>112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'Aegypti Eggs'!$E$119:$R$119</c:f>
              <c:numCache>
                <c:formatCode>General</c:formatCode>
                <c:ptCount val="14"/>
                <c:pt idx="6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0-9DBB-49FC-B110-63058F65A13B}"/>
            </c:ext>
          </c:extLst>
        </c:ser>
        <c:ser>
          <c:idx val="113"/>
          <c:order val="113"/>
          <c:tx>
            <c:strRef>
              <c:f>'Aegypti Eggs'!$C$120</c:f>
              <c:strCache>
                <c:ptCount val="1"/>
                <c:pt idx="0">
                  <c:v>113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'Aegypti Eggs'!$E$120:$R$120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1-9DBB-49FC-B110-63058F65A13B}"/>
            </c:ext>
          </c:extLst>
        </c:ser>
        <c:ser>
          <c:idx val="114"/>
          <c:order val="114"/>
          <c:tx>
            <c:strRef>
              <c:f>'Aegypti Eggs'!$C$121</c:f>
              <c:strCache>
                <c:ptCount val="1"/>
                <c:pt idx="0">
                  <c:v>114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Eggs'!$E$121:$R$121</c:f>
              <c:numCache>
                <c:formatCode>General</c:formatCode>
                <c:ptCount val="14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2-9DBB-49FC-B110-63058F65A13B}"/>
            </c:ext>
          </c:extLst>
        </c:ser>
        <c:ser>
          <c:idx val="115"/>
          <c:order val="115"/>
          <c:tx>
            <c:strRef>
              <c:f>'Aegypti Eggs'!$C$122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Eggs'!$E$122:$R$122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3-9DBB-49FC-B110-63058F65A13B}"/>
            </c:ext>
          </c:extLst>
        </c:ser>
        <c:ser>
          <c:idx val="116"/>
          <c:order val="116"/>
          <c:tx>
            <c:strRef>
              <c:f>'Aegypti Eggs'!$C$123</c:f>
              <c:strCache>
                <c:ptCount val="1"/>
                <c:pt idx="0">
                  <c:v>116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Eggs'!$E$123:$R$123</c:f>
              <c:numCache>
                <c:formatCode>General</c:formatCode>
                <c:ptCount val="14"/>
                <c:pt idx="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4-9DBB-49FC-B110-63058F65A13B}"/>
            </c:ext>
          </c:extLst>
        </c:ser>
        <c:ser>
          <c:idx val="117"/>
          <c:order val="117"/>
          <c:tx>
            <c:strRef>
              <c:f>'Aegypti Eggs'!$C$124</c:f>
              <c:strCache>
                <c:ptCount val="1"/>
                <c:pt idx="0">
                  <c:v>117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Eggs'!$E$124:$R$124</c:f>
              <c:numCache>
                <c:formatCode>General</c:formatCode>
                <c:ptCount val="14"/>
                <c:pt idx="1">
                  <c:v>1</c:v>
                </c:pt>
                <c:pt idx="6">
                  <c:v>3</c:v>
                </c:pt>
                <c:pt idx="7">
                  <c:v>44</c:v>
                </c:pt>
                <c:pt idx="8">
                  <c:v>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5-9DBB-49FC-B110-63058F65A13B}"/>
            </c:ext>
          </c:extLst>
        </c:ser>
        <c:ser>
          <c:idx val="118"/>
          <c:order val="118"/>
          <c:tx>
            <c:strRef>
              <c:f>'Aegypti Eggs'!$C$125</c:f>
              <c:strCache>
                <c:ptCount val="1"/>
                <c:pt idx="0">
                  <c:v>118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Eggs'!$E$125:$R$125</c:f>
              <c:numCache>
                <c:formatCode>General</c:formatCode>
                <c:ptCount val="14"/>
                <c:pt idx="1">
                  <c:v>27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6-9DBB-49FC-B110-63058F65A13B}"/>
            </c:ext>
          </c:extLst>
        </c:ser>
        <c:ser>
          <c:idx val="119"/>
          <c:order val="119"/>
          <c:tx>
            <c:strRef>
              <c:f>'Aegypti Eggs'!$C$126</c:f>
              <c:strCache>
                <c:ptCount val="1"/>
                <c:pt idx="0">
                  <c:v>119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'Aegypti Eggs'!$E$126:$R$126</c:f>
              <c:numCache>
                <c:formatCode>General</c:formatCode>
                <c:ptCount val="14"/>
                <c:pt idx="1">
                  <c:v>26</c:v>
                </c:pt>
                <c:pt idx="4">
                  <c:v>5</c:v>
                </c:pt>
                <c:pt idx="6">
                  <c:v>45</c:v>
                </c:pt>
                <c:pt idx="8">
                  <c:v>18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7-9DBB-49FC-B110-63058F65A13B}"/>
            </c:ext>
          </c:extLst>
        </c:ser>
        <c:ser>
          <c:idx val="120"/>
          <c:order val="120"/>
          <c:tx>
            <c:strRef>
              <c:f>'Aegypti Eggs'!$C$127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'Aegypti Eggs'!$E$127:$R$127</c:f>
              <c:numCache>
                <c:formatCode>General</c:formatCode>
                <c:ptCount val="14"/>
                <c:pt idx="1">
                  <c:v>0</c:v>
                </c:pt>
                <c:pt idx="4">
                  <c:v>28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'Aegypti Eggs'!#REF!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78-9DBB-49FC-B110-63058F65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551304"/>
        <c:axId val="419536872"/>
      </c:lineChart>
      <c:catAx>
        <c:axId val="4195513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36872"/>
        <c:crosses val="autoZero"/>
        <c:auto val="1"/>
        <c:lblAlgn val="ctr"/>
        <c:lblOffset val="100"/>
        <c:noMultiLvlLbl val="0"/>
      </c:catAx>
      <c:valAx>
        <c:axId val="4195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5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'Albopictus Blood'!$D$5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Blood'!$E$5:$N$5</c:f>
              <c:numCache>
                <c:formatCode>General</c:formatCode>
                <c:ptCount val="10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E-467B-8887-E918A63AA01E}"/>
            </c:ext>
          </c:extLst>
        </c:ser>
        <c:ser>
          <c:idx val="2"/>
          <c:order val="1"/>
          <c:tx>
            <c:strRef>
              <c:f>'Albopictus Blood'!$D$6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Blood'!$E$6:$N$6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5E-467B-8887-E918A63AA01E}"/>
            </c:ext>
          </c:extLst>
        </c:ser>
        <c:ser>
          <c:idx val="3"/>
          <c:order val="2"/>
          <c:tx>
            <c:strRef>
              <c:f>'Albopictus Blood'!$D$7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Blood'!$E$7:$N$7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E-467B-8887-E918A63AA01E}"/>
            </c:ext>
          </c:extLst>
        </c:ser>
        <c:ser>
          <c:idx val="4"/>
          <c:order val="3"/>
          <c:tx>
            <c:strRef>
              <c:f>'Albopictus Blood'!$D$8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Blood'!$E$8:$N$8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5E-467B-8887-E918A63AA01E}"/>
            </c:ext>
          </c:extLst>
        </c:ser>
        <c:ser>
          <c:idx val="5"/>
          <c:order val="4"/>
          <c:tx>
            <c:strRef>
              <c:f>'Albopictus Blood'!$D$9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Blood'!$E$9:$N$9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5E-467B-8887-E918A63AA01E}"/>
            </c:ext>
          </c:extLst>
        </c:ser>
        <c:ser>
          <c:idx val="6"/>
          <c:order val="5"/>
          <c:tx>
            <c:strRef>
              <c:f>'Albopictus Blood'!$D$10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Blood'!$E$10:$N$10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5E-467B-8887-E918A63AA01E}"/>
            </c:ext>
          </c:extLst>
        </c:ser>
        <c:ser>
          <c:idx val="7"/>
          <c:order val="6"/>
          <c:tx>
            <c:strRef>
              <c:f>'Albopictus Blood'!$D$11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Blood'!$E$11:$N$11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5E-467B-8887-E918A63AA01E}"/>
            </c:ext>
          </c:extLst>
        </c:ser>
        <c:ser>
          <c:idx val="8"/>
          <c:order val="7"/>
          <c:tx>
            <c:strRef>
              <c:f>'Albopictus Blood'!$D$12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Blood'!$E$12:$N$12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5E-467B-8887-E918A63AA01E}"/>
            </c:ext>
          </c:extLst>
        </c:ser>
        <c:ser>
          <c:idx val="9"/>
          <c:order val="8"/>
          <c:tx>
            <c:strRef>
              <c:f>'Albopictus Blood'!$D$13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Blood'!$E$13:$N$13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5E-467B-8887-E918A63AA01E}"/>
            </c:ext>
          </c:extLst>
        </c:ser>
        <c:ser>
          <c:idx val="10"/>
          <c:order val="9"/>
          <c:tx>
            <c:strRef>
              <c:f>'Albopictus Blood'!$D$14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Blood'!$E$14:$N$14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95E-467B-8887-E918A63AA01E}"/>
            </c:ext>
          </c:extLst>
        </c:ser>
        <c:ser>
          <c:idx val="11"/>
          <c:order val="10"/>
          <c:tx>
            <c:strRef>
              <c:f>'Albopictus Blood'!$D$15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Blood'!$E$15:$N$15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5E-467B-8887-E918A63AA01E}"/>
            </c:ext>
          </c:extLst>
        </c:ser>
        <c:ser>
          <c:idx val="12"/>
          <c:order val="11"/>
          <c:tx>
            <c:strRef>
              <c:f>'Albopictus Blood'!$D$16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Blood'!$E$16:$N$16</c:f>
              <c:numCache>
                <c:formatCode>General</c:formatCode>
                <c:ptCount val="1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95E-467B-8887-E918A63AA01E}"/>
            </c:ext>
          </c:extLst>
        </c:ser>
        <c:ser>
          <c:idx val="13"/>
          <c:order val="12"/>
          <c:tx>
            <c:strRef>
              <c:f>'Albopictus Blood'!$D$17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Blood'!$E$17:$N$17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95E-467B-8887-E918A63AA01E}"/>
            </c:ext>
          </c:extLst>
        </c:ser>
        <c:ser>
          <c:idx val="14"/>
          <c:order val="13"/>
          <c:tx>
            <c:strRef>
              <c:f>'Albopictus Blood'!$D$18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Blood'!$E$18:$N$18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95E-467B-8887-E918A63AA01E}"/>
            </c:ext>
          </c:extLst>
        </c:ser>
        <c:ser>
          <c:idx val="15"/>
          <c:order val="14"/>
          <c:tx>
            <c:strRef>
              <c:f>'Albopictus Blood'!$D$19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Blood'!$E$19:$N$19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95E-467B-8887-E918A63AA01E}"/>
            </c:ext>
          </c:extLst>
        </c:ser>
        <c:ser>
          <c:idx val="16"/>
          <c:order val="15"/>
          <c:tx>
            <c:strRef>
              <c:f>'Albopictus Blood'!$D$20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Blood'!$E$20:$N$20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95E-467B-8887-E918A63AA01E}"/>
            </c:ext>
          </c:extLst>
        </c:ser>
        <c:ser>
          <c:idx val="17"/>
          <c:order val="16"/>
          <c:tx>
            <c:strRef>
              <c:f>'Albopictus Blood'!$D$21</c:f>
              <c:strCache>
                <c:ptCount val="1"/>
                <c:pt idx="0">
                  <c:v>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Blood'!$E$21:$N$21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95E-467B-8887-E918A63AA01E}"/>
            </c:ext>
          </c:extLst>
        </c:ser>
        <c:ser>
          <c:idx val="18"/>
          <c:order val="17"/>
          <c:tx>
            <c:strRef>
              <c:f>'Albopictus Blood'!$D$22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Blood'!$E$22:$N$22</c:f>
              <c:numCache>
                <c:formatCode>General</c:formatCode>
                <c:ptCount val="1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95E-467B-8887-E918A63AA01E}"/>
            </c:ext>
          </c:extLst>
        </c:ser>
        <c:ser>
          <c:idx val="19"/>
          <c:order val="18"/>
          <c:tx>
            <c:strRef>
              <c:f>'Albopictus Blood'!$D$23</c:f>
              <c:strCache>
                <c:ptCount val="1"/>
                <c:pt idx="0">
                  <c:v>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Blood'!$E$23:$N$23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95E-467B-8887-E918A63AA01E}"/>
            </c:ext>
          </c:extLst>
        </c:ser>
        <c:ser>
          <c:idx val="20"/>
          <c:order val="19"/>
          <c:tx>
            <c:strRef>
              <c:f>'Albopictus Blood'!$D$24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Blood'!$E$24:$N$24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95E-467B-8887-E918A63AA01E}"/>
            </c:ext>
          </c:extLst>
        </c:ser>
        <c:ser>
          <c:idx val="21"/>
          <c:order val="20"/>
          <c:tx>
            <c:strRef>
              <c:f>'Albopictus Blood'!$D$25</c:f>
              <c:strCache>
                <c:ptCount val="1"/>
                <c:pt idx="0">
                  <c:v>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Blood'!$E$25:$N$25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95E-467B-8887-E918A63AA01E}"/>
            </c:ext>
          </c:extLst>
        </c:ser>
        <c:ser>
          <c:idx val="22"/>
          <c:order val="21"/>
          <c:tx>
            <c:strRef>
              <c:f>'Albopictus Blood'!$D$26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Blood'!$E$26:$N$26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95E-467B-8887-E918A63AA01E}"/>
            </c:ext>
          </c:extLst>
        </c:ser>
        <c:ser>
          <c:idx val="23"/>
          <c:order val="22"/>
          <c:tx>
            <c:strRef>
              <c:f>'Albopictus Blood'!$D$27</c:f>
              <c:strCache>
                <c:ptCount val="1"/>
                <c:pt idx="0">
                  <c:v>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Blood'!$E$27:$N$27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95E-467B-8887-E918A63AA01E}"/>
            </c:ext>
          </c:extLst>
        </c:ser>
        <c:ser>
          <c:idx val="24"/>
          <c:order val="23"/>
          <c:tx>
            <c:strRef>
              <c:f>'Albopictus Blood'!$D$28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Blood'!$E$28:$N$28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95E-467B-8887-E918A63AA01E}"/>
            </c:ext>
          </c:extLst>
        </c:ser>
        <c:ser>
          <c:idx val="25"/>
          <c:order val="24"/>
          <c:tx>
            <c:strRef>
              <c:f>'Albopictus Blood'!$D$29</c:f>
              <c:strCache>
                <c:ptCount val="1"/>
                <c:pt idx="0">
                  <c:v>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Blood'!$E$29:$N$29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95E-467B-8887-E918A63AA01E}"/>
            </c:ext>
          </c:extLst>
        </c:ser>
        <c:ser>
          <c:idx val="26"/>
          <c:order val="25"/>
          <c:tx>
            <c:strRef>
              <c:f>'Albopictus Blood'!$D$30</c:f>
              <c:strCache>
                <c:ptCount val="1"/>
                <c:pt idx="0">
                  <c:v>26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Blood'!$E$30:$N$30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95E-467B-8887-E918A63AA01E}"/>
            </c:ext>
          </c:extLst>
        </c:ser>
        <c:ser>
          <c:idx val="27"/>
          <c:order val="26"/>
          <c:tx>
            <c:strRef>
              <c:f>'Albopictus Blood'!$D$31</c:f>
              <c:strCache>
                <c:ptCount val="1"/>
                <c:pt idx="0">
                  <c:v>27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Blood'!$E$31:$N$31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95E-467B-8887-E918A63AA01E}"/>
            </c:ext>
          </c:extLst>
        </c:ser>
        <c:ser>
          <c:idx val="28"/>
          <c:order val="27"/>
          <c:tx>
            <c:strRef>
              <c:f>'Albopictus Blood'!$D$32</c:f>
              <c:strCache>
                <c:ptCount val="1"/>
                <c:pt idx="0">
                  <c:v>28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Blood'!$E$32:$N$32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95E-467B-8887-E918A63AA01E}"/>
            </c:ext>
          </c:extLst>
        </c:ser>
        <c:ser>
          <c:idx val="29"/>
          <c:order val="28"/>
          <c:tx>
            <c:strRef>
              <c:f>'Albopictus Blood'!$D$33</c:f>
              <c:strCache>
                <c:ptCount val="1"/>
                <c:pt idx="0">
                  <c:v>29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Blood'!$E$33:$N$33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95E-467B-8887-E918A63AA01E}"/>
            </c:ext>
          </c:extLst>
        </c:ser>
        <c:ser>
          <c:idx val="30"/>
          <c:order val="29"/>
          <c:tx>
            <c:strRef>
              <c:f>'Albopictus Blood'!$D$34</c:f>
              <c:strCache>
                <c:ptCount val="1"/>
                <c:pt idx="0">
                  <c:v>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Blood'!$E$34:$N$34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95E-467B-8887-E918A63AA01E}"/>
            </c:ext>
          </c:extLst>
        </c:ser>
        <c:ser>
          <c:idx val="31"/>
          <c:order val="30"/>
          <c:tx>
            <c:strRef>
              <c:f>'Albopictus Blood'!$D$35</c:f>
              <c:strCache>
                <c:ptCount val="1"/>
                <c:pt idx="0">
                  <c:v>31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Blood'!$E$35:$N$35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95E-467B-8887-E918A63AA01E}"/>
            </c:ext>
          </c:extLst>
        </c:ser>
        <c:ser>
          <c:idx val="32"/>
          <c:order val="31"/>
          <c:tx>
            <c:strRef>
              <c:f>'Albopictus Blood'!$D$36</c:f>
              <c:strCache>
                <c:ptCount val="1"/>
                <c:pt idx="0">
                  <c:v>32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Blood'!$E$36:$N$36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95E-467B-8887-E918A63AA01E}"/>
            </c:ext>
          </c:extLst>
        </c:ser>
        <c:ser>
          <c:idx val="33"/>
          <c:order val="32"/>
          <c:tx>
            <c:strRef>
              <c:f>'Albopictus Blood'!$D$37</c:f>
              <c:strCache>
                <c:ptCount val="1"/>
                <c:pt idx="0">
                  <c:v>33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Blood'!$E$37:$N$37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95E-467B-8887-E918A63AA01E}"/>
            </c:ext>
          </c:extLst>
        </c:ser>
        <c:ser>
          <c:idx val="34"/>
          <c:order val="33"/>
          <c:tx>
            <c:strRef>
              <c:f>'Albopictus Blood'!$D$38</c:f>
              <c:strCache>
                <c:ptCount val="1"/>
                <c:pt idx="0">
                  <c:v>34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Blood'!$E$38:$N$38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95E-467B-8887-E918A63AA01E}"/>
            </c:ext>
          </c:extLst>
        </c:ser>
        <c:ser>
          <c:idx val="35"/>
          <c:order val="34"/>
          <c:tx>
            <c:strRef>
              <c:f>'Albopictus Blood'!$D$39</c:f>
              <c:strCache>
                <c:ptCount val="1"/>
                <c:pt idx="0">
                  <c:v>35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Blood'!$E$39:$N$39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95E-467B-8887-E918A63AA01E}"/>
            </c:ext>
          </c:extLst>
        </c:ser>
        <c:ser>
          <c:idx val="36"/>
          <c:order val="35"/>
          <c:tx>
            <c:strRef>
              <c:f>'Albopictus Blood'!$D$40</c:f>
              <c:strCache>
                <c:ptCount val="1"/>
                <c:pt idx="0">
                  <c:v>36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Blood'!$E$40:$N$40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95E-467B-8887-E918A63AA01E}"/>
            </c:ext>
          </c:extLst>
        </c:ser>
        <c:ser>
          <c:idx val="37"/>
          <c:order val="36"/>
          <c:tx>
            <c:strRef>
              <c:f>'Albopictus Blood'!$D$41</c:f>
              <c:strCache>
                <c:ptCount val="1"/>
                <c:pt idx="0">
                  <c:v>37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Blood'!$E$41:$N$41</c:f>
              <c:numCache>
                <c:formatCode>General</c:formatCode>
                <c:ptCount val="10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F95E-467B-8887-E918A63AA01E}"/>
            </c:ext>
          </c:extLst>
        </c:ser>
        <c:ser>
          <c:idx val="38"/>
          <c:order val="37"/>
          <c:tx>
            <c:strRef>
              <c:f>'Albopictus Blood'!$D$42</c:f>
              <c:strCache>
                <c:ptCount val="1"/>
                <c:pt idx="0">
                  <c:v>38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Blood'!$E$42:$N$42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95E-467B-8887-E918A63AA01E}"/>
            </c:ext>
          </c:extLst>
        </c:ser>
        <c:ser>
          <c:idx val="39"/>
          <c:order val="38"/>
          <c:tx>
            <c:strRef>
              <c:f>'Albopictus Blood'!$D$43</c:f>
              <c:strCache>
                <c:ptCount val="1"/>
                <c:pt idx="0">
                  <c:v>39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Blood'!$E$43:$N$43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F95E-467B-8887-E918A63AA01E}"/>
            </c:ext>
          </c:extLst>
        </c:ser>
        <c:ser>
          <c:idx val="40"/>
          <c:order val="39"/>
          <c:tx>
            <c:strRef>
              <c:f>'Albopictus Blood'!$D$44</c:f>
              <c:strCache>
                <c:ptCount val="1"/>
                <c:pt idx="0">
                  <c:v>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Blood'!$E$44:$N$44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95E-467B-8887-E918A63AA01E}"/>
            </c:ext>
          </c:extLst>
        </c:ser>
        <c:ser>
          <c:idx val="41"/>
          <c:order val="40"/>
          <c:tx>
            <c:strRef>
              <c:f>'Albopictus Blood'!$D$45</c:f>
              <c:strCache>
                <c:ptCount val="1"/>
                <c:pt idx="0">
                  <c:v>41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Blood'!$E$45:$N$45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95E-467B-8887-E918A63AA01E}"/>
            </c:ext>
          </c:extLst>
        </c:ser>
        <c:ser>
          <c:idx val="42"/>
          <c:order val="41"/>
          <c:tx>
            <c:strRef>
              <c:f>'Albopictus Blood'!$D$46</c:f>
              <c:strCache>
                <c:ptCount val="1"/>
                <c:pt idx="0">
                  <c:v>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Blood'!$E$46:$N$46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95E-467B-8887-E918A63AA01E}"/>
            </c:ext>
          </c:extLst>
        </c:ser>
        <c:ser>
          <c:idx val="43"/>
          <c:order val="42"/>
          <c:tx>
            <c:strRef>
              <c:f>'Albopictus Blood'!$D$47</c:f>
              <c:strCache>
                <c:ptCount val="1"/>
                <c:pt idx="0">
                  <c:v>43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Blood'!$E$47:$N$47</c:f>
              <c:numCache>
                <c:formatCode>General</c:formatCode>
                <c:ptCount val="10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F95E-467B-8887-E918A63AA01E}"/>
            </c:ext>
          </c:extLst>
        </c:ser>
        <c:ser>
          <c:idx val="44"/>
          <c:order val="43"/>
          <c:tx>
            <c:strRef>
              <c:f>'Albopictus Blood'!$D$48</c:f>
              <c:strCache>
                <c:ptCount val="1"/>
                <c:pt idx="0">
                  <c:v>44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Blood'!$E$48:$N$48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F95E-467B-8887-E918A63AA01E}"/>
            </c:ext>
          </c:extLst>
        </c:ser>
        <c:ser>
          <c:idx val="45"/>
          <c:order val="44"/>
          <c:tx>
            <c:strRef>
              <c:f>'Albopictus Blood'!$D$49</c:f>
              <c:strCache>
                <c:ptCount val="1"/>
                <c:pt idx="0">
                  <c:v>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Blood'!$E$49:$N$49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F95E-467B-8887-E918A63AA01E}"/>
            </c:ext>
          </c:extLst>
        </c:ser>
        <c:ser>
          <c:idx val="46"/>
          <c:order val="45"/>
          <c:tx>
            <c:strRef>
              <c:f>'Albopictus Blood'!$D$50</c:f>
              <c:strCache>
                <c:ptCount val="1"/>
                <c:pt idx="0">
                  <c:v>46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Blood'!$E$50:$N$50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95E-467B-8887-E918A63AA01E}"/>
            </c:ext>
          </c:extLst>
        </c:ser>
        <c:ser>
          <c:idx val="47"/>
          <c:order val="46"/>
          <c:tx>
            <c:strRef>
              <c:f>'Albopictus Blood'!$D$51</c:f>
              <c:strCache>
                <c:ptCount val="1"/>
                <c:pt idx="0">
                  <c:v>47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Blood'!$E$51:$N$51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95E-467B-8887-E918A63AA01E}"/>
            </c:ext>
          </c:extLst>
        </c:ser>
        <c:ser>
          <c:idx val="48"/>
          <c:order val="47"/>
          <c:tx>
            <c:strRef>
              <c:f>'Albopictus Blood'!$D$52</c:f>
              <c:strCache>
                <c:ptCount val="1"/>
                <c:pt idx="0">
                  <c:v>48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Blood'!$E$52:$N$52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F95E-467B-8887-E918A63AA01E}"/>
            </c:ext>
          </c:extLst>
        </c:ser>
        <c:ser>
          <c:idx val="49"/>
          <c:order val="48"/>
          <c:tx>
            <c:strRef>
              <c:f>'Albopictus Blood'!$D$53</c:f>
              <c:strCache>
                <c:ptCount val="1"/>
                <c:pt idx="0">
                  <c:v>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Blood'!$E$53:$N$53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F95E-467B-8887-E918A63AA01E}"/>
            </c:ext>
          </c:extLst>
        </c:ser>
        <c:ser>
          <c:idx val="50"/>
          <c:order val="49"/>
          <c:tx>
            <c:strRef>
              <c:f>'Albopictus Blood'!$D$54</c:f>
              <c:strCache>
                <c:ptCount val="1"/>
                <c:pt idx="0">
                  <c:v>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Blood'!$E$54:$N$54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F95E-467B-8887-E918A63AA01E}"/>
            </c:ext>
          </c:extLst>
        </c:ser>
        <c:ser>
          <c:idx val="51"/>
          <c:order val="50"/>
          <c:tx>
            <c:strRef>
              <c:f>'Albopictus Blood'!$D$55</c:f>
              <c:strCache>
                <c:ptCount val="1"/>
                <c:pt idx="0">
                  <c:v>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Blood'!$E$55:$N$55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F95E-467B-8887-E918A63AA01E}"/>
            </c:ext>
          </c:extLst>
        </c:ser>
        <c:ser>
          <c:idx val="52"/>
          <c:order val="51"/>
          <c:tx>
            <c:strRef>
              <c:f>'Albopictus Blood'!$D$56</c:f>
              <c:strCache>
                <c:ptCount val="1"/>
                <c:pt idx="0">
                  <c:v>52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Blood'!$E$56:$N$56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F95E-467B-8887-E918A63AA01E}"/>
            </c:ext>
          </c:extLst>
        </c:ser>
        <c:ser>
          <c:idx val="53"/>
          <c:order val="52"/>
          <c:tx>
            <c:strRef>
              <c:f>'Albopictus Blood'!$D$57</c:f>
              <c:strCache>
                <c:ptCount val="1"/>
                <c:pt idx="0">
                  <c:v>53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Blood'!$E$57:$N$57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F95E-467B-8887-E918A63AA01E}"/>
            </c:ext>
          </c:extLst>
        </c:ser>
        <c:ser>
          <c:idx val="54"/>
          <c:order val="53"/>
          <c:tx>
            <c:strRef>
              <c:f>'Albopictus Blood'!$D$58</c:f>
              <c:strCache>
                <c:ptCount val="1"/>
                <c:pt idx="0">
                  <c:v>54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Blood'!$E$58:$N$58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F95E-467B-8887-E918A63AA01E}"/>
            </c:ext>
          </c:extLst>
        </c:ser>
        <c:ser>
          <c:idx val="55"/>
          <c:order val="54"/>
          <c:tx>
            <c:strRef>
              <c:f>'Albopictus Blood'!$D$59</c:f>
              <c:strCache>
                <c:ptCount val="1"/>
                <c:pt idx="0">
                  <c:v>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Blood'!$E$59:$N$59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F95E-467B-8887-E918A63AA01E}"/>
            </c:ext>
          </c:extLst>
        </c:ser>
        <c:ser>
          <c:idx val="56"/>
          <c:order val="55"/>
          <c:tx>
            <c:strRef>
              <c:f>'Albopictus Blood'!$D$60</c:f>
              <c:strCache>
                <c:ptCount val="1"/>
                <c:pt idx="0">
                  <c:v>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Blood'!$E$60:$N$60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F95E-467B-8887-E918A63AA01E}"/>
            </c:ext>
          </c:extLst>
        </c:ser>
        <c:ser>
          <c:idx val="57"/>
          <c:order val="56"/>
          <c:tx>
            <c:strRef>
              <c:f>'Albopictus Blood'!$D$61</c:f>
              <c:strCache>
                <c:ptCount val="1"/>
                <c:pt idx="0">
                  <c:v>57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Blood'!$E$61:$N$61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F95E-467B-8887-E918A63AA01E}"/>
            </c:ext>
          </c:extLst>
        </c:ser>
        <c:ser>
          <c:idx val="58"/>
          <c:order val="57"/>
          <c:tx>
            <c:strRef>
              <c:f>'Albopictus Blood'!$D$62</c:f>
              <c:strCache>
                <c:ptCount val="1"/>
                <c:pt idx="0">
                  <c:v>58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Blood'!$E$62:$N$62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F95E-467B-8887-E918A63AA01E}"/>
            </c:ext>
          </c:extLst>
        </c:ser>
        <c:ser>
          <c:idx val="59"/>
          <c:order val="58"/>
          <c:tx>
            <c:strRef>
              <c:f>'Albopictus Blood'!$D$63</c:f>
              <c:strCache>
                <c:ptCount val="1"/>
                <c:pt idx="0">
                  <c:v>59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Blood'!$E$63:$N$63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F95E-467B-8887-E918A63AA01E}"/>
            </c:ext>
          </c:extLst>
        </c:ser>
        <c:ser>
          <c:idx val="60"/>
          <c:order val="59"/>
          <c:tx>
            <c:strRef>
              <c:f>'Albopictus Blood'!$D$64</c:f>
              <c:strCache>
                <c:ptCount val="1"/>
                <c:pt idx="0">
                  <c:v>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Blood'!$E$64:$N$64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F95E-467B-8887-E918A63AA01E}"/>
            </c:ext>
          </c:extLst>
        </c:ser>
        <c:ser>
          <c:idx val="61"/>
          <c:order val="60"/>
          <c:tx>
            <c:strRef>
              <c:f>'Albopictus Blood'!$D$65</c:f>
              <c:strCache>
                <c:ptCount val="1"/>
                <c:pt idx="0">
                  <c:v>81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Blood'!$E$65:$N$65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F95E-467B-8887-E918A63AA01E}"/>
            </c:ext>
          </c:extLst>
        </c:ser>
        <c:ser>
          <c:idx val="62"/>
          <c:order val="61"/>
          <c:tx>
            <c:strRef>
              <c:f>'Albopictus Blood'!$D$66</c:f>
              <c:strCache>
                <c:ptCount val="1"/>
                <c:pt idx="0">
                  <c:v>82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Blood'!$E$66:$N$66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F95E-467B-8887-E918A63AA01E}"/>
            </c:ext>
          </c:extLst>
        </c:ser>
        <c:ser>
          <c:idx val="63"/>
          <c:order val="62"/>
          <c:tx>
            <c:strRef>
              <c:f>'Albopictus Blood'!$D$67</c:f>
              <c:strCache>
                <c:ptCount val="1"/>
                <c:pt idx="0">
                  <c:v>83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Blood'!$E$67:$N$67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F95E-467B-8887-E918A63AA01E}"/>
            </c:ext>
          </c:extLst>
        </c:ser>
        <c:ser>
          <c:idx val="64"/>
          <c:order val="63"/>
          <c:tx>
            <c:strRef>
              <c:f>'Albopictus Blood'!$D$68</c:f>
              <c:strCache>
                <c:ptCount val="1"/>
                <c:pt idx="0">
                  <c:v>84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Blood'!$E$68:$N$68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F95E-467B-8887-E918A63AA01E}"/>
            </c:ext>
          </c:extLst>
        </c:ser>
        <c:ser>
          <c:idx val="65"/>
          <c:order val="64"/>
          <c:tx>
            <c:strRef>
              <c:f>'Albopictus Blood'!$D$69</c:f>
              <c:strCache>
                <c:ptCount val="1"/>
                <c:pt idx="0">
                  <c:v>85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Blood'!$E$69:$N$69</c:f>
              <c:numCache>
                <c:formatCode>General</c:formatCode>
                <c:ptCount val="1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F95E-467B-8887-E918A63AA01E}"/>
            </c:ext>
          </c:extLst>
        </c:ser>
        <c:ser>
          <c:idx val="66"/>
          <c:order val="65"/>
          <c:tx>
            <c:strRef>
              <c:f>'Albopictus Blood'!$D$70</c:f>
              <c:strCache>
                <c:ptCount val="1"/>
                <c:pt idx="0">
                  <c:v>86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Blood'!$E$70:$N$70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F95E-467B-8887-E918A63AA01E}"/>
            </c:ext>
          </c:extLst>
        </c:ser>
        <c:ser>
          <c:idx val="67"/>
          <c:order val="66"/>
          <c:tx>
            <c:strRef>
              <c:f>'Albopictus Blood'!$D$71</c:f>
              <c:strCache>
                <c:ptCount val="1"/>
                <c:pt idx="0">
                  <c:v>87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Blood'!$E$71:$N$71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F95E-467B-8887-E918A63AA01E}"/>
            </c:ext>
          </c:extLst>
        </c:ser>
        <c:ser>
          <c:idx val="68"/>
          <c:order val="67"/>
          <c:tx>
            <c:strRef>
              <c:f>'Albopictus Blood'!$D$72</c:f>
              <c:strCache>
                <c:ptCount val="1"/>
                <c:pt idx="0">
                  <c:v>88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Blood'!$E$72:$N$72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F95E-467B-8887-E918A63AA01E}"/>
            </c:ext>
          </c:extLst>
        </c:ser>
        <c:ser>
          <c:idx val="69"/>
          <c:order val="68"/>
          <c:tx>
            <c:strRef>
              <c:f>'Albopictus Blood'!$D$73</c:f>
              <c:strCache>
                <c:ptCount val="1"/>
                <c:pt idx="0">
                  <c:v>89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Blood'!$E$73:$N$73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F95E-467B-8887-E918A63AA01E}"/>
            </c:ext>
          </c:extLst>
        </c:ser>
        <c:ser>
          <c:idx val="70"/>
          <c:order val="69"/>
          <c:tx>
            <c:strRef>
              <c:f>'Albopictus Blood'!$D$74</c:f>
              <c:strCache>
                <c:ptCount val="1"/>
                <c:pt idx="0">
                  <c:v>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Blood'!$E$74:$N$74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F95E-467B-8887-E918A63AA01E}"/>
            </c:ext>
          </c:extLst>
        </c:ser>
        <c:ser>
          <c:idx val="71"/>
          <c:order val="70"/>
          <c:tx>
            <c:strRef>
              <c:f>'Albopictus Blood'!$D$75</c:f>
              <c:strCache>
                <c:ptCount val="1"/>
                <c:pt idx="0">
                  <c:v>91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Blood'!$E$75:$N$75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F95E-467B-8887-E918A63AA01E}"/>
            </c:ext>
          </c:extLst>
        </c:ser>
        <c:ser>
          <c:idx val="72"/>
          <c:order val="71"/>
          <c:tx>
            <c:strRef>
              <c:f>'Albopictus Blood'!$D$76</c:f>
              <c:strCache>
                <c:ptCount val="1"/>
                <c:pt idx="0">
                  <c:v>92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Blood'!$E$76:$N$76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F95E-467B-8887-E918A63AA01E}"/>
            </c:ext>
          </c:extLst>
        </c:ser>
        <c:ser>
          <c:idx val="73"/>
          <c:order val="72"/>
          <c:tx>
            <c:strRef>
              <c:f>'Albopictus Blood'!$D$77</c:f>
              <c:strCache>
                <c:ptCount val="1"/>
                <c:pt idx="0">
                  <c:v>93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Blood'!$E$77:$N$77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F95E-467B-8887-E918A63AA01E}"/>
            </c:ext>
          </c:extLst>
        </c:ser>
        <c:ser>
          <c:idx val="74"/>
          <c:order val="73"/>
          <c:tx>
            <c:strRef>
              <c:f>'Albopictus Blood'!$D$78</c:f>
              <c:strCache>
                <c:ptCount val="1"/>
                <c:pt idx="0">
                  <c:v>94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Blood'!$E$78:$N$78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F95E-467B-8887-E918A63AA01E}"/>
            </c:ext>
          </c:extLst>
        </c:ser>
        <c:ser>
          <c:idx val="75"/>
          <c:order val="74"/>
          <c:tx>
            <c:strRef>
              <c:f>'Albopictus Blood'!$D$79</c:f>
              <c:strCache>
                <c:ptCount val="1"/>
                <c:pt idx="0">
                  <c:v>95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Blood'!$E$79:$N$79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F95E-467B-8887-E918A63AA01E}"/>
            </c:ext>
          </c:extLst>
        </c:ser>
        <c:ser>
          <c:idx val="76"/>
          <c:order val="75"/>
          <c:tx>
            <c:strRef>
              <c:f>'Albopictus Blood'!$D$80</c:f>
              <c:strCache>
                <c:ptCount val="1"/>
                <c:pt idx="0">
                  <c:v>96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Blood'!$E$80:$N$80</c:f>
              <c:numCache>
                <c:formatCode>General</c:formatCode>
                <c:ptCount val="10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F95E-467B-8887-E918A63AA01E}"/>
            </c:ext>
          </c:extLst>
        </c:ser>
        <c:ser>
          <c:idx val="77"/>
          <c:order val="76"/>
          <c:tx>
            <c:strRef>
              <c:f>'Albopictus Blood'!$D$81</c:f>
              <c:strCache>
                <c:ptCount val="1"/>
                <c:pt idx="0">
                  <c:v>97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Blood'!$E$81:$N$81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F95E-467B-8887-E918A63AA01E}"/>
            </c:ext>
          </c:extLst>
        </c:ser>
        <c:ser>
          <c:idx val="78"/>
          <c:order val="77"/>
          <c:tx>
            <c:strRef>
              <c:f>'Albopictus Blood'!$D$82</c:f>
              <c:strCache>
                <c:ptCount val="1"/>
                <c:pt idx="0">
                  <c:v>98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Blood'!$E$82:$N$82</c:f>
              <c:numCache>
                <c:formatCode>General</c:formatCode>
                <c:ptCount val="1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F95E-467B-8887-E918A63AA01E}"/>
            </c:ext>
          </c:extLst>
        </c:ser>
        <c:ser>
          <c:idx val="79"/>
          <c:order val="78"/>
          <c:tx>
            <c:strRef>
              <c:f>'Albopictus Blood'!$D$83</c:f>
              <c:strCache>
                <c:ptCount val="1"/>
                <c:pt idx="0">
                  <c:v>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Blood'!$E$83:$N$83</c:f>
              <c:numCache>
                <c:formatCode>General</c:formatCode>
                <c:ptCount val="10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F95E-467B-8887-E918A63AA01E}"/>
            </c:ext>
          </c:extLst>
        </c:ser>
        <c:ser>
          <c:idx val="80"/>
          <c:order val="79"/>
          <c:tx>
            <c:strRef>
              <c:f>'Albopictus Blood'!$D$84</c:f>
              <c:strCache>
                <c:ptCount val="1"/>
                <c:pt idx="0">
                  <c:v>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Blood'!$E$84:$N$84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F95E-467B-8887-E918A63AA01E}"/>
            </c:ext>
          </c:extLst>
        </c:ser>
        <c:ser>
          <c:idx val="81"/>
          <c:order val="80"/>
          <c:tx>
            <c:strRef>
              <c:f>'Albopictus Blood'!$D$85</c:f>
              <c:strCache>
                <c:ptCount val="1"/>
                <c:pt idx="0">
                  <c:v>101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Blood'!$E$85:$N$85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F95E-467B-8887-E918A63AA01E}"/>
            </c:ext>
          </c:extLst>
        </c:ser>
        <c:ser>
          <c:idx val="82"/>
          <c:order val="81"/>
          <c:tx>
            <c:strRef>
              <c:f>'Albopictus Blood'!$D$86</c:f>
              <c:strCache>
                <c:ptCount val="1"/>
                <c:pt idx="0">
                  <c:v>102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Blood'!$E$86:$N$86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F95E-467B-8887-E918A63AA01E}"/>
            </c:ext>
          </c:extLst>
        </c:ser>
        <c:ser>
          <c:idx val="83"/>
          <c:order val="82"/>
          <c:tx>
            <c:strRef>
              <c:f>'Albopictus Blood'!$D$87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Blood'!$E$87:$N$87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F95E-467B-8887-E918A63AA01E}"/>
            </c:ext>
          </c:extLst>
        </c:ser>
        <c:ser>
          <c:idx val="84"/>
          <c:order val="83"/>
          <c:tx>
            <c:strRef>
              <c:f>'Albopictus Blood'!$D$88</c:f>
              <c:strCache>
                <c:ptCount val="1"/>
                <c:pt idx="0">
                  <c:v>104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Blood'!$E$88:$N$88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F95E-467B-8887-E918A63AA01E}"/>
            </c:ext>
          </c:extLst>
        </c:ser>
        <c:ser>
          <c:idx val="85"/>
          <c:order val="84"/>
          <c:tx>
            <c:strRef>
              <c:f>'Albopictus Blood'!$D$89</c:f>
              <c:strCache>
                <c:ptCount val="1"/>
                <c:pt idx="0">
                  <c:v>105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Blood'!$E$89:$N$89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F95E-467B-8887-E918A63AA01E}"/>
            </c:ext>
          </c:extLst>
        </c:ser>
        <c:ser>
          <c:idx val="86"/>
          <c:order val="85"/>
          <c:tx>
            <c:strRef>
              <c:f>'Albopictus Blood'!$D$90</c:f>
              <c:strCache>
                <c:ptCount val="1"/>
                <c:pt idx="0">
                  <c:v>106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Blood'!$E$90:$N$90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F95E-467B-8887-E918A63AA01E}"/>
            </c:ext>
          </c:extLst>
        </c:ser>
        <c:ser>
          <c:idx val="87"/>
          <c:order val="86"/>
          <c:tx>
            <c:strRef>
              <c:f>'Albopictus Blood'!$D$91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Blood'!$E$91:$N$91</c:f>
              <c:numCache>
                <c:formatCode>General</c:formatCode>
                <c:ptCount val="1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F95E-467B-8887-E918A63AA01E}"/>
            </c:ext>
          </c:extLst>
        </c:ser>
        <c:ser>
          <c:idx val="88"/>
          <c:order val="87"/>
          <c:tx>
            <c:strRef>
              <c:f>'Albopictus Blood'!$D$92</c:f>
              <c:strCache>
                <c:ptCount val="1"/>
                <c:pt idx="0">
                  <c:v>108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Blood'!$E$92:$N$92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F95E-467B-8887-E918A63AA01E}"/>
            </c:ext>
          </c:extLst>
        </c:ser>
        <c:ser>
          <c:idx val="89"/>
          <c:order val="88"/>
          <c:tx>
            <c:strRef>
              <c:f>'Albopictus Blood'!$D$93</c:f>
              <c:strCache>
                <c:ptCount val="1"/>
                <c:pt idx="0">
                  <c:v>109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Blood'!$E$93:$N$93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F95E-467B-8887-E918A63AA01E}"/>
            </c:ext>
          </c:extLst>
        </c:ser>
        <c:ser>
          <c:idx val="90"/>
          <c:order val="89"/>
          <c:tx>
            <c:strRef>
              <c:f>'Albopictus Blood'!$D$94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Blood'!$E$94:$N$94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F95E-467B-8887-E918A63AA01E}"/>
            </c:ext>
          </c:extLst>
        </c:ser>
        <c:ser>
          <c:idx val="91"/>
          <c:order val="90"/>
          <c:tx>
            <c:strRef>
              <c:f>'Albopictus Blood'!$D$95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Blood'!$E$95:$N$95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F95E-467B-8887-E918A63AA01E}"/>
            </c:ext>
          </c:extLst>
        </c:ser>
        <c:ser>
          <c:idx val="92"/>
          <c:order val="91"/>
          <c:tx>
            <c:strRef>
              <c:f>'Albopictus Blood'!$D$96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Blood'!$E$96:$N$96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F95E-467B-8887-E918A63AA01E}"/>
            </c:ext>
          </c:extLst>
        </c:ser>
        <c:ser>
          <c:idx val="93"/>
          <c:order val="92"/>
          <c:tx>
            <c:strRef>
              <c:f>'Albopictus Blood'!$D$97</c:f>
              <c:strCache>
                <c:ptCount val="1"/>
                <c:pt idx="0">
                  <c:v>113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Blood'!$E$97:$N$97</c:f>
              <c:numCache>
                <c:formatCode>General</c:formatCode>
                <c:ptCount val="1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F95E-467B-8887-E918A63AA01E}"/>
            </c:ext>
          </c:extLst>
        </c:ser>
        <c:ser>
          <c:idx val="94"/>
          <c:order val="93"/>
          <c:tx>
            <c:strRef>
              <c:f>'Albopictus Blood'!$D$98</c:f>
              <c:strCache>
                <c:ptCount val="1"/>
                <c:pt idx="0">
                  <c:v>114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Blood'!$E$98:$N$98</c:f>
              <c:numCache>
                <c:formatCode>General</c:formatCode>
                <c:ptCount val="10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F95E-467B-8887-E918A63AA01E}"/>
            </c:ext>
          </c:extLst>
        </c:ser>
        <c:ser>
          <c:idx val="95"/>
          <c:order val="94"/>
          <c:tx>
            <c:strRef>
              <c:f>'Albopictus Blood'!$D$99</c:f>
              <c:strCache>
                <c:ptCount val="1"/>
                <c:pt idx="0">
                  <c:v>115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Blood'!$E$99:$N$99</c:f>
              <c:numCache>
                <c:formatCode>General</c:formatCode>
                <c:ptCount val="10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F95E-467B-8887-E918A63AA01E}"/>
            </c:ext>
          </c:extLst>
        </c:ser>
        <c:ser>
          <c:idx val="96"/>
          <c:order val="95"/>
          <c:tx>
            <c:strRef>
              <c:f>'Albopictus Blood'!$D$100</c:f>
              <c:strCache>
                <c:ptCount val="1"/>
                <c:pt idx="0">
                  <c:v>116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Blood'!$E$100:$N$100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F95E-467B-8887-E918A63AA01E}"/>
            </c:ext>
          </c:extLst>
        </c:ser>
        <c:ser>
          <c:idx val="97"/>
          <c:order val="96"/>
          <c:tx>
            <c:strRef>
              <c:f>'Albopictus Blood'!$D$101</c:f>
              <c:strCache>
                <c:ptCount val="1"/>
                <c:pt idx="0">
                  <c:v>117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Blood'!$E$101:$N$101</c:f>
              <c:numCache>
                <c:formatCode>General</c:formatCode>
                <c:ptCount val="10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F95E-467B-8887-E918A63AA01E}"/>
            </c:ext>
          </c:extLst>
        </c:ser>
        <c:ser>
          <c:idx val="98"/>
          <c:order val="97"/>
          <c:tx>
            <c:strRef>
              <c:f>'Albopictus Blood'!$D$102</c:f>
              <c:strCache>
                <c:ptCount val="1"/>
                <c:pt idx="0">
                  <c:v>118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Blood'!$E$102:$N$102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F95E-467B-8887-E918A63AA01E}"/>
            </c:ext>
          </c:extLst>
        </c:ser>
        <c:ser>
          <c:idx val="99"/>
          <c:order val="98"/>
          <c:tx>
            <c:strRef>
              <c:f>'Albopictus Blood'!$D$103</c:f>
              <c:strCache>
                <c:ptCount val="1"/>
                <c:pt idx="0">
                  <c:v>119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Blood'!$E$103:$N$103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F95E-467B-8887-E918A63AA01E}"/>
            </c:ext>
          </c:extLst>
        </c:ser>
        <c:ser>
          <c:idx val="100"/>
          <c:order val="99"/>
          <c:tx>
            <c:strRef>
              <c:f>'Albopictus Blood'!$D$104</c:f>
              <c:strCache>
                <c:ptCount val="1"/>
                <c:pt idx="0">
                  <c:v>120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Blood'!$E$104:$N$104</c:f>
              <c:numCache>
                <c:formatCode>General</c:formatCode>
                <c:ptCount val="10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F95E-467B-8887-E918A63AA01E}"/>
            </c:ext>
          </c:extLst>
        </c:ser>
        <c:ser>
          <c:idx val="101"/>
          <c:order val="100"/>
          <c:tx>
            <c:strRef>
              <c:f>'Albopictus Blood'!$D$105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01725754901086"/>
                  <c:y val="-0.147092714493906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'Albopictus Blood'!$E$110:$O$110</c:f>
                <c:numCache>
                  <c:formatCode>General</c:formatCode>
                  <c:ptCount val="11"/>
                  <c:pt idx="0">
                    <c:v>0.94444444444444431</c:v>
                  </c:pt>
                  <c:pt idx="1">
                    <c:v>0.76666666666666661</c:v>
                  </c:pt>
                  <c:pt idx="2">
                    <c:v>0.75</c:v>
                  </c:pt>
                  <c:pt idx="3">
                    <c:v>0.75</c:v>
                  </c:pt>
                  <c:pt idx="4">
                    <c:v>0.45833333333333331</c:v>
                  </c:pt>
                  <c:pt idx="5">
                    <c:v>1</c:v>
                  </c:pt>
                  <c:pt idx="6">
                    <c:v>0.66666666666666663</c:v>
                  </c:pt>
                  <c:pt idx="7">
                    <c:v>1</c:v>
                  </c:pt>
                  <c:pt idx="8">
                    <c:v>0.41666666666666663</c:v>
                  </c:pt>
                  <c:pt idx="9">
                    <c:v>1</c:v>
                  </c:pt>
                </c:numCache>
              </c:numRef>
            </c:plus>
            <c:minus>
              <c:numRef>
                <c:f>'Albopictus Blood'!$E$108:$N$108</c:f>
                <c:numCache>
                  <c:formatCode>General</c:formatCode>
                  <c:ptCount val="10"/>
                  <c:pt idx="0">
                    <c:v>1.2</c:v>
                  </c:pt>
                  <c:pt idx="1">
                    <c:v>1.125</c:v>
                  </c:pt>
                  <c:pt idx="2">
                    <c:v>1</c:v>
                  </c:pt>
                  <c:pt idx="3">
                    <c:v>1</c:v>
                  </c:pt>
                  <c:pt idx="4">
                    <c:v>1.25</c:v>
                  </c:pt>
                  <c:pt idx="5">
                    <c:v>2.0000000000000004</c:v>
                  </c:pt>
                  <c:pt idx="6">
                    <c:v>1.3333333333333335</c:v>
                  </c:pt>
                  <c:pt idx="7">
                    <c:v>1.5</c:v>
                  </c:pt>
                  <c:pt idx="8">
                    <c:v>1</c:v>
                  </c:pt>
                  <c:pt idx="9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'Albopictus Blood'!$E$4:$N$4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32</c:v>
                </c:pt>
                <c:pt idx="9">
                  <c:v>36</c:v>
                </c:pt>
              </c:numCache>
            </c:numRef>
          </c:xVal>
          <c:yVal>
            <c:numRef>
              <c:f>'Albopictus Blood'!$E$105:$N$105</c:f>
              <c:numCache>
                <c:formatCode>d\-mmm</c:formatCode>
                <c:ptCount val="10"/>
                <c:pt idx="0">
                  <c:v>42838</c:v>
                </c:pt>
                <c:pt idx="1">
                  <c:v>42843</c:v>
                </c:pt>
                <c:pt idx="2">
                  <c:v>42846</c:v>
                </c:pt>
                <c:pt idx="3">
                  <c:v>42850</c:v>
                </c:pt>
                <c:pt idx="4">
                  <c:v>42853</c:v>
                </c:pt>
                <c:pt idx="5">
                  <c:v>42857</c:v>
                </c:pt>
                <c:pt idx="6">
                  <c:v>42860</c:v>
                </c:pt>
                <c:pt idx="7">
                  <c:v>42864</c:v>
                </c:pt>
                <c:pt idx="8">
                  <c:v>42867</c:v>
                </c:pt>
                <c:pt idx="9">
                  <c:v>42871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F95E-467B-8887-E918A63A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413320"/>
        <c:axId val="702413648"/>
      </c:scatterChart>
      <c:valAx>
        <c:axId val="70241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13648"/>
        <c:crosses val="autoZero"/>
        <c:crossBetween val="midCat"/>
      </c:valAx>
      <c:valAx>
        <c:axId val="7024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13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64</xdr:row>
      <xdr:rowOff>14287</xdr:rowOff>
    </xdr:from>
    <xdr:to>
      <xdr:col>21</xdr:col>
      <xdr:colOff>19050</xdr:colOff>
      <xdr:row>78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C5F2D4-3227-4894-BDB3-99F1E17BC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79</xdr:col>
      <xdr:colOff>219075</xdr:colOff>
      <xdr:row>23</xdr:row>
      <xdr:rowOff>14287</xdr:rowOff>
    </xdr:from>
    <xdr:to>
      <xdr:col>86</xdr:col>
      <xdr:colOff>38100</xdr:colOff>
      <xdr:row>37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21BD57-AF34-4883-A982-D2168B93E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357187</xdr:colOff>
      <xdr:row>75</xdr:row>
      <xdr:rowOff>185737</xdr:rowOff>
    </xdr:from>
    <xdr:to>
      <xdr:col>72</xdr:col>
      <xdr:colOff>585787</xdr:colOff>
      <xdr:row>90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99E686-771B-435E-8BE3-6E5F0CDE3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285750</xdr:colOff>
      <xdr:row>94</xdr:row>
      <xdr:rowOff>33337</xdr:rowOff>
    </xdr:from>
    <xdr:to>
      <xdr:col>48</xdr:col>
      <xdr:colOff>104775</xdr:colOff>
      <xdr:row>108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6FBD29-708B-4AB9-8EF2-3D558CA89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952500</xdr:colOff>
      <xdr:row>102</xdr:row>
      <xdr:rowOff>159202</xdr:rowOff>
    </xdr:from>
    <xdr:to>
      <xdr:col>24</xdr:col>
      <xdr:colOff>136071</xdr:colOff>
      <xdr:row>117</xdr:row>
      <xdr:rowOff>44902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5DDF0-63CF-4E1E-BA1E-2E4983E1F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966107</xdr:colOff>
      <xdr:row>77</xdr:row>
      <xdr:rowOff>118381</xdr:rowOff>
    </xdr:from>
    <xdr:to>
      <xdr:col>36</xdr:col>
      <xdr:colOff>149679</xdr:colOff>
      <xdr:row>92</xdr:row>
      <xdr:rowOff>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2D0FEC-688A-43C7-B855-C0EDBD05C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266700</xdr:colOff>
      <xdr:row>28</xdr:row>
      <xdr:rowOff>90487</xdr:rowOff>
    </xdr:from>
    <xdr:to>
      <xdr:col>48</xdr:col>
      <xdr:colOff>571500</xdr:colOff>
      <xdr:row>42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294C24-C41B-493F-890A-24BE9D012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108858</xdr:colOff>
      <xdr:row>57</xdr:row>
      <xdr:rowOff>190500</xdr:rowOff>
    </xdr:from>
    <xdr:to>
      <xdr:col>48</xdr:col>
      <xdr:colOff>394608</xdr:colOff>
      <xdr:row>100</xdr:row>
      <xdr:rowOff>58510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A2F8189-122E-41B9-865B-B3B69D8B8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404812</xdr:colOff>
      <xdr:row>8</xdr:row>
      <xdr:rowOff>23812</xdr:rowOff>
    </xdr:from>
    <xdr:to>
      <xdr:col>50</xdr:col>
      <xdr:colOff>100012</xdr:colOff>
      <xdr:row>21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32176D-849F-4C17-8BDF-A189A764A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333375</xdr:colOff>
      <xdr:row>40</xdr:row>
      <xdr:rowOff>95250</xdr:rowOff>
    </xdr:from>
    <xdr:to>
      <xdr:col>52</xdr:col>
      <xdr:colOff>28575</xdr:colOff>
      <xdr:row>63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26E2D2-D7FE-436F-B39E-DC5495A5D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514350</xdr:colOff>
      <xdr:row>8</xdr:row>
      <xdr:rowOff>28575</xdr:rowOff>
    </xdr:from>
    <xdr:to>
      <xdr:col>58</xdr:col>
      <xdr:colOff>209550</xdr:colOff>
      <xdr:row>21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8678DC4-4BE1-4085-8021-1FADDE3DC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DEF402-3F2B-408F-B770-BA605AAFB1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B4FC9-4330-4722-BDDB-18D4FE9DA0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1E3A3-2118-487E-B39A-A1846121A7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7" name="Table7" displayName="Table7" ref="C5:M202" totalsRowShown="0">
  <autoFilter ref="C5:M202"/>
  <sortState ref="C6:M202">
    <sortCondition ref="C5:C202"/>
  </sortState>
  <tableColumns count="11">
    <tableColumn id="1" name="Sample Name"/>
    <tableColumn id="2" name="Task"/>
    <tableColumn id="3" name="Ct"/>
    <tableColumn id="4" name="Qty"/>
    <tableColumn id="5" name="Titer" dataDxfId="124"/>
    <tableColumn id="6" name="Positive"/>
    <tableColumn id="7" name="Ct2"/>
    <tableColumn id="8" name="Qty2"/>
    <tableColumn id="9" name="Titer2"/>
    <tableColumn id="10" name="Disseminated" dataDxfId="123"/>
    <tableColumn id="11" name="DPI Survival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ositive_Albo" displayName="Positive_Albo" ref="AM5:AW105" totalsRowShown="0" headerRowDxfId="121" headerRowBorderDxfId="120" tableBorderDxfId="119">
  <autoFilter ref="AM5:AW105"/>
  <sortState ref="AM6:AW105">
    <sortCondition ref="AM5:AM105"/>
  </sortState>
  <tableColumns count="11">
    <tableColumn id="1" name="Sample Name"/>
    <tableColumn id="2" name="Task"/>
    <tableColumn id="3" name="Ct"/>
    <tableColumn id="4" name="Qty"/>
    <tableColumn id="5" name="Titer"/>
    <tableColumn id="6" name="Positive"/>
    <tableColumn id="7" name="Ct2"/>
    <tableColumn id="8" name="Qty2"/>
    <tableColumn id="9" name="Titer2"/>
    <tableColumn id="10" name="Disseminated"/>
    <tableColumn id="11" name="DPI Survi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Dis_Albo" displayName="Dis_Albo" ref="AY5:BI105" totalsRowShown="0" headerRowDxfId="118" headerRowBorderDxfId="117" tableBorderDxfId="116">
  <autoFilter ref="AY5:BI105"/>
  <sortState ref="AY6:BI105">
    <sortCondition ref="BI5:BI105"/>
  </sortState>
  <tableColumns count="11">
    <tableColumn id="1" name="Sample Name"/>
    <tableColumn id="2" name="Task"/>
    <tableColumn id="3" name="Ct"/>
    <tableColumn id="4" name="Qty"/>
    <tableColumn id="5" name="Titer"/>
    <tableColumn id="6" name="Positive"/>
    <tableColumn id="7" name="Ct2"/>
    <tableColumn id="8" name="Qty2"/>
    <tableColumn id="9" name="Titer2"/>
    <tableColumn id="10" name="Disseminated"/>
    <tableColumn id="11" name="DPI Survi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L5:BV18" totalsRowShown="0" headerRowDxfId="115" headerRowBorderDxfId="114" tableBorderDxfId="113">
  <autoFilter ref="BL5:BV18"/>
  <sortState ref="BL6:BV107">
    <sortCondition ref="BL6:BL107"/>
  </sortState>
  <tableColumns count="11">
    <tableColumn id="1" name="Sample Name"/>
    <tableColumn id="2" name="Task"/>
    <tableColumn id="3" name="Ct"/>
    <tableColumn id="4" name="Qty"/>
    <tableColumn id="5" name="Titer"/>
    <tableColumn id="6" name="Positive"/>
    <tableColumn id="7" name="Ct2"/>
    <tableColumn id="8" name="Qty2"/>
    <tableColumn id="9" name="Titer2"/>
    <tableColumn id="10" name="Disseminated"/>
    <tableColumn id="11" name="DPI Surviv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BY5:CI14" totalsRowShown="0" headerRowDxfId="112" dataDxfId="110" headerRowBorderDxfId="111" tableBorderDxfId="109" totalsRowBorderDxfId="108">
  <autoFilter ref="BY5:CI14"/>
  <sortState ref="BY6:CI107">
    <sortCondition ref="BY5:BY107"/>
  </sortState>
  <tableColumns count="11">
    <tableColumn id="1" name="Sample Name" dataDxfId="107"/>
    <tableColumn id="2" name="Task" dataDxfId="106"/>
    <tableColumn id="3" name="Ct" dataDxfId="105"/>
    <tableColumn id="4" name="Qty" dataDxfId="104"/>
    <tableColumn id="5" name="Titer" dataDxfId="103"/>
    <tableColumn id="6" name="Positive" dataDxfId="102"/>
    <tableColumn id="7" name="Ct2" dataDxfId="101"/>
    <tableColumn id="8" name="Qty2" dataDxfId="100"/>
    <tableColumn id="9" name="Titer2" dataDxfId="99"/>
    <tableColumn id="10" name="Disseminated" dataDxfId="98"/>
    <tableColumn id="11" name="DPI Survival" dataDxfId="9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3" displayName="Table3" ref="C5:L125" totalsRowShown="0">
  <autoFilter ref="C5:L125"/>
  <sortState ref="C6:L125">
    <sortCondition ref="C5:C125"/>
  </sortState>
  <tableColumns count="10">
    <tableColumn id="1" name="Sample Name"/>
    <tableColumn id="2" name="Ct"/>
    <tableColumn id="3" name="Qty"/>
    <tableColumn id="4" name="Titer"/>
    <tableColumn id="10" name="Positive" dataDxfId="94"/>
    <tableColumn id="5" name="Ct2" dataDxfId="93"/>
    <tableColumn id="6" name="Qty2" dataDxfId="92"/>
    <tableColumn id="7" name="Titer2" dataDxfId="91"/>
    <tableColumn id="8" name="Disseminated" dataDxfId="90"/>
    <tableColumn id="9" name="DPI Survival" dataDxfId="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Q5:Z99" totalsRowShown="0" headerRowDxfId="88" headerRowBorderDxfId="87" tableBorderDxfId="86">
  <autoFilter ref="Q5:Z99"/>
  <sortState ref="Q6:Z125">
    <sortCondition descending="1" ref="Y6:Y125"/>
    <sortCondition ref="Z6:Z125"/>
    <sortCondition ref="Q6:Q125"/>
  </sortState>
  <tableColumns count="10">
    <tableColumn id="1" name="Sample Name"/>
    <tableColumn id="2" name="Ct"/>
    <tableColumn id="3" name="Qty"/>
    <tableColumn id="4" name="Titer"/>
    <tableColumn id="5" name="Positive"/>
    <tableColumn id="6" name="Ct2"/>
    <tableColumn id="7" name="Qty2"/>
    <tableColumn id="8" name="Titer2"/>
    <tableColumn id="9" name="Disseminated"/>
    <tableColumn id="10" name="DPI Surviv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Table4" displayName="Table4" ref="AC5:AL73" totalsRowShown="0" headerRowDxfId="85" headerRowBorderDxfId="84" tableBorderDxfId="83">
  <autoFilter ref="AC5:AL73"/>
  <sortState ref="AC6:AL73">
    <sortCondition ref="AL6:AL73"/>
    <sortCondition ref="AC6:AC73"/>
  </sortState>
  <tableColumns count="10">
    <tableColumn id="1" name="Sample Name"/>
    <tableColumn id="2" name="Ct"/>
    <tableColumn id="3" name="Qty"/>
    <tableColumn id="4" name="Titer"/>
    <tableColumn id="5" name="Positive"/>
    <tableColumn id="6" name="Ct2"/>
    <tableColumn id="7" name="Qty2"/>
    <tableColumn id="8" name="Titer2"/>
    <tableColumn id="9" name="Disseminated"/>
    <tableColumn id="10" name="DPI Surviv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S4:W97" totalsRowShown="0" dataDxfId="67">
  <autoFilter ref="S4:W97"/>
  <tableColumns count="5">
    <tableColumn id="1" name="Uninfected" dataDxfId="66"/>
    <tableColumn id="2" name="Infected" dataDxfId="65"/>
    <tableColumn id="3" name="Infected + NOT Disseminated" dataDxfId="64"/>
    <tableColumn id="4" name="Infected + Disseminated" dataDxfId="63"/>
    <tableColumn id="5" name="Control" dataDxfId="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611" displayName="Table611" ref="B3:G43" totalsRowShown="0">
  <autoFilter ref="B3:G43"/>
  <sortState ref="B4:G43">
    <sortCondition ref="C3:C43"/>
  </sortState>
  <tableColumns count="6">
    <tableColumn id="1" name="Order"/>
    <tableColumn id="2" name="Mosquito"/>
    <tableColumn id="3" name="Wing A" dataDxfId="20"/>
    <tableColumn id="4" name="Wing B" dataDxfId="19"/>
    <tableColumn id="5" name="Reliable A"/>
    <tableColumn id="6" name="Reliable B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913" displayName="Table913" ref="K3:S103" totalsRowShown="0" headerRowDxfId="18" headerRowBorderDxfId="17" tableBorderDxfId="16">
  <autoFilter ref="K3:S103"/>
  <sortState ref="K4:S103">
    <sortCondition ref="L3:L103"/>
  </sortState>
  <tableColumns count="9">
    <tableColumn id="1" name="Order"/>
    <tableColumn id="2" name="Mosquito"/>
    <tableColumn id="3" name="Wing A"/>
    <tableColumn id="4" name="Wing B"/>
    <tableColumn id="5" name="Reliable A"/>
    <tableColumn id="6" name="Reliable B"/>
    <tableColumn id="9" name="Average Wing/mm" dataDxfId="15">
      <calculatedColumnFormula>AVERAGE(Table913[[#This Row],[Wing A]:[Wing B]])</calculatedColumnFormula>
    </tableColumn>
    <tableColumn id="7" name="Positive" dataDxfId="14">
      <calculatedColumnFormula>LOOKUP(Table913[[#This Row],[Mosquito]],Table7[Sample Name],Table7[Positive])</calculatedColumnFormula>
    </tableColumn>
    <tableColumn id="8" name="Disseminated" dataDxfId="13">
      <calculatedColumnFormula>LOOKUP(Table913[[#This Row],[Mosquito]],Table7[Sample Name],Table7[Disseminated])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B3:G43" totalsRowShown="0">
  <autoFilter ref="B3:G43"/>
  <sortState ref="B4:G43">
    <sortCondition ref="B3:B43"/>
  </sortState>
  <tableColumns count="6">
    <tableColumn id="1" name="Order"/>
    <tableColumn id="2" name="Mosquito"/>
    <tableColumn id="3" name="Wing A" dataDxfId="7"/>
    <tableColumn id="4" name="Wing B" dataDxfId="6"/>
    <tableColumn id="5" name="Reliable A"/>
    <tableColumn id="6" name="Reliable B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9" displayName="Table9" ref="K3:P125" totalsRowShown="0" headerRowDxfId="5" headerRowBorderDxfId="4" tableBorderDxfId="3">
  <autoFilter ref="K3:P125"/>
  <sortState ref="K4:P125">
    <sortCondition ref="L3:L125"/>
  </sortState>
  <tableColumns count="6">
    <tableColumn id="1" name="Order"/>
    <tableColumn id="2" name="Mosquito"/>
    <tableColumn id="3" name="Wing A"/>
    <tableColumn id="4" name="Wing B"/>
    <tableColumn id="5" name="Reliable A"/>
    <tableColumn id="6" name="Reliable 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F4141"/>
  </sheetPr>
  <dimension ref="C1:CM202"/>
  <sheetViews>
    <sheetView workbookViewId="0">
      <selection activeCell="L14" sqref="L14"/>
    </sheetView>
  </sheetViews>
  <sheetFormatPr defaultRowHeight="15" x14ac:dyDescent="0.25"/>
  <cols>
    <col min="3" max="3" width="15.7109375" bestFit="1" customWidth="1"/>
    <col min="4" max="4" width="9.42578125" bestFit="1" customWidth="1"/>
    <col min="5" max="5" width="14.140625" bestFit="1" customWidth="1"/>
    <col min="6" max="6" width="9" bestFit="1" customWidth="1"/>
    <col min="7" max="7" width="12" bestFit="1" customWidth="1"/>
    <col min="8" max="8" width="10.42578125" bestFit="1" customWidth="1"/>
    <col min="9" max="9" width="14.140625" bestFit="1" customWidth="1"/>
    <col min="10" max="11" width="12" bestFit="1" customWidth="1"/>
    <col min="12" max="12" width="15.5703125" bestFit="1" customWidth="1"/>
    <col min="13" max="13" width="14.5703125" style="109" customWidth="1"/>
    <col min="15" max="15" width="27.28515625" customWidth="1"/>
    <col min="28" max="28" width="9.42578125" bestFit="1" customWidth="1"/>
    <col min="29" max="29" width="14.140625" bestFit="1" customWidth="1"/>
    <col min="30" max="30" width="9" bestFit="1" customWidth="1"/>
    <col min="31" max="31" width="12" bestFit="1" customWidth="1"/>
    <col min="32" max="32" width="8.140625" bestFit="1" customWidth="1"/>
    <col min="33" max="33" width="14.140625" bestFit="1" customWidth="1"/>
    <col min="34" max="35" width="12" bestFit="1" customWidth="1"/>
    <col min="36" max="36" width="13.28515625" bestFit="1" customWidth="1"/>
    <col min="37" max="37" width="11.42578125" bestFit="1" customWidth="1"/>
    <col min="39" max="39" width="15.42578125" customWidth="1"/>
    <col min="40" max="40" width="13.42578125" customWidth="1"/>
    <col min="44" max="44" width="10.28515625" customWidth="1"/>
    <col min="48" max="48" width="15.28515625" customWidth="1"/>
    <col min="49" max="49" width="13.5703125" customWidth="1"/>
    <col min="51" max="51" width="15.42578125" customWidth="1"/>
    <col min="56" max="56" width="10.28515625" customWidth="1"/>
    <col min="60" max="60" width="15.28515625" customWidth="1"/>
    <col min="61" max="61" width="13.5703125" customWidth="1"/>
    <col min="64" max="64" width="15.42578125" customWidth="1"/>
    <col min="69" max="69" width="10.28515625" customWidth="1"/>
    <col min="73" max="73" width="15.28515625" customWidth="1"/>
    <col min="74" max="74" width="13.5703125" customWidth="1"/>
    <col min="77" max="77" width="15.42578125" customWidth="1"/>
    <col min="82" max="82" width="10.28515625" customWidth="1"/>
    <col min="86" max="86" width="15.28515625" customWidth="1"/>
    <col min="87" max="87" width="13.5703125" customWidth="1"/>
  </cols>
  <sheetData>
    <row r="1" spans="3:91" x14ac:dyDescent="0.25">
      <c r="D1" s="357" t="s">
        <v>21</v>
      </c>
      <c r="E1" s="357"/>
      <c r="F1" s="357"/>
      <c r="G1" s="357"/>
      <c r="H1" s="357"/>
      <c r="I1" s="357"/>
      <c r="J1" s="357"/>
      <c r="K1" s="357"/>
    </row>
    <row r="2" spans="3:91" x14ac:dyDescent="0.25">
      <c r="C2" s="107"/>
      <c r="D2" s="357"/>
      <c r="E2" s="357"/>
      <c r="F2" s="357"/>
      <c r="G2" s="357"/>
      <c r="H2" s="357"/>
      <c r="I2" s="357"/>
      <c r="J2" s="357"/>
      <c r="K2" s="357"/>
    </row>
    <row r="3" spans="3:91" ht="26.25" x14ac:dyDescent="0.4">
      <c r="C3" s="107"/>
      <c r="D3" s="108"/>
      <c r="E3" s="108"/>
      <c r="F3" s="108"/>
      <c r="G3" s="108"/>
      <c r="H3" s="108"/>
      <c r="I3" s="108"/>
      <c r="J3" s="108"/>
      <c r="K3" s="108"/>
      <c r="M3" s="122"/>
      <c r="AM3" s="160" t="s">
        <v>76</v>
      </c>
      <c r="AN3" s="160"/>
      <c r="AO3" s="160"/>
      <c r="BB3" s="355" t="s">
        <v>33</v>
      </c>
      <c r="BC3" s="355"/>
      <c r="BD3" s="355"/>
      <c r="BE3" s="355"/>
      <c r="BF3" s="355"/>
      <c r="BO3" s="358" t="s">
        <v>79</v>
      </c>
      <c r="BP3" s="358"/>
      <c r="BQ3" s="358"/>
      <c r="BR3" s="358"/>
      <c r="BS3" s="358"/>
      <c r="BT3" s="358"/>
      <c r="CB3" s="355" t="s">
        <v>88</v>
      </c>
      <c r="CC3" s="355"/>
      <c r="CD3" s="355"/>
      <c r="CE3" s="355"/>
    </row>
    <row r="4" spans="3:91" x14ac:dyDescent="0.25">
      <c r="E4" s="358" t="s">
        <v>22</v>
      </c>
      <c r="F4" s="358"/>
      <c r="G4" s="358"/>
      <c r="I4" s="358" t="s">
        <v>23</v>
      </c>
      <c r="J4" s="358"/>
      <c r="K4" s="358"/>
      <c r="AM4" t="s">
        <v>29</v>
      </c>
    </row>
    <row r="5" spans="3:91" x14ac:dyDescent="0.25">
      <c r="C5" t="s">
        <v>24</v>
      </c>
      <c r="D5" t="s">
        <v>25</v>
      </c>
      <c r="E5" t="s">
        <v>26</v>
      </c>
      <c r="F5" t="s">
        <v>27</v>
      </c>
      <c r="G5" s="109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s="109" t="s">
        <v>34</v>
      </c>
      <c r="O5" t="s">
        <v>51</v>
      </c>
      <c r="P5">
        <f>COUNTIF(Table7[Positive],TRUE)-1</f>
        <v>87</v>
      </c>
      <c r="T5" s="110" t="s">
        <v>24</v>
      </c>
      <c r="U5" s="110" t="s">
        <v>25</v>
      </c>
      <c r="V5" s="110" t="s">
        <v>35</v>
      </c>
      <c r="W5" s="110" t="s">
        <v>36</v>
      </c>
      <c r="X5" s="110" t="s">
        <v>28</v>
      </c>
      <c r="AA5" s="168" t="s">
        <v>24</v>
      </c>
      <c r="AB5" s="110" t="s">
        <v>25</v>
      </c>
      <c r="AC5" s="110" t="s">
        <v>26</v>
      </c>
      <c r="AD5" s="110" t="s">
        <v>27</v>
      </c>
      <c r="AE5" s="169" t="s">
        <v>28</v>
      </c>
      <c r="AF5" s="110" t="s">
        <v>29</v>
      </c>
      <c r="AG5" s="110" t="s">
        <v>30</v>
      </c>
      <c r="AH5" s="110" t="s">
        <v>31</v>
      </c>
      <c r="AI5" s="110" t="s">
        <v>32</v>
      </c>
      <c r="AJ5" s="110" t="s">
        <v>33</v>
      </c>
      <c r="AK5" s="170" t="s">
        <v>34</v>
      </c>
      <c r="AM5" s="175" t="s">
        <v>24</v>
      </c>
      <c r="AN5" s="176" t="s">
        <v>25</v>
      </c>
      <c r="AO5" s="176" t="s">
        <v>26</v>
      </c>
      <c r="AP5" s="176" t="s">
        <v>27</v>
      </c>
      <c r="AQ5" s="177" t="s">
        <v>28</v>
      </c>
      <c r="AR5" s="176" t="s">
        <v>29</v>
      </c>
      <c r="AS5" s="176" t="s">
        <v>30</v>
      </c>
      <c r="AT5" s="176" t="s">
        <v>31</v>
      </c>
      <c r="AU5" s="176" t="s">
        <v>32</v>
      </c>
      <c r="AV5" s="176" t="s">
        <v>33</v>
      </c>
      <c r="AW5" s="178" t="s">
        <v>34</v>
      </c>
      <c r="AY5" s="175" t="s">
        <v>24</v>
      </c>
      <c r="AZ5" s="176" t="s">
        <v>25</v>
      </c>
      <c r="BA5" s="176" t="s">
        <v>26</v>
      </c>
      <c r="BB5" s="176" t="s">
        <v>27</v>
      </c>
      <c r="BC5" s="177" t="s">
        <v>28</v>
      </c>
      <c r="BD5" s="176" t="s">
        <v>29</v>
      </c>
      <c r="BE5" s="176" t="s">
        <v>30</v>
      </c>
      <c r="BF5" s="176" t="s">
        <v>31</v>
      </c>
      <c r="BG5" s="176" t="s">
        <v>32</v>
      </c>
      <c r="BH5" s="176" t="s">
        <v>33</v>
      </c>
      <c r="BI5" s="178" t="s">
        <v>34</v>
      </c>
      <c r="BL5" s="175" t="s">
        <v>24</v>
      </c>
      <c r="BM5" s="176" t="s">
        <v>25</v>
      </c>
      <c r="BN5" s="176" t="s">
        <v>26</v>
      </c>
      <c r="BO5" s="176" t="s">
        <v>27</v>
      </c>
      <c r="BP5" s="177" t="s">
        <v>28</v>
      </c>
      <c r="BQ5" s="176" t="s">
        <v>29</v>
      </c>
      <c r="BR5" s="176" t="s">
        <v>30</v>
      </c>
      <c r="BS5" s="176" t="s">
        <v>31</v>
      </c>
      <c r="BT5" s="176" t="s">
        <v>32</v>
      </c>
      <c r="BU5" s="176" t="s">
        <v>33</v>
      </c>
      <c r="BV5" s="178" t="s">
        <v>34</v>
      </c>
      <c r="BY5" s="176" t="s">
        <v>24</v>
      </c>
      <c r="BZ5" s="176" t="s">
        <v>25</v>
      </c>
      <c r="CA5" s="176" t="s">
        <v>26</v>
      </c>
      <c r="CB5" s="176" t="s">
        <v>27</v>
      </c>
      <c r="CC5" s="177" t="s">
        <v>28</v>
      </c>
      <c r="CD5" s="176" t="s">
        <v>29</v>
      </c>
      <c r="CE5" s="176" t="s">
        <v>30</v>
      </c>
      <c r="CF5" s="176" t="s">
        <v>31</v>
      </c>
      <c r="CG5" s="176" t="s">
        <v>32</v>
      </c>
      <c r="CH5" s="176" t="s">
        <v>33</v>
      </c>
      <c r="CI5" s="178" t="s">
        <v>34</v>
      </c>
      <c r="CK5" s="305"/>
      <c r="CL5" s="164"/>
      <c r="CM5" s="164"/>
    </row>
    <row r="6" spans="3:91" x14ac:dyDescent="0.25">
      <c r="C6">
        <v>1</v>
      </c>
      <c r="D6" t="s">
        <v>37</v>
      </c>
      <c r="E6">
        <v>28.528700000000001</v>
      </c>
      <c r="F6" s="111">
        <v>522601</v>
      </c>
      <c r="G6" s="109">
        <v>5.718170236417075</v>
      </c>
      <c r="H6" t="b">
        <v>1</v>
      </c>
      <c r="I6" t="s">
        <v>39</v>
      </c>
      <c r="J6" t="s">
        <v>18</v>
      </c>
      <c r="K6" t="s">
        <v>18</v>
      </c>
      <c r="L6" s="109" t="b">
        <v>0</v>
      </c>
      <c r="M6" s="109">
        <v>7</v>
      </c>
      <c r="T6" s="112">
        <v>1</v>
      </c>
      <c r="U6" s="113" t="s">
        <v>38</v>
      </c>
      <c r="V6" s="112" t="s">
        <v>39</v>
      </c>
      <c r="W6" s="112" t="s">
        <v>18</v>
      </c>
      <c r="X6" s="112" t="s">
        <v>18</v>
      </c>
      <c r="AA6" s="164">
        <v>1</v>
      </c>
      <c r="AB6" s="112" t="s">
        <v>37</v>
      </c>
      <c r="AC6" s="112">
        <v>28.528700000000001</v>
      </c>
      <c r="AD6" s="165">
        <v>522601</v>
      </c>
      <c r="AE6" s="166">
        <v>5.718170236417075</v>
      </c>
      <c r="AF6" s="112" t="b">
        <v>1</v>
      </c>
      <c r="AG6" s="112" t="s">
        <v>39</v>
      </c>
      <c r="AH6" s="112" t="s">
        <v>18</v>
      </c>
      <c r="AI6" s="112" t="s">
        <v>18</v>
      </c>
      <c r="AJ6" s="166" t="b">
        <v>0</v>
      </c>
      <c r="AK6" s="119">
        <v>7</v>
      </c>
      <c r="AM6">
        <v>1</v>
      </c>
      <c r="AN6" t="s">
        <v>37</v>
      </c>
      <c r="AO6">
        <v>28.528700000000001</v>
      </c>
      <c r="AP6">
        <v>522601</v>
      </c>
      <c r="AQ6">
        <v>5.718170236417075</v>
      </c>
      <c r="AR6" t="b">
        <v>1</v>
      </c>
      <c r="AS6" t="s">
        <v>39</v>
      </c>
      <c r="AT6" t="s">
        <v>18</v>
      </c>
      <c r="AU6" t="s">
        <v>18</v>
      </c>
      <c r="AV6" t="b">
        <v>0</v>
      </c>
      <c r="AW6">
        <v>7</v>
      </c>
      <c r="AY6">
        <v>18</v>
      </c>
      <c r="AZ6" t="s">
        <v>37</v>
      </c>
      <c r="BA6">
        <v>27.8842</v>
      </c>
      <c r="BB6">
        <v>828272</v>
      </c>
      <c r="BC6">
        <v>5.9181729801431446</v>
      </c>
      <c r="BD6" t="b">
        <v>1</v>
      </c>
      <c r="BE6">
        <v>32.428462982177734</v>
      </c>
      <c r="BF6">
        <v>881.38458251953125</v>
      </c>
      <c r="BG6">
        <v>2.945165449412777</v>
      </c>
      <c r="BH6" t="b">
        <v>1</v>
      </c>
      <c r="BI6">
        <v>7</v>
      </c>
      <c r="BL6">
        <v>10</v>
      </c>
      <c r="BM6" t="s">
        <v>37</v>
      </c>
      <c r="BN6" t="s">
        <v>39</v>
      </c>
      <c r="BO6">
        <v>0</v>
      </c>
      <c r="BP6" t="s">
        <v>18</v>
      </c>
      <c r="BQ6" t="b">
        <v>0</v>
      </c>
      <c r="BR6" t="s">
        <v>47</v>
      </c>
      <c r="BS6" t="s">
        <v>47</v>
      </c>
      <c r="BT6" t="s">
        <v>47</v>
      </c>
      <c r="BU6" t="s">
        <v>48</v>
      </c>
      <c r="BV6">
        <v>18</v>
      </c>
      <c r="BY6" s="112">
        <v>1</v>
      </c>
      <c r="BZ6" s="164" t="s">
        <v>37</v>
      </c>
      <c r="CA6" s="164">
        <v>28.528700000000001</v>
      </c>
      <c r="CB6" s="164">
        <v>522601</v>
      </c>
      <c r="CC6" s="164">
        <v>5.718170236417075</v>
      </c>
      <c r="CD6" s="164" t="b">
        <v>1</v>
      </c>
      <c r="CE6" s="164" t="s">
        <v>39</v>
      </c>
      <c r="CF6" s="164" t="s">
        <v>18</v>
      </c>
      <c r="CG6" s="164" t="s">
        <v>18</v>
      </c>
      <c r="CH6" s="164" t="b">
        <v>0</v>
      </c>
      <c r="CI6" s="164">
        <v>7</v>
      </c>
      <c r="CK6" s="305"/>
      <c r="CL6" s="164"/>
      <c r="CM6" s="164"/>
    </row>
    <row r="7" spans="3:91" x14ac:dyDescent="0.25">
      <c r="C7">
        <v>2</v>
      </c>
      <c r="D7" t="s">
        <v>37</v>
      </c>
      <c r="F7">
        <v>55135836</v>
      </c>
      <c r="G7">
        <v>7.7414339639730825</v>
      </c>
      <c r="H7" t="b">
        <v>1</v>
      </c>
      <c r="I7">
        <v>24.813081741333008</v>
      </c>
      <c r="J7">
        <v>173804.46875</v>
      </c>
      <c r="K7">
        <v>5.2400609385598056</v>
      </c>
      <c r="L7" s="109" t="b">
        <v>1</v>
      </c>
      <c r="M7" s="109">
        <v>37</v>
      </c>
      <c r="O7" t="s">
        <v>52</v>
      </c>
      <c r="P7">
        <f>COUNTIF(Table7[Disseminated],TRUE)</f>
        <v>70</v>
      </c>
      <c r="T7" s="114">
        <v>5</v>
      </c>
      <c r="U7" s="115" t="s">
        <v>38</v>
      </c>
      <c r="V7" s="114">
        <v>26.810159683227539</v>
      </c>
      <c r="W7" s="114">
        <v>43475.18359375</v>
      </c>
      <c r="X7" s="112">
        <v>4.638241424684737</v>
      </c>
      <c r="AA7" s="161">
        <v>2</v>
      </c>
      <c r="AB7" s="114" t="s">
        <v>37</v>
      </c>
      <c r="AC7" s="114"/>
      <c r="AD7" s="114">
        <v>55135836</v>
      </c>
      <c r="AE7" s="114">
        <v>7.7414339639730825</v>
      </c>
      <c r="AF7" s="114" t="b">
        <v>1</v>
      </c>
      <c r="AG7" s="114">
        <v>24.813081741333008</v>
      </c>
      <c r="AH7" s="114">
        <v>173804.46875</v>
      </c>
      <c r="AI7" s="114">
        <v>5.2400609385598056</v>
      </c>
      <c r="AJ7" s="162" t="b">
        <v>1</v>
      </c>
      <c r="AK7" s="163">
        <v>37</v>
      </c>
      <c r="AM7">
        <v>2</v>
      </c>
      <c r="AN7" t="s">
        <v>37</v>
      </c>
      <c r="AO7">
        <v>0</v>
      </c>
      <c r="AP7">
        <v>55135836</v>
      </c>
      <c r="AQ7">
        <v>7.7414339639730825</v>
      </c>
      <c r="AR7" t="b">
        <v>1</v>
      </c>
      <c r="AS7">
        <v>24.813081741333008</v>
      </c>
      <c r="AT7">
        <v>173804.46875</v>
      </c>
      <c r="AU7">
        <v>5.2400609385598056</v>
      </c>
      <c r="AV7" t="b">
        <v>1</v>
      </c>
      <c r="AW7">
        <v>37</v>
      </c>
      <c r="AY7">
        <v>96</v>
      </c>
      <c r="AZ7" t="s">
        <v>37</v>
      </c>
      <c r="BA7">
        <v>24.571300000000001</v>
      </c>
      <c r="BB7">
        <v>8837440</v>
      </c>
      <c r="BC7">
        <v>6.9463264782609819</v>
      </c>
      <c r="BD7" t="b">
        <v>1</v>
      </c>
      <c r="BE7">
        <v>23.386629104614258</v>
      </c>
      <c r="BF7">
        <v>467651.71875</v>
      </c>
      <c r="BG7">
        <v>5.6699225348372622</v>
      </c>
      <c r="BH7" t="b">
        <v>1</v>
      </c>
      <c r="BI7">
        <v>7</v>
      </c>
      <c r="BL7">
        <v>11</v>
      </c>
      <c r="BM7" t="s">
        <v>37</v>
      </c>
      <c r="BN7" t="s">
        <v>39</v>
      </c>
      <c r="BO7">
        <v>0</v>
      </c>
      <c r="BP7" t="s">
        <v>18</v>
      </c>
      <c r="BQ7" t="b">
        <v>0</v>
      </c>
      <c r="BR7" t="s">
        <v>47</v>
      </c>
      <c r="BS7" t="s">
        <v>47</v>
      </c>
      <c r="BT7" t="s">
        <v>47</v>
      </c>
      <c r="BU7" t="s">
        <v>48</v>
      </c>
      <c r="BV7">
        <v>29</v>
      </c>
      <c r="BY7" s="112">
        <v>12</v>
      </c>
      <c r="BZ7" s="164" t="s">
        <v>37</v>
      </c>
      <c r="CA7" s="164">
        <v>25.26</v>
      </c>
      <c r="CB7" s="164">
        <v>5402190</v>
      </c>
      <c r="CC7" s="164">
        <v>6.7325698546571457</v>
      </c>
      <c r="CD7" s="164" t="b">
        <v>1</v>
      </c>
      <c r="CE7" s="164" t="s">
        <v>39</v>
      </c>
      <c r="CF7" s="164" t="s">
        <v>18</v>
      </c>
      <c r="CG7" s="164" t="s">
        <v>18</v>
      </c>
      <c r="CH7" s="164" t="b">
        <v>0</v>
      </c>
      <c r="CI7" s="164">
        <v>7</v>
      </c>
      <c r="CK7" s="305"/>
      <c r="CL7" s="164"/>
      <c r="CM7" s="164"/>
    </row>
    <row r="8" spans="3:91" x14ac:dyDescent="0.25">
      <c r="C8">
        <v>3</v>
      </c>
      <c r="D8" t="s">
        <v>37</v>
      </c>
      <c r="E8">
        <v>36.475499999999997</v>
      </c>
      <c r="F8" s="111">
        <v>1786.21</v>
      </c>
      <c r="G8" s="109">
        <v>3.2519325164113235</v>
      </c>
      <c r="H8" t="b">
        <v>1</v>
      </c>
      <c r="I8" t="s">
        <v>47</v>
      </c>
      <c r="J8" t="s">
        <v>47</v>
      </c>
      <c r="K8" t="s">
        <v>47</v>
      </c>
      <c r="L8" s="109" t="s">
        <v>48</v>
      </c>
      <c r="M8" s="109">
        <v>1</v>
      </c>
      <c r="T8" s="112">
        <v>7</v>
      </c>
      <c r="U8" s="112" t="s">
        <v>38</v>
      </c>
      <c r="V8" s="112">
        <v>23.171781539916992</v>
      </c>
      <c r="W8" s="112">
        <v>542833.75</v>
      </c>
      <c r="X8" s="112">
        <v>5.7346668415357849</v>
      </c>
      <c r="AA8" s="164">
        <v>3</v>
      </c>
      <c r="AB8" s="112" t="s">
        <v>37</v>
      </c>
      <c r="AC8" s="112">
        <v>36.475499999999997</v>
      </c>
      <c r="AD8" s="165">
        <v>1786.21</v>
      </c>
      <c r="AE8" s="166">
        <v>3.2519325164113235</v>
      </c>
      <c r="AF8" s="112" t="b">
        <v>1</v>
      </c>
      <c r="AG8" s="112" t="s">
        <v>47</v>
      </c>
      <c r="AH8" s="112" t="s">
        <v>47</v>
      </c>
      <c r="AI8" s="112" t="s">
        <v>47</v>
      </c>
      <c r="AJ8" s="166" t="s">
        <v>48</v>
      </c>
      <c r="AK8" s="119">
        <v>1</v>
      </c>
      <c r="AM8">
        <v>3</v>
      </c>
      <c r="AN8" t="s">
        <v>37</v>
      </c>
      <c r="AO8">
        <v>36.475499999999997</v>
      </c>
      <c r="AP8">
        <v>1786.21</v>
      </c>
      <c r="AQ8">
        <v>3.2519325164113235</v>
      </c>
      <c r="AR8" t="b">
        <v>1</v>
      </c>
      <c r="AS8" t="s">
        <v>47</v>
      </c>
      <c r="AT8" t="s">
        <v>47</v>
      </c>
      <c r="AU8" t="s">
        <v>47</v>
      </c>
      <c r="AV8" t="s">
        <v>48</v>
      </c>
      <c r="AW8">
        <v>1</v>
      </c>
      <c r="AY8">
        <v>113</v>
      </c>
      <c r="AZ8" t="s">
        <v>37</v>
      </c>
      <c r="BA8">
        <v>26.0701</v>
      </c>
      <c r="BB8">
        <v>4257860</v>
      </c>
      <c r="BC8">
        <v>6.6291913775750517</v>
      </c>
      <c r="BD8" t="b">
        <v>1</v>
      </c>
      <c r="BE8">
        <v>26.777292251586914</v>
      </c>
      <c r="BF8">
        <v>44478.078125</v>
      </c>
      <c r="BG8">
        <v>4.6481460133370458</v>
      </c>
      <c r="BH8" t="b">
        <v>1</v>
      </c>
      <c r="BI8">
        <v>7</v>
      </c>
      <c r="BL8">
        <v>23</v>
      </c>
      <c r="BM8" t="s">
        <v>37</v>
      </c>
      <c r="BN8" t="s">
        <v>39</v>
      </c>
      <c r="BO8">
        <v>0</v>
      </c>
      <c r="BP8" t="s">
        <v>18</v>
      </c>
      <c r="BQ8" t="b">
        <v>0</v>
      </c>
      <c r="BR8" t="s">
        <v>47</v>
      </c>
      <c r="BS8" t="s">
        <v>47</v>
      </c>
      <c r="BT8" t="s">
        <v>47</v>
      </c>
      <c r="BU8" t="s">
        <v>48</v>
      </c>
      <c r="BV8">
        <v>21</v>
      </c>
      <c r="BY8" s="112">
        <v>13</v>
      </c>
      <c r="BZ8" s="164" t="s">
        <v>37</v>
      </c>
      <c r="CA8" s="164">
        <v>23.707899999999999</v>
      </c>
      <c r="CB8" s="164">
        <v>16378700</v>
      </c>
      <c r="CC8" s="164">
        <v>7.2142794282405331</v>
      </c>
      <c r="CD8" s="164" t="b">
        <v>1</v>
      </c>
      <c r="CE8" s="164" t="s">
        <v>39</v>
      </c>
      <c r="CF8" s="164" t="s">
        <v>18</v>
      </c>
      <c r="CG8" s="164" t="s">
        <v>18</v>
      </c>
      <c r="CH8" s="164" t="b">
        <v>0</v>
      </c>
      <c r="CI8" s="164">
        <v>15</v>
      </c>
      <c r="CK8" s="305"/>
      <c r="CL8" s="164"/>
      <c r="CM8" s="164"/>
    </row>
    <row r="9" spans="3:91" x14ac:dyDescent="0.25">
      <c r="C9">
        <v>4</v>
      </c>
      <c r="D9" t="s">
        <v>37</v>
      </c>
      <c r="E9">
        <v>31.129300000000001</v>
      </c>
      <c r="F9" s="111">
        <v>81490.7</v>
      </c>
      <c r="G9" s="109">
        <v>4.9111080483824088</v>
      </c>
      <c r="H9" t="b">
        <v>1</v>
      </c>
      <c r="I9" t="s">
        <v>47</v>
      </c>
      <c r="J9" t="s">
        <v>47</v>
      </c>
      <c r="K9" t="s">
        <v>47</v>
      </c>
      <c r="L9" s="109" t="s">
        <v>48</v>
      </c>
      <c r="M9" s="109">
        <v>3</v>
      </c>
      <c r="O9" t="s">
        <v>105</v>
      </c>
      <c r="P9">
        <f>COUNTIFS(Table7[Positive],TRUE,Table7[Disseminated],FALSE)</f>
        <v>9</v>
      </c>
      <c r="T9" s="114">
        <v>8</v>
      </c>
      <c r="U9" s="114" t="s">
        <v>38</v>
      </c>
      <c r="V9" s="114">
        <v>23.126285552978516</v>
      </c>
      <c r="W9" s="114">
        <v>560243.8125</v>
      </c>
      <c r="X9" s="112">
        <v>5.7483770687556115</v>
      </c>
      <c r="AA9" s="161">
        <v>4</v>
      </c>
      <c r="AB9" s="114" t="s">
        <v>37</v>
      </c>
      <c r="AC9" s="114">
        <v>31.129300000000001</v>
      </c>
      <c r="AD9" s="167">
        <v>81490.7</v>
      </c>
      <c r="AE9" s="162">
        <v>4.9111080483824088</v>
      </c>
      <c r="AF9" s="114" t="b">
        <v>1</v>
      </c>
      <c r="AG9" s="114" t="s">
        <v>47</v>
      </c>
      <c r="AH9" s="114" t="s">
        <v>47</v>
      </c>
      <c r="AI9" s="114" t="s">
        <v>47</v>
      </c>
      <c r="AJ9" s="162" t="s">
        <v>48</v>
      </c>
      <c r="AK9" s="163">
        <v>3</v>
      </c>
      <c r="AM9">
        <v>4</v>
      </c>
      <c r="AN9" t="s">
        <v>37</v>
      </c>
      <c r="AO9">
        <v>31.129300000000001</v>
      </c>
      <c r="AP9">
        <v>81490.7</v>
      </c>
      <c r="AQ9">
        <v>4.9111080483824088</v>
      </c>
      <c r="AR9" t="b">
        <v>1</v>
      </c>
      <c r="AS9" t="s">
        <v>47</v>
      </c>
      <c r="AT9" t="s">
        <v>47</v>
      </c>
      <c r="AU9" t="s">
        <v>47</v>
      </c>
      <c r="AV9" t="s">
        <v>48</v>
      </c>
      <c r="AW9">
        <v>3</v>
      </c>
      <c r="AY9">
        <v>114</v>
      </c>
      <c r="AZ9" t="s">
        <v>37</v>
      </c>
      <c r="BA9">
        <v>23.9421</v>
      </c>
      <c r="BB9">
        <v>26538600</v>
      </c>
      <c r="BC9">
        <v>7.4238780086447802</v>
      </c>
      <c r="BD9" t="b">
        <v>1</v>
      </c>
      <c r="BE9">
        <v>34.095207214355469</v>
      </c>
      <c r="BF9">
        <v>277.2630615234375</v>
      </c>
      <c r="BG9">
        <v>2.4428920143845474</v>
      </c>
      <c r="BH9" t="b">
        <v>1</v>
      </c>
      <c r="BI9">
        <v>7</v>
      </c>
      <c r="BL9">
        <v>26</v>
      </c>
      <c r="BM9" t="s">
        <v>37</v>
      </c>
      <c r="BN9" t="s">
        <v>39</v>
      </c>
      <c r="BO9">
        <v>0</v>
      </c>
      <c r="BP9" t="s">
        <v>18</v>
      </c>
      <c r="BQ9" t="b">
        <v>0</v>
      </c>
      <c r="BR9" t="s">
        <v>47</v>
      </c>
      <c r="BS9" t="s">
        <v>47</v>
      </c>
      <c r="BT9" t="s">
        <v>47</v>
      </c>
      <c r="BU9" t="s">
        <v>48</v>
      </c>
      <c r="BV9">
        <v>2</v>
      </c>
      <c r="BY9" s="112">
        <v>28</v>
      </c>
      <c r="BZ9" s="164" t="s">
        <v>37</v>
      </c>
      <c r="CA9" s="164">
        <v>38.701000000000001</v>
      </c>
      <c r="CB9" s="164">
        <v>364.14699999999999</v>
      </c>
      <c r="CC9" s="164">
        <v>2.561276736399825</v>
      </c>
      <c r="CD9" s="164" t="b">
        <v>1</v>
      </c>
      <c r="CE9" s="164" t="s">
        <v>39</v>
      </c>
      <c r="CF9" s="164" t="s">
        <v>18</v>
      </c>
      <c r="CG9" s="164" t="s">
        <v>18</v>
      </c>
      <c r="CH9" s="164" t="b">
        <v>0</v>
      </c>
      <c r="CI9" s="164">
        <v>14</v>
      </c>
      <c r="CK9" s="305"/>
      <c r="CL9" s="164"/>
      <c r="CM9" s="164"/>
    </row>
    <row r="10" spans="3:91" x14ac:dyDescent="0.25">
      <c r="C10">
        <v>5</v>
      </c>
      <c r="D10" t="s">
        <v>37</v>
      </c>
      <c r="E10">
        <v>25.927800000000001</v>
      </c>
      <c r="F10" s="111">
        <v>3352220</v>
      </c>
      <c r="G10" s="109">
        <v>6.5253325128373367</v>
      </c>
      <c r="H10" t="b">
        <v>1</v>
      </c>
      <c r="I10">
        <v>26.810159683227539</v>
      </c>
      <c r="J10">
        <v>43475.18359375</v>
      </c>
      <c r="K10">
        <v>4.638241424684737</v>
      </c>
      <c r="L10" s="109" t="b">
        <v>1</v>
      </c>
      <c r="M10" s="109">
        <v>14</v>
      </c>
      <c r="T10" s="112">
        <v>9</v>
      </c>
      <c r="U10" s="112" t="s">
        <v>38</v>
      </c>
      <c r="V10" s="112">
        <v>24.826364517211914</v>
      </c>
      <c r="W10" s="112">
        <v>172209.921875</v>
      </c>
      <c r="X10" s="112">
        <v>5.2360581697159416</v>
      </c>
      <c r="AA10" s="164">
        <v>5</v>
      </c>
      <c r="AB10" s="112" t="s">
        <v>37</v>
      </c>
      <c r="AC10" s="112">
        <v>25.927800000000001</v>
      </c>
      <c r="AD10" s="165">
        <v>3352220</v>
      </c>
      <c r="AE10" s="166">
        <v>6.5253325128373367</v>
      </c>
      <c r="AF10" s="112" t="b">
        <v>1</v>
      </c>
      <c r="AG10" s="112">
        <v>26.810159683227539</v>
      </c>
      <c r="AH10" s="112">
        <v>43475.18359375</v>
      </c>
      <c r="AI10" s="112">
        <v>4.638241424684737</v>
      </c>
      <c r="AJ10" s="166" t="b">
        <v>1</v>
      </c>
      <c r="AK10" s="119">
        <v>14</v>
      </c>
      <c r="AM10">
        <v>5</v>
      </c>
      <c r="AN10" t="s">
        <v>37</v>
      </c>
      <c r="AO10">
        <v>25.927800000000001</v>
      </c>
      <c r="AP10">
        <v>3352220</v>
      </c>
      <c r="AQ10">
        <v>6.5253325128373367</v>
      </c>
      <c r="AR10" t="b">
        <v>1</v>
      </c>
      <c r="AS10">
        <v>26.810159683227539</v>
      </c>
      <c r="AT10">
        <v>43475.18359375</v>
      </c>
      <c r="AU10">
        <v>4.638241424684737</v>
      </c>
      <c r="AV10" t="b">
        <v>1</v>
      </c>
      <c r="AW10">
        <v>14</v>
      </c>
      <c r="AY10">
        <v>37</v>
      </c>
      <c r="AZ10" t="s">
        <v>37</v>
      </c>
      <c r="BA10">
        <v>25.1739</v>
      </c>
      <c r="BB10">
        <v>5745340</v>
      </c>
      <c r="BC10">
        <v>6.7593157346352033</v>
      </c>
      <c r="BD10" t="b">
        <v>1</v>
      </c>
      <c r="BE10">
        <v>32.535297393798828</v>
      </c>
      <c r="BF10">
        <v>818.409912109375</v>
      </c>
      <c r="BG10">
        <v>2.9129708806605272</v>
      </c>
      <c r="BH10" t="b">
        <v>1</v>
      </c>
      <c r="BI10">
        <v>8</v>
      </c>
      <c r="BL10">
        <v>29</v>
      </c>
      <c r="BM10" t="s">
        <v>37</v>
      </c>
      <c r="BN10">
        <v>0</v>
      </c>
      <c r="BO10">
        <v>0</v>
      </c>
      <c r="BP10" t="s">
        <v>18</v>
      </c>
      <c r="BQ10" t="b">
        <v>0</v>
      </c>
      <c r="BR10" t="s">
        <v>47</v>
      </c>
      <c r="BS10" t="s">
        <v>47</v>
      </c>
      <c r="BT10" t="s">
        <v>47</v>
      </c>
      <c r="BU10" t="s">
        <v>48</v>
      </c>
      <c r="BV10">
        <v>39</v>
      </c>
      <c r="BY10" s="112">
        <v>36</v>
      </c>
      <c r="BZ10" s="164" t="s">
        <v>37</v>
      </c>
      <c r="CA10" s="164">
        <v>27.786100000000001</v>
      </c>
      <c r="CB10" s="164">
        <v>888463</v>
      </c>
      <c r="CC10" s="164">
        <v>5.9486393463445619</v>
      </c>
      <c r="CD10" s="164" t="b">
        <v>1</v>
      </c>
      <c r="CE10" s="164">
        <v>36.482227325439453</v>
      </c>
      <c r="CF10" s="164">
        <v>52.913120269775391</v>
      </c>
      <c r="CG10" s="164">
        <v>1.7235633724938664</v>
      </c>
      <c r="CH10" s="164" t="b">
        <v>0</v>
      </c>
      <c r="CI10" s="164">
        <v>21</v>
      </c>
      <c r="CK10" s="305"/>
      <c r="CL10" s="164"/>
      <c r="CM10" s="164"/>
    </row>
    <row r="11" spans="3:91" x14ac:dyDescent="0.25">
      <c r="C11">
        <v>6</v>
      </c>
      <c r="D11" t="s">
        <v>37</v>
      </c>
      <c r="E11">
        <v>26.6523</v>
      </c>
      <c r="F11" s="111">
        <v>1997580</v>
      </c>
      <c r="G11" s="109">
        <v>6.3005041811589102</v>
      </c>
      <c r="H11" t="b">
        <v>1</v>
      </c>
      <c r="I11" t="s">
        <v>47</v>
      </c>
      <c r="J11" t="s">
        <v>47</v>
      </c>
      <c r="K11" t="s">
        <v>47</v>
      </c>
      <c r="L11" s="109" t="s">
        <v>48</v>
      </c>
      <c r="M11" s="109">
        <v>1</v>
      </c>
      <c r="O11" t="s">
        <v>53</v>
      </c>
      <c r="P11">
        <f>COUNTIF(Table7[Positive],FALSE)</f>
        <v>13</v>
      </c>
      <c r="T11" s="114">
        <v>12</v>
      </c>
      <c r="U11" s="114" t="s">
        <v>38</v>
      </c>
      <c r="V11" s="115" t="s">
        <v>39</v>
      </c>
      <c r="W11" s="114" t="s">
        <v>18</v>
      </c>
      <c r="X11" s="112" t="s">
        <v>18</v>
      </c>
      <c r="AA11" s="161">
        <v>6</v>
      </c>
      <c r="AB11" s="114" t="s">
        <v>37</v>
      </c>
      <c r="AC11" s="114">
        <v>26.6523</v>
      </c>
      <c r="AD11" s="167">
        <v>1997580</v>
      </c>
      <c r="AE11" s="162">
        <v>6.3005041811589102</v>
      </c>
      <c r="AF11" s="114" t="b">
        <v>1</v>
      </c>
      <c r="AG11" s="114" t="s">
        <v>47</v>
      </c>
      <c r="AH11" s="114" t="s">
        <v>47</v>
      </c>
      <c r="AI11" s="114" t="s">
        <v>47</v>
      </c>
      <c r="AJ11" s="162" t="s">
        <v>48</v>
      </c>
      <c r="AK11" s="163">
        <v>1</v>
      </c>
      <c r="AM11">
        <v>6</v>
      </c>
      <c r="AN11" t="s">
        <v>37</v>
      </c>
      <c r="AO11">
        <v>26.6523</v>
      </c>
      <c r="AP11">
        <v>1997580</v>
      </c>
      <c r="AQ11">
        <v>6.3005041811589102</v>
      </c>
      <c r="AR11" t="b">
        <v>1</v>
      </c>
      <c r="AS11" t="s">
        <v>47</v>
      </c>
      <c r="AT11" t="s">
        <v>47</v>
      </c>
      <c r="AU11" t="s">
        <v>47</v>
      </c>
      <c r="AV11" t="s">
        <v>48</v>
      </c>
      <c r="AW11">
        <v>1</v>
      </c>
      <c r="AY11">
        <v>51</v>
      </c>
      <c r="AZ11" t="s">
        <v>37</v>
      </c>
      <c r="BA11">
        <v>29.000599999999999</v>
      </c>
      <c r="BB11">
        <v>372998</v>
      </c>
      <c r="BC11">
        <v>5.5717065031457054</v>
      </c>
      <c r="BD11" t="b">
        <v>1</v>
      </c>
      <c r="BE11">
        <v>27.669248580932617</v>
      </c>
      <c r="BF11">
        <v>23952.724609375</v>
      </c>
      <c r="BG11">
        <v>4.3793549213211653</v>
      </c>
      <c r="BH11" t="b">
        <v>1</v>
      </c>
      <c r="BI11">
        <v>9</v>
      </c>
      <c r="BL11">
        <v>57</v>
      </c>
      <c r="BM11" t="s">
        <v>37</v>
      </c>
      <c r="BN11">
        <v>0</v>
      </c>
      <c r="BO11">
        <v>0</v>
      </c>
      <c r="BP11" t="s">
        <v>18</v>
      </c>
      <c r="BQ11" t="b">
        <v>0</v>
      </c>
      <c r="BR11" t="s">
        <v>47</v>
      </c>
      <c r="BS11" t="s">
        <v>47</v>
      </c>
      <c r="BT11" t="s">
        <v>47</v>
      </c>
      <c r="BU11" t="s">
        <v>48</v>
      </c>
      <c r="BV11">
        <v>38</v>
      </c>
      <c r="BY11" s="112">
        <v>39</v>
      </c>
      <c r="BZ11" s="164" t="s">
        <v>37</v>
      </c>
      <c r="CA11" s="164">
        <v>33.0976</v>
      </c>
      <c r="CB11" s="164">
        <v>19964.599999999999</v>
      </c>
      <c r="CC11" s="164">
        <v>4.300260613326599</v>
      </c>
      <c r="CD11" s="164" t="b">
        <v>1</v>
      </c>
      <c r="CE11" s="164">
        <v>37.022140502929688</v>
      </c>
      <c r="CF11" s="164">
        <v>36.379817962646484</v>
      </c>
      <c r="CG11" s="164">
        <v>1.5608605216099296</v>
      </c>
      <c r="CH11" s="164" t="b">
        <v>0</v>
      </c>
      <c r="CI11" s="164">
        <v>28</v>
      </c>
      <c r="CK11" s="305"/>
      <c r="CL11" s="164"/>
      <c r="CM11" s="164"/>
    </row>
    <row r="12" spans="3:91" x14ac:dyDescent="0.25">
      <c r="C12">
        <v>7</v>
      </c>
      <c r="D12" t="s">
        <v>37</v>
      </c>
      <c r="E12">
        <v>23.5092</v>
      </c>
      <c r="F12" s="111">
        <v>18876600</v>
      </c>
      <c r="G12" s="109">
        <v>7.2759237731076478</v>
      </c>
      <c r="H12" t="b">
        <v>1</v>
      </c>
      <c r="I12">
        <v>23.171781539916992</v>
      </c>
      <c r="J12">
        <v>542833.75</v>
      </c>
      <c r="K12">
        <v>5.7346668415357849</v>
      </c>
      <c r="L12" s="109" t="b">
        <v>1</v>
      </c>
      <c r="M12" s="109">
        <v>18</v>
      </c>
      <c r="T12" s="112">
        <v>13</v>
      </c>
      <c r="U12" s="112" t="s">
        <v>38</v>
      </c>
      <c r="V12" s="112" t="s">
        <v>39</v>
      </c>
      <c r="W12" s="112" t="s">
        <v>18</v>
      </c>
      <c r="X12" s="112" t="s">
        <v>18</v>
      </c>
      <c r="AA12" s="164">
        <v>7</v>
      </c>
      <c r="AB12" s="112" t="s">
        <v>37</v>
      </c>
      <c r="AC12" s="112">
        <v>23.5092</v>
      </c>
      <c r="AD12" s="165">
        <v>18876600</v>
      </c>
      <c r="AE12" s="166">
        <v>7.2759237731076478</v>
      </c>
      <c r="AF12" s="112" t="b">
        <v>1</v>
      </c>
      <c r="AG12" s="112">
        <v>23.171781539916992</v>
      </c>
      <c r="AH12" s="112">
        <v>542833.75</v>
      </c>
      <c r="AI12" s="112">
        <v>5.7346668415357849</v>
      </c>
      <c r="AJ12" s="166" t="b">
        <v>1</v>
      </c>
      <c r="AK12" s="119">
        <v>18</v>
      </c>
      <c r="AM12">
        <v>7</v>
      </c>
      <c r="AN12" t="s">
        <v>37</v>
      </c>
      <c r="AO12">
        <v>23.5092</v>
      </c>
      <c r="AP12">
        <v>18876600</v>
      </c>
      <c r="AQ12">
        <v>7.2759237731076478</v>
      </c>
      <c r="AR12" t="b">
        <v>1</v>
      </c>
      <c r="AS12">
        <v>23.171781539916992</v>
      </c>
      <c r="AT12">
        <v>542833.75</v>
      </c>
      <c r="AU12">
        <v>5.7346668415357849</v>
      </c>
      <c r="AV12" t="b">
        <v>1</v>
      </c>
      <c r="AW12">
        <v>18</v>
      </c>
      <c r="AY12">
        <v>15</v>
      </c>
      <c r="AZ12" t="s">
        <v>37</v>
      </c>
      <c r="BA12">
        <v>24.907699999999998</v>
      </c>
      <c r="BB12">
        <v>6948910</v>
      </c>
      <c r="BC12">
        <v>6.8419166868763872</v>
      </c>
      <c r="BD12" t="b">
        <v>1</v>
      </c>
      <c r="BE12">
        <v>25.831954956054688</v>
      </c>
      <c r="BF12">
        <v>85708.4140625</v>
      </c>
      <c r="BG12">
        <v>4.9330234590473685</v>
      </c>
      <c r="BH12" t="b">
        <v>1</v>
      </c>
      <c r="BI12">
        <v>10</v>
      </c>
      <c r="BL12">
        <v>58</v>
      </c>
      <c r="BM12" t="s">
        <v>37</v>
      </c>
      <c r="BN12" t="s">
        <v>39</v>
      </c>
      <c r="BO12">
        <v>0</v>
      </c>
      <c r="BP12" t="s">
        <v>18</v>
      </c>
      <c r="BQ12" t="b">
        <v>0</v>
      </c>
      <c r="BR12" t="s">
        <v>47</v>
      </c>
      <c r="BS12" t="s">
        <v>47</v>
      </c>
      <c r="BT12" t="s">
        <v>47</v>
      </c>
      <c r="BU12" t="s">
        <v>48</v>
      </c>
      <c r="BV12">
        <v>18</v>
      </c>
      <c r="BY12" s="112">
        <v>54</v>
      </c>
      <c r="BZ12" s="164" t="s">
        <v>37</v>
      </c>
      <c r="CA12" s="164">
        <v>37.411000000000001</v>
      </c>
      <c r="CB12" s="164">
        <v>915.45100000000002</v>
      </c>
      <c r="CC12" s="164">
        <v>2.9616351034174793</v>
      </c>
      <c r="CD12" s="164" t="b">
        <v>1</v>
      </c>
      <c r="CE12" s="164">
        <v>36.753360748291016</v>
      </c>
      <c r="CF12" s="164">
        <v>43.838661193847656</v>
      </c>
      <c r="CG12" s="164">
        <v>1.6418572825884805</v>
      </c>
      <c r="CH12" s="164" t="b">
        <v>0</v>
      </c>
      <c r="CI12" s="164">
        <v>21</v>
      </c>
      <c r="CK12" s="305"/>
      <c r="CL12" s="164"/>
      <c r="CM12" s="164"/>
    </row>
    <row r="13" spans="3:91" x14ac:dyDescent="0.25">
      <c r="C13">
        <v>8</v>
      </c>
      <c r="D13" t="s">
        <v>37</v>
      </c>
      <c r="E13">
        <v>22.799499999999998</v>
      </c>
      <c r="F13" s="111">
        <v>31346100</v>
      </c>
      <c r="G13" s="109">
        <v>7.4961835147411868</v>
      </c>
      <c r="H13" t="b">
        <v>1</v>
      </c>
      <c r="I13">
        <v>23.126285552978516</v>
      </c>
      <c r="J13">
        <v>560243.8125</v>
      </c>
      <c r="K13">
        <v>5.7483770687556115</v>
      </c>
      <c r="L13" s="109" t="b">
        <v>1</v>
      </c>
      <c r="M13" s="109">
        <v>16</v>
      </c>
      <c r="T13" s="114">
        <v>14</v>
      </c>
      <c r="U13" s="114" t="s">
        <v>38</v>
      </c>
      <c r="V13" s="114">
        <v>24.575054168701172</v>
      </c>
      <c r="W13" s="114">
        <v>205017.328125</v>
      </c>
      <c r="X13" s="112">
        <v>5.3117905693046863</v>
      </c>
      <c r="AA13" s="161">
        <v>8</v>
      </c>
      <c r="AB13" s="114" t="s">
        <v>37</v>
      </c>
      <c r="AC13" s="114">
        <v>22.799499999999998</v>
      </c>
      <c r="AD13" s="167">
        <v>31346100</v>
      </c>
      <c r="AE13" s="162">
        <v>7.4961835147411868</v>
      </c>
      <c r="AF13" s="114" t="b">
        <v>1</v>
      </c>
      <c r="AG13" s="114">
        <v>23.126285552978516</v>
      </c>
      <c r="AH13" s="114">
        <v>560243.8125</v>
      </c>
      <c r="AI13" s="114">
        <v>5.7483770687556115</v>
      </c>
      <c r="AJ13" s="162" t="b">
        <v>1</v>
      </c>
      <c r="AK13" s="163">
        <v>16</v>
      </c>
      <c r="AM13">
        <v>8</v>
      </c>
      <c r="AN13" t="s">
        <v>37</v>
      </c>
      <c r="AO13">
        <v>22.799499999999998</v>
      </c>
      <c r="AP13">
        <v>31346100</v>
      </c>
      <c r="AQ13">
        <v>7.4961835147411868</v>
      </c>
      <c r="AR13" t="b">
        <v>1</v>
      </c>
      <c r="AS13">
        <v>23.126285552978516</v>
      </c>
      <c r="AT13">
        <v>560243.8125</v>
      </c>
      <c r="AU13">
        <v>5.7483770687556115</v>
      </c>
      <c r="AV13" t="b">
        <v>1</v>
      </c>
      <c r="AW13">
        <v>16</v>
      </c>
      <c r="AY13">
        <v>25</v>
      </c>
      <c r="AZ13" t="s">
        <v>37</v>
      </c>
      <c r="BA13">
        <v>20.468599999999999</v>
      </c>
      <c r="BB13">
        <v>165794000</v>
      </c>
      <c r="BC13">
        <v>8.219568809603631</v>
      </c>
      <c r="BD13" t="b">
        <v>1</v>
      </c>
      <c r="BE13">
        <v>22.661399841308594</v>
      </c>
      <c r="BF13">
        <v>773517.9375</v>
      </c>
      <c r="BG13">
        <v>5.8884703892272974</v>
      </c>
      <c r="BH13" t="b">
        <v>1</v>
      </c>
      <c r="BI13">
        <v>10</v>
      </c>
      <c r="BL13">
        <v>60</v>
      </c>
      <c r="BM13" t="s">
        <v>37</v>
      </c>
      <c r="BN13" t="s">
        <v>39</v>
      </c>
      <c r="BO13">
        <v>0</v>
      </c>
      <c r="BP13" t="s">
        <v>18</v>
      </c>
      <c r="BQ13" t="b">
        <v>0</v>
      </c>
      <c r="BR13" t="s">
        <v>47</v>
      </c>
      <c r="BS13" t="s">
        <v>47</v>
      </c>
      <c r="BT13" t="s">
        <v>47</v>
      </c>
      <c r="BU13" t="s">
        <v>48</v>
      </c>
      <c r="BV13">
        <v>17</v>
      </c>
      <c r="BY13" s="112">
        <v>107</v>
      </c>
      <c r="BZ13" s="164" t="s">
        <v>37</v>
      </c>
      <c r="CA13" s="164">
        <v>34.234400000000001</v>
      </c>
      <c r="CB13" s="164">
        <v>3804.85</v>
      </c>
      <c r="CC13" s="164">
        <v>3.5803375400930908</v>
      </c>
      <c r="CD13" s="164" t="b">
        <v>1</v>
      </c>
      <c r="CE13" s="164" t="s">
        <v>39</v>
      </c>
      <c r="CF13" s="164" t="s">
        <v>18</v>
      </c>
      <c r="CG13" s="164" t="s">
        <v>18</v>
      </c>
      <c r="CH13" s="164" t="b">
        <v>0</v>
      </c>
      <c r="CI13" s="164">
        <v>4</v>
      </c>
      <c r="CK13" s="305"/>
      <c r="CL13" s="164"/>
      <c r="CM13" s="164"/>
    </row>
    <row r="14" spans="3:91" x14ac:dyDescent="0.25">
      <c r="C14">
        <v>9</v>
      </c>
      <c r="D14" t="s">
        <v>37</v>
      </c>
      <c r="E14">
        <v>24.460100000000001</v>
      </c>
      <c r="F14" s="111">
        <v>9568120</v>
      </c>
      <c r="G14" s="109">
        <v>6.9808266134473271</v>
      </c>
      <c r="H14" t="b">
        <v>1</v>
      </c>
      <c r="I14">
        <v>24.826364517211914</v>
      </c>
      <c r="J14">
        <v>172209.921875</v>
      </c>
      <c r="K14">
        <v>5.2360581697159416</v>
      </c>
      <c r="L14" s="109" t="b">
        <v>1</v>
      </c>
      <c r="M14" s="109">
        <v>11</v>
      </c>
      <c r="T14" s="112">
        <v>15</v>
      </c>
      <c r="U14" s="112" t="s">
        <v>38</v>
      </c>
      <c r="V14" s="112">
        <v>25.831954956054688</v>
      </c>
      <c r="W14" s="112">
        <v>85708.4140625</v>
      </c>
      <c r="X14" s="112">
        <v>4.9330234590473685</v>
      </c>
      <c r="AA14" s="164">
        <v>9</v>
      </c>
      <c r="AB14" s="112" t="s">
        <v>37</v>
      </c>
      <c r="AC14" s="112">
        <v>24.460100000000001</v>
      </c>
      <c r="AD14" s="165">
        <v>9568120</v>
      </c>
      <c r="AE14" s="166">
        <v>6.9808266134473271</v>
      </c>
      <c r="AF14" s="112" t="b">
        <v>1</v>
      </c>
      <c r="AG14" s="112">
        <v>24.826364517211914</v>
      </c>
      <c r="AH14" s="112">
        <v>172209.921875</v>
      </c>
      <c r="AI14" s="112">
        <v>5.2360581697159416</v>
      </c>
      <c r="AJ14" s="166" t="b">
        <v>1</v>
      </c>
      <c r="AK14" s="119">
        <v>11</v>
      </c>
      <c r="AM14">
        <v>9</v>
      </c>
      <c r="AN14" t="s">
        <v>37</v>
      </c>
      <c r="AO14">
        <v>24.460100000000001</v>
      </c>
      <c r="AP14">
        <v>9568120</v>
      </c>
      <c r="AQ14">
        <v>6.9808266134473271</v>
      </c>
      <c r="AR14" t="b">
        <v>1</v>
      </c>
      <c r="AS14">
        <v>24.826364517211914</v>
      </c>
      <c r="AT14">
        <v>172209.921875</v>
      </c>
      <c r="AU14">
        <v>5.2360581697159416</v>
      </c>
      <c r="AV14" t="b">
        <v>1</v>
      </c>
      <c r="AW14">
        <v>11</v>
      </c>
      <c r="AY14">
        <v>9</v>
      </c>
      <c r="AZ14" t="s">
        <v>37</v>
      </c>
      <c r="BA14">
        <v>24.460100000000001</v>
      </c>
      <c r="BB14">
        <v>9568120</v>
      </c>
      <c r="BC14">
        <v>6.9808266134473271</v>
      </c>
      <c r="BD14" t="b">
        <v>1</v>
      </c>
      <c r="BE14">
        <v>24.826364517211914</v>
      </c>
      <c r="BF14">
        <v>172209.921875</v>
      </c>
      <c r="BG14">
        <v>5.2360581697159416</v>
      </c>
      <c r="BH14" t="b">
        <v>1</v>
      </c>
      <c r="BI14">
        <v>11</v>
      </c>
      <c r="BL14">
        <v>89</v>
      </c>
      <c r="BM14" t="s">
        <v>37</v>
      </c>
      <c r="BN14" t="s">
        <v>39</v>
      </c>
      <c r="BO14">
        <v>0</v>
      </c>
      <c r="BP14" t="s">
        <v>18</v>
      </c>
      <c r="BQ14" t="b">
        <v>0</v>
      </c>
      <c r="BR14" t="s">
        <v>47</v>
      </c>
      <c r="BS14" t="s">
        <v>47</v>
      </c>
      <c r="BT14" t="s">
        <v>47</v>
      </c>
      <c r="BU14" t="s">
        <v>48</v>
      </c>
      <c r="BV14">
        <v>9</v>
      </c>
      <c r="BY14" s="112">
        <v>117</v>
      </c>
      <c r="BZ14" s="164" t="s">
        <v>37</v>
      </c>
      <c r="CA14" s="164">
        <v>25.0366</v>
      </c>
      <c r="CB14" s="164">
        <v>10354700</v>
      </c>
      <c r="CC14" s="164">
        <v>7.0151375208796951</v>
      </c>
      <c r="CD14" s="164" t="b">
        <v>1</v>
      </c>
      <c r="CE14" s="164">
        <v>36.183025360107422</v>
      </c>
      <c r="CF14" s="164">
        <v>65.122024536132813</v>
      </c>
      <c r="CG14" s="164">
        <v>1.813727893588817</v>
      </c>
      <c r="CH14" s="164" t="b">
        <v>0</v>
      </c>
      <c r="CI14" s="164">
        <v>7</v>
      </c>
    </row>
    <row r="15" spans="3:91" x14ac:dyDescent="0.25">
      <c r="C15">
        <v>10</v>
      </c>
      <c r="D15" t="s">
        <v>37</v>
      </c>
      <c r="E15" t="s">
        <v>39</v>
      </c>
      <c r="G15" s="109" t="s">
        <v>18</v>
      </c>
      <c r="H15" t="b">
        <v>0</v>
      </c>
      <c r="I15" t="s">
        <v>47</v>
      </c>
      <c r="J15" t="s">
        <v>47</v>
      </c>
      <c r="K15" t="s">
        <v>47</v>
      </c>
      <c r="L15" s="109" t="s">
        <v>48</v>
      </c>
      <c r="M15" s="109">
        <v>18</v>
      </c>
      <c r="T15" s="114">
        <v>17</v>
      </c>
      <c r="U15" s="114" t="s">
        <v>38</v>
      </c>
      <c r="V15" s="114">
        <v>22.524908065795898</v>
      </c>
      <c r="W15" s="114">
        <v>850358.75</v>
      </c>
      <c r="X15" s="112">
        <v>5.9296021848620395</v>
      </c>
      <c r="AA15" s="161">
        <v>10</v>
      </c>
      <c r="AB15" s="114" t="s">
        <v>37</v>
      </c>
      <c r="AC15" s="114" t="s">
        <v>39</v>
      </c>
      <c r="AD15" s="114"/>
      <c r="AE15" s="162" t="s">
        <v>18</v>
      </c>
      <c r="AF15" s="114" t="b">
        <v>0</v>
      </c>
      <c r="AG15" s="114" t="s">
        <v>47</v>
      </c>
      <c r="AH15" s="114" t="s">
        <v>47</v>
      </c>
      <c r="AI15" s="114" t="s">
        <v>47</v>
      </c>
      <c r="AJ15" s="162" t="s">
        <v>48</v>
      </c>
      <c r="AK15" s="163">
        <v>18</v>
      </c>
      <c r="AM15">
        <v>12</v>
      </c>
      <c r="AN15" t="s">
        <v>37</v>
      </c>
      <c r="AO15">
        <v>25.26</v>
      </c>
      <c r="AP15">
        <v>5402190</v>
      </c>
      <c r="AQ15">
        <v>6.7325698546571457</v>
      </c>
      <c r="AR15" t="b">
        <v>1</v>
      </c>
      <c r="AS15" t="s">
        <v>39</v>
      </c>
      <c r="AT15" t="s">
        <v>18</v>
      </c>
      <c r="AU15" t="s">
        <v>18</v>
      </c>
      <c r="AV15" t="b">
        <v>0</v>
      </c>
      <c r="AW15">
        <v>7</v>
      </c>
      <c r="AY15">
        <v>48</v>
      </c>
      <c r="AZ15" t="s">
        <v>37</v>
      </c>
      <c r="BA15">
        <v>26.106000000000002</v>
      </c>
      <c r="BB15">
        <v>2951410</v>
      </c>
      <c r="BC15">
        <v>6.4700295444268336</v>
      </c>
      <c r="BD15" t="b">
        <v>1</v>
      </c>
      <c r="BE15">
        <v>27.955131530761719</v>
      </c>
      <c r="BF15">
        <v>19642.83203125</v>
      </c>
      <c r="BG15">
        <v>4.2932041029456558</v>
      </c>
      <c r="BH15" t="b">
        <v>1</v>
      </c>
      <c r="BI15">
        <v>11</v>
      </c>
      <c r="BL15">
        <v>105</v>
      </c>
      <c r="BM15" t="s">
        <v>37</v>
      </c>
      <c r="BN15" t="s">
        <v>39</v>
      </c>
      <c r="BO15">
        <v>0</v>
      </c>
      <c r="BP15" t="s">
        <v>18</v>
      </c>
      <c r="BQ15" t="b">
        <v>0</v>
      </c>
      <c r="BR15" t="s">
        <v>47</v>
      </c>
      <c r="BS15" t="s">
        <v>47</v>
      </c>
      <c r="BT15" t="s">
        <v>47</v>
      </c>
      <c r="BU15" t="s">
        <v>48</v>
      </c>
      <c r="BV15">
        <v>1</v>
      </c>
      <c r="BY15" s="112"/>
      <c r="BZ15" s="164"/>
      <c r="CA15" s="164"/>
      <c r="CB15" s="164"/>
      <c r="CC15" s="164"/>
      <c r="CD15" s="164"/>
      <c r="CE15" s="164"/>
      <c r="CF15" s="164"/>
      <c r="CG15" s="164"/>
      <c r="CH15" s="164"/>
      <c r="CI15" s="164"/>
    </row>
    <row r="16" spans="3:91" x14ac:dyDescent="0.25">
      <c r="C16">
        <v>11</v>
      </c>
      <c r="D16" t="s">
        <v>37</v>
      </c>
      <c r="E16" t="s">
        <v>39</v>
      </c>
      <c r="G16" s="109" t="s">
        <v>18</v>
      </c>
      <c r="H16" t="b">
        <v>0</v>
      </c>
      <c r="I16" t="s">
        <v>47</v>
      </c>
      <c r="J16" t="s">
        <v>47</v>
      </c>
      <c r="K16" t="s">
        <v>47</v>
      </c>
      <c r="L16" s="109" t="s">
        <v>48</v>
      </c>
      <c r="M16" s="109">
        <v>29</v>
      </c>
      <c r="T16" s="112"/>
      <c r="U16" s="112" t="s">
        <v>40</v>
      </c>
      <c r="V16" s="112">
        <v>15.590455055236816</v>
      </c>
      <c r="W16" s="112">
        <v>81283048</v>
      </c>
      <c r="X16" s="112">
        <v>7.9099999806775596</v>
      </c>
      <c r="AA16" s="164">
        <v>11</v>
      </c>
      <c r="AB16" s="112" t="s">
        <v>37</v>
      </c>
      <c r="AC16" s="112" t="s">
        <v>39</v>
      </c>
      <c r="AD16" s="112"/>
      <c r="AE16" s="166" t="s">
        <v>18</v>
      </c>
      <c r="AF16" s="112" t="b">
        <v>0</v>
      </c>
      <c r="AG16" s="112" t="s">
        <v>47</v>
      </c>
      <c r="AH16" s="112" t="s">
        <v>47</v>
      </c>
      <c r="AI16" s="112" t="s">
        <v>47</v>
      </c>
      <c r="AJ16" s="166" t="s">
        <v>48</v>
      </c>
      <c r="AK16" s="119">
        <v>29</v>
      </c>
      <c r="AM16">
        <v>13</v>
      </c>
      <c r="AN16" t="s">
        <v>37</v>
      </c>
      <c r="AO16">
        <v>23.707899999999999</v>
      </c>
      <c r="AP16">
        <v>16378700</v>
      </c>
      <c r="AQ16">
        <v>7.2142794282405331</v>
      </c>
      <c r="AR16" t="b">
        <v>1</v>
      </c>
      <c r="AS16" t="s">
        <v>39</v>
      </c>
      <c r="AT16" t="s">
        <v>18</v>
      </c>
      <c r="AU16" t="s">
        <v>18</v>
      </c>
      <c r="AV16" t="b">
        <v>0</v>
      </c>
      <c r="AW16">
        <v>15</v>
      </c>
      <c r="AY16">
        <v>92</v>
      </c>
      <c r="AZ16" t="s">
        <v>37</v>
      </c>
      <c r="BA16">
        <v>23.497800000000002</v>
      </c>
      <c r="BB16">
        <v>19031200</v>
      </c>
      <c r="BC16">
        <v>7.279466173307906</v>
      </c>
      <c r="BD16" t="b">
        <v>1</v>
      </c>
      <c r="BE16">
        <v>35.227455139160156</v>
      </c>
      <c r="BF16">
        <v>126.38310241699219</v>
      </c>
      <c r="BG16">
        <v>2.1016890120980976</v>
      </c>
      <c r="BH16" t="b">
        <v>1</v>
      </c>
      <c r="BI16">
        <v>11</v>
      </c>
      <c r="BL16">
        <v>110</v>
      </c>
      <c r="BM16" t="s">
        <v>37</v>
      </c>
      <c r="BN16" t="s">
        <v>39</v>
      </c>
      <c r="BO16">
        <v>0</v>
      </c>
      <c r="BP16" t="s">
        <v>18</v>
      </c>
      <c r="BQ16" t="b">
        <v>0</v>
      </c>
      <c r="BR16" t="s">
        <v>47</v>
      </c>
      <c r="BS16" t="s">
        <v>47</v>
      </c>
      <c r="BT16" t="s">
        <v>47</v>
      </c>
      <c r="BU16" t="s">
        <v>48</v>
      </c>
      <c r="BV16">
        <v>2</v>
      </c>
      <c r="BY16" s="112"/>
      <c r="BZ16" s="164"/>
      <c r="CA16" s="164"/>
      <c r="CB16" s="164"/>
      <c r="CC16" s="164"/>
      <c r="CD16" s="164"/>
      <c r="CE16" s="164"/>
      <c r="CF16" s="164"/>
      <c r="CG16" s="164"/>
      <c r="CH16" s="164"/>
      <c r="CI16" s="164"/>
    </row>
    <row r="17" spans="3:87" x14ac:dyDescent="0.25">
      <c r="C17">
        <v>12</v>
      </c>
      <c r="D17" t="s">
        <v>37</v>
      </c>
      <c r="E17">
        <v>25.26</v>
      </c>
      <c r="F17" s="111">
        <v>5402190</v>
      </c>
      <c r="G17" s="109">
        <v>6.7325698546571457</v>
      </c>
      <c r="H17" t="b">
        <v>1</v>
      </c>
      <c r="I17" t="s">
        <v>39</v>
      </c>
      <c r="J17" t="s">
        <v>18</v>
      </c>
      <c r="K17" t="s">
        <v>18</v>
      </c>
      <c r="L17" s="109" t="b">
        <v>0</v>
      </c>
      <c r="M17" s="109">
        <v>7</v>
      </c>
      <c r="T17" s="114"/>
      <c r="U17" s="114" t="s">
        <v>40</v>
      </c>
      <c r="V17" s="114">
        <v>16.512639999389648</v>
      </c>
      <c r="W17" s="114">
        <v>81283048</v>
      </c>
      <c r="X17" s="112">
        <v>7.9099999806775596</v>
      </c>
      <c r="AA17" s="161">
        <v>12</v>
      </c>
      <c r="AB17" s="114" t="s">
        <v>37</v>
      </c>
      <c r="AC17" s="114">
        <v>25.26</v>
      </c>
      <c r="AD17" s="167">
        <v>5402190</v>
      </c>
      <c r="AE17" s="162">
        <v>6.7325698546571457</v>
      </c>
      <c r="AF17" s="114" t="b">
        <v>1</v>
      </c>
      <c r="AG17" s="114" t="s">
        <v>39</v>
      </c>
      <c r="AH17" s="114" t="s">
        <v>18</v>
      </c>
      <c r="AI17" s="114" t="s">
        <v>18</v>
      </c>
      <c r="AJ17" s="162" t="b">
        <v>0</v>
      </c>
      <c r="AK17" s="163">
        <v>7</v>
      </c>
      <c r="AM17">
        <v>14</v>
      </c>
      <c r="AN17" t="s">
        <v>37</v>
      </c>
      <c r="AO17">
        <v>22.2989</v>
      </c>
      <c r="AP17">
        <v>44827400</v>
      </c>
      <c r="AQ17">
        <v>7.6515435504116702</v>
      </c>
      <c r="AR17" t="b">
        <v>1</v>
      </c>
      <c r="AS17">
        <v>24.575054168701172</v>
      </c>
      <c r="AT17">
        <v>205017.328125</v>
      </c>
      <c r="AU17">
        <v>5.3117905693046863</v>
      </c>
      <c r="AV17" t="b">
        <v>1</v>
      </c>
      <c r="AW17">
        <v>14</v>
      </c>
      <c r="AY17">
        <v>5</v>
      </c>
      <c r="AZ17" t="s">
        <v>37</v>
      </c>
      <c r="BA17">
        <v>25.927800000000001</v>
      </c>
      <c r="BB17">
        <v>3352220</v>
      </c>
      <c r="BC17">
        <v>6.5253325128373367</v>
      </c>
      <c r="BD17" t="b">
        <v>1</v>
      </c>
      <c r="BE17">
        <v>26.810159683227539</v>
      </c>
      <c r="BF17">
        <v>43475.18359375</v>
      </c>
      <c r="BG17">
        <v>4.638241424684737</v>
      </c>
      <c r="BH17" t="b">
        <v>1</v>
      </c>
      <c r="BI17">
        <v>14</v>
      </c>
      <c r="BL17">
        <v>115</v>
      </c>
      <c r="BM17" t="s">
        <v>37</v>
      </c>
      <c r="BN17" t="s">
        <v>39</v>
      </c>
      <c r="BO17">
        <v>0</v>
      </c>
      <c r="BP17" t="s">
        <v>18</v>
      </c>
      <c r="BQ17" t="b">
        <v>0</v>
      </c>
      <c r="BR17" t="s">
        <v>47</v>
      </c>
      <c r="BS17" t="s">
        <v>47</v>
      </c>
      <c r="BT17" t="s">
        <v>47</v>
      </c>
      <c r="BU17" t="s">
        <v>48</v>
      </c>
      <c r="BV17">
        <v>7</v>
      </c>
      <c r="BY17" s="112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</row>
    <row r="18" spans="3:87" x14ac:dyDescent="0.25">
      <c r="C18">
        <v>13</v>
      </c>
      <c r="D18" t="s">
        <v>37</v>
      </c>
      <c r="E18">
        <v>23.707899999999999</v>
      </c>
      <c r="F18" s="111">
        <v>16378700</v>
      </c>
      <c r="G18" s="109">
        <v>7.2142794282405331</v>
      </c>
      <c r="H18" t="b">
        <v>1</v>
      </c>
      <c r="I18" t="s">
        <v>39</v>
      </c>
      <c r="J18" t="s">
        <v>18</v>
      </c>
      <c r="K18" t="s">
        <v>18</v>
      </c>
      <c r="L18" s="109" t="b">
        <v>0</v>
      </c>
      <c r="M18" s="109">
        <v>15</v>
      </c>
      <c r="T18" s="112">
        <v>18</v>
      </c>
      <c r="U18" s="112" t="s">
        <v>38</v>
      </c>
      <c r="V18" s="112">
        <v>32.428462982177734</v>
      </c>
      <c r="W18" s="112">
        <v>881.38458251953125</v>
      </c>
      <c r="X18" s="112">
        <v>2.945165449412777</v>
      </c>
      <c r="AA18" s="164">
        <v>13</v>
      </c>
      <c r="AB18" s="112" t="s">
        <v>37</v>
      </c>
      <c r="AC18" s="112">
        <v>23.707899999999999</v>
      </c>
      <c r="AD18" s="165">
        <v>16378700</v>
      </c>
      <c r="AE18" s="166">
        <v>7.2142794282405331</v>
      </c>
      <c r="AF18" s="112" t="b">
        <v>1</v>
      </c>
      <c r="AG18" s="112" t="s">
        <v>39</v>
      </c>
      <c r="AH18" s="112" t="s">
        <v>18</v>
      </c>
      <c r="AI18" s="112" t="s">
        <v>18</v>
      </c>
      <c r="AJ18" s="166" t="b">
        <v>0</v>
      </c>
      <c r="AK18" s="119">
        <v>15</v>
      </c>
      <c r="AM18">
        <v>15</v>
      </c>
      <c r="AN18" t="s">
        <v>37</v>
      </c>
      <c r="AO18">
        <v>24.907699999999998</v>
      </c>
      <c r="AP18">
        <v>6948910</v>
      </c>
      <c r="AQ18">
        <v>6.8419166868763872</v>
      </c>
      <c r="AR18" t="b">
        <v>1</v>
      </c>
      <c r="AS18">
        <v>25.831954956054688</v>
      </c>
      <c r="AT18">
        <v>85708.4140625</v>
      </c>
      <c r="AU18">
        <v>4.9330234590473685</v>
      </c>
      <c r="AV18" t="b">
        <v>1</v>
      </c>
      <c r="AW18">
        <v>10</v>
      </c>
      <c r="AY18">
        <v>14</v>
      </c>
      <c r="AZ18" t="s">
        <v>37</v>
      </c>
      <c r="BA18">
        <v>22.2989</v>
      </c>
      <c r="BB18">
        <v>44827400</v>
      </c>
      <c r="BC18">
        <v>7.6515435504116702</v>
      </c>
      <c r="BD18" t="b">
        <v>1</v>
      </c>
      <c r="BE18">
        <v>24.575054168701172</v>
      </c>
      <c r="BF18">
        <v>205017.328125</v>
      </c>
      <c r="BG18">
        <v>5.3117905693046863</v>
      </c>
      <c r="BH18" t="b">
        <v>1</v>
      </c>
      <c r="BI18">
        <v>14</v>
      </c>
      <c r="BL18">
        <v>120</v>
      </c>
      <c r="BM18" t="s">
        <v>37</v>
      </c>
      <c r="BN18" t="s">
        <v>39</v>
      </c>
      <c r="BO18">
        <v>0</v>
      </c>
      <c r="BP18" t="s">
        <v>18</v>
      </c>
      <c r="BQ18" t="b">
        <v>0</v>
      </c>
      <c r="BR18" t="s">
        <v>47</v>
      </c>
      <c r="BS18" t="s">
        <v>47</v>
      </c>
      <c r="BT18" t="s">
        <v>47</v>
      </c>
      <c r="BU18" t="s">
        <v>48</v>
      </c>
      <c r="BV18">
        <v>7</v>
      </c>
      <c r="BY18" s="112"/>
      <c r="BZ18" s="164"/>
      <c r="CA18" s="164"/>
      <c r="CB18" s="164"/>
      <c r="CC18" s="164"/>
      <c r="CD18" s="164"/>
      <c r="CE18" s="164"/>
      <c r="CF18" s="164"/>
      <c r="CG18" s="164"/>
      <c r="CH18" s="164"/>
      <c r="CI18" s="164"/>
    </row>
    <row r="19" spans="3:87" x14ac:dyDescent="0.25">
      <c r="C19">
        <v>14</v>
      </c>
      <c r="D19" t="s">
        <v>37</v>
      </c>
      <c r="E19">
        <v>22.2989</v>
      </c>
      <c r="F19" s="111">
        <v>44827400</v>
      </c>
      <c r="G19" s="109">
        <v>7.6515435504116702</v>
      </c>
      <c r="H19" t="b">
        <v>1</v>
      </c>
      <c r="I19">
        <v>24.575054168701172</v>
      </c>
      <c r="J19">
        <v>205017.328125</v>
      </c>
      <c r="K19">
        <v>5.3117905693046863</v>
      </c>
      <c r="L19" s="109" t="b">
        <v>1</v>
      </c>
      <c r="M19" s="109">
        <v>14</v>
      </c>
      <c r="T19" s="114">
        <v>19</v>
      </c>
      <c r="U19" s="114" t="s">
        <v>38</v>
      </c>
      <c r="V19" s="114">
        <v>21.21107292175293</v>
      </c>
      <c r="W19" s="114">
        <v>2116052.75</v>
      </c>
      <c r="X19" s="112">
        <v>6.3255264898037789</v>
      </c>
      <c r="AA19" s="161">
        <v>14</v>
      </c>
      <c r="AB19" s="114" t="s">
        <v>37</v>
      </c>
      <c r="AC19" s="114">
        <v>22.2989</v>
      </c>
      <c r="AD19" s="167">
        <v>44827400</v>
      </c>
      <c r="AE19" s="162">
        <v>7.6515435504116702</v>
      </c>
      <c r="AF19" s="114" t="b">
        <v>1</v>
      </c>
      <c r="AG19" s="114">
        <v>24.575054168701172</v>
      </c>
      <c r="AH19" s="114">
        <v>205017.328125</v>
      </c>
      <c r="AI19" s="114">
        <v>5.3117905693046863</v>
      </c>
      <c r="AJ19" s="162" t="b">
        <v>1</v>
      </c>
      <c r="AK19" s="163">
        <v>14</v>
      </c>
      <c r="AM19">
        <v>16</v>
      </c>
      <c r="AN19" t="s">
        <v>37</v>
      </c>
      <c r="AO19">
        <v>0</v>
      </c>
      <c r="AP19">
        <v>21465378</v>
      </c>
      <c r="AQ19">
        <v>7.3317385407012585</v>
      </c>
      <c r="AR19" t="b">
        <v>1</v>
      </c>
      <c r="AS19">
        <v>23.026762008666992</v>
      </c>
      <c r="AT19">
        <v>600300.1875</v>
      </c>
      <c r="AU19">
        <v>5.7783684790050538</v>
      </c>
      <c r="AV19" t="b">
        <v>1</v>
      </c>
      <c r="AW19">
        <v>39</v>
      </c>
      <c r="AY19">
        <v>24</v>
      </c>
      <c r="AZ19" t="s">
        <v>37</v>
      </c>
      <c r="BA19">
        <v>23.915600000000001</v>
      </c>
      <c r="BB19">
        <v>14118700</v>
      </c>
      <c r="BC19">
        <v>7.1497947102555814</v>
      </c>
      <c r="BD19" t="b">
        <v>1</v>
      </c>
      <c r="BE19">
        <v>33.763511657714844</v>
      </c>
      <c r="BF19">
        <v>349.01852416992188</v>
      </c>
      <c r="BG19">
        <v>2.5428484777651463</v>
      </c>
      <c r="BH19" t="b">
        <v>1</v>
      </c>
      <c r="BI19">
        <v>14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Y19" s="112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</row>
    <row r="20" spans="3:87" x14ac:dyDescent="0.25">
      <c r="C20">
        <v>15</v>
      </c>
      <c r="D20" t="s">
        <v>37</v>
      </c>
      <c r="E20">
        <v>24.907699999999998</v>
      </c>
      <c r="F20" s="111">
        <v>6948910</v>
      </c>
      <c r="G20" s="109">
        <v>6.8419166868763872</v>
      </c>
      <c r="H20" t="b">
        <v>1</v>
      </c>
      <c r="I20">
        <v>25.831954956054688</v>
      </c>
      <c r="J20">
        <v>85708.4140625</v>
      </c>
      <c r="K20">
        <v>4.9330234590473685</v>
      </c>
      <c r="L20" s="109" t="b">
        <v>1</v>
      </c>
      <c r="M20" s="109">
        <v>10</v>
      </c>
      <c r="T20" s="112">
        <v>20</v>
      </c>
      <c r="U20" s="112" t="s">
        <v>38</v>
      </c>
      <c r="V20" s="112">
        <v>23.988777160644531</v>
      </c>
      <c r="W20" s="112">
        <v>307939.34375</v>
      </c>
      <c r="X20" s="112">
        <v>5.4884651799130504</v>
      </c>
      <c r="AA20" s="164">
        <v>15</v>
      </c>
      <c r="AB20" s="112" t="s">
        <v>37</v>
      </c>
      <c r="AC20" s="112">
        <v>24.907699999999998</v>
      </c>
      <c r="AD20" s="165">
        <v>6948910</v>
      </c>
      <c r="AE20" s="166">
        <v>6.8419166868763872</v>
      </c>
      <c r="AF20" s="112" t="b">
        <v>1</v>
      </c>
      <c r="AG20" s="112">
        <v>25.831954956054688</v>
      </c>
      <c r="AH20" s="112">
        <v>85708.4140625</v>
      </c>
      <c r="AI20" s="112">
        <v>4.9330234590473685</v>
      </c>
      <c r="AJ20" s="166" t="b">
        <v>1</v>
      </c>
      <c r="AK20" s="119">
        <v>10</v>
      </c>
      <c r="AM20">
        <v>17</v>
      </c>
      <c r="AN20" t="s">
        <v>37</v>
      </c>
      <c r="AO20">
        <v>21.087599999999998</v>
      </c>
      <c r="AP20">
        <v>106522000</v>
      </c>
      <c r="AQ20">
        <v>8.0274393119239598</v>
      </c>
      <c r="AR20" t="b">
        <v>1</v>
      </c>
      <c r="AS20">
        <v>22.524908065795898</v>
      </c>
      <c r="AT20">
        <v>850358.75</v>
      </c>
      <c r="AU20">
        <v>5.9296021848620395</v>
      </c>
      <c r="AV20" t="b">
        <v>1</v>
      </c>
      <c r="AW20">
        <v>23</v>
      </c>
      <c r="AY20">
        <v>30</v>
      </c>
      <c r="AZ20" t="s">
        <v>37</v>
      </c>
      <c r="BA20">
        <v>24.594100000000001</v>
      </c>
      <c r="BB20">
        <v>8694520</v>
      </c>
      <c r="BC20">
        <v>6.9392456108234359</v>
      </c>
      <c r="BD20" t="b">
        <v>1</v>
      </c>
      <c r="BE20">
        <v>24.545707702636719</v>
      </c>
      <c r="BF20">
        <v>209234.90625</v>
      </c>
      <c r="BG20">
        <v>5.3206341387380958</v>
      </c>
      <c r="BH20" t="b">
        <v>1</v>
      </c>
      <c r="BI20">
        <v>14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Y20" s="112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</row>
    <row r="21" spans="3:87" x14ac:dyDescent="0.25">
      <c r="C21">
        <v>16</v>
      </c>
      <c r="D21" t="s">
        <v>37</v>
      </c>
      <c r="F21">
        <v>21465378</v>
      </c>
      <c r="G21">
        <v>7.3317385407012585</v>
      </c>
      <c r="H21" t="b">
        <v>1</v>
      </c>
      <c r="I21">
        <v>23.026762008666992</v>
      </c>
      <c r="J21">
        <v>600300.1875</v>
      </c>
      <c r="K21">
        <v>5.7783684790050538</v>
      </c>
      <c r="L21" s="109" t="b">
        <v>1</v>
      </c>
      <c r="M21" s="109">
        <v>39</v>
      </c>
      <c r="T21" s="114">
        <v>21</v>
      </c>
      <c r="U21" s="114" t="s">
        <v>38</v>
      </c>
      <c r="V21" s="114">
        <v>21.17078971862793</v>
      </c>
      <c r="W21" s="114">
        <v>2176034.75</v>
      </c>
      <c r="X21" s="112">
        <v>6.337665826509939</v>
      </c>
      <c r="AA21" s="161">
        <v>16</v>
      </c>
      <c r="AB21" s="114" t="s">
        <v>37</v>
      </c>
      <c r="AC21" s="114"/>
      <c r="AD21" s="114">
        <v>21465378</v>
      </c>
      <c r="AE21" s="114">
        <v>7.3317385407012585</v>
      </c>
      <c r="AF21" s="114" t="b">
        <v>1</v>
      </c>
      <c r="AG21" s="114">
        <v>23.026762008666992</v>
      </c>
      <c r="AH21" s="114">
        <v>600300.1875</v>
      </c>
      <c r="AI21" s="114">
        <v>5.7783684790050538</v>
      </c>
      <c r="AJ21" s="162" t="b">
        <v>1</v>
      </c>
      <c r="AK21" s="163">
        <v>39</v>
      </c>
      <c r="AM21">
        <v>18</v>
      </c>
      <c r="AN21" t="s">
        <v>37</v>
      </c>
      <c r="AO21">
        <v>27.8842</v>
      </c>
      <c r="AP21">
        <v>828272</v>
      </c>
      <c r="AQ21">
        <v>5.9181729801431446</v>
      </c>
      <c r="AR21" t="b">
        <v>1</v>
      </c>
      <c r="AS21">
        <v>32.428462982177734</v>
      </c>
      <c r="AT21">
        <v>881.38458251953125</v>
      </c>
      <c r="AU21">
        <v>2.945165449412777</v>
      </c>
      <c r="AV21" t="b">
        <v>1</v>
      </c>
      <c r="AW21">
        <v>7</v>
      </c>
      <c r="AY21">
        <v>32</v>
      </c>
      <c r="AZ21" t="s">
        <v>37</v>
      </c>
      <c r="BA21">
        <v>23.5473</v>
      </c>
      <c r="BB21">
        <v>18370000</v>
      </c>
      <c r="BC21">
        <v>7.2641091563058087</v>
      </c>
      <c r="BD21" t="b">
        <v>1</v>
      </c>
      <c r="BE21">
        <v>24.456207275390625</v>
      </c>
      <c r="BF21">
        <v>222640.96875</v>
      </c>
      <c r="BG21">
        <v>5.3476050830217465</v>
      </c>
      <c r="BH21" t="b">
        <v>1</v>
      </c>
      <c r="BI21">
        <v>14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Y21" s="112"/>
      <c r="BZ21" s="164"/>
      <c r="CA21" s="164"/>
      <c r="CB21" s="164"/>
      <c r="CC21" s="164"/>
      <c r="CD21" s="164"/>
      <c r="CE21" s="164"/>
      <c r="CF21" s="164"/>
      <c r="CG21" s="164"/>
      <c r="CH21" s="164"/>
      <c r="CI21" s="164"/>
    </row>
    <row r="22" spans="3:87" x14ac:dyDescent="0.25">
      <c r="C22">
        <v>17</v>
      </c>
      <c r="D22" t="s">
        <v>37</v>
      </c>
      <c r="E22">
        <v>21.087599999999998</v>
      </c>
      <c r="F22" s="111">
        <v>106522000</v>
      </c>
      <c r="G22" s="109">
        <v>8.0274393119239598</v>
      </c>
      <c r="H22" t="b">
        <v>1</v>
      </c>
      <c r="I22">
        <v>22.524908065795898</v>
      </c>
      <c r="J22">
        <v>850358.75</v>
      </c>
      <c r="K22">
        <v>5.9296021848620395</v>
      </c>
      <c r="L22" s="109" t="b">
        <v>1</v>
      </c>
      <c r="M22" s="109">
        <v>23</v>
      </c>
      <c r="T22" s="112">
        <v>22</v>
      </c>
      <c r="U22" s="112" t="s">
        <v>38</v>
      </c>
      <c r="V22" s="112">
        <v>22.326440811157227</v>
      </c>
      <c r="W22" s="112">
        <v>975911.25</v>
      </c>
      <c r="X22" s="112">
        <v>5.9894103244414794</v>
      </c>
      <c r="AA22" s="164">
        <v>17</v>
      </c>
      <c r="AB22" s="112" t="s">
        <v>37</v>
      </c>
      <c r="AC22" s="112">
        <v>21.087599999999998</v>
      </c>
      <c r="AD22" s="165">
        <v>106522000</v>
      </c>
      <c r="AE22" s="166">
        <v>8.0274393119239598</v>
      </c>
      <c r="AF22" s="112" t="b">
        <v>1</v>
      </c>
      <c r="AG22" s="112">
        <v>22.524908065795898</v>
      </c>
      <c r="AH22" s="112">
        <v>850358.75</v>
      </c>
      <c r="AI22" s="112">
        <v>5.9296021848620395</v>
      </c>
      <c r="AJ22" s="166" t="b">
        <v>1</v>
      </c>
      <c r="AK22" s="119">
        <v>23</v>
      </c>
      <c r="AM22">
        <v>19</v>
      </c>
      <c r="AN22" t="s">
        <v>37</v>
      </c>
      <c r="AO22">
        <v>21.857600000000001</v>
      </c>
      <c r="AP22">
        <v>61444200</v>
      </c>
      <c r="AQ22">
        <v>7.7884808941081207</v>
      </c>
      <c r="AR22" t="b">
        <v>1</v>
      </c>
      <c r="AS22">
        <v>21.21107292175293</v>
      </c>
      <c r="AT22">
        <v>2116052.75</v>
      </c>
      <c r="AU22">
        <v>6.3255264898037789</v>
      </c>
      <c r="AV22" t="b">
        <v>1</v>
      </c>
      <c r="AW22">
        <v>21</v>
      </c>
      <c r="AY22">
        <v>45</v>
      </c>
      <c r="AZ22" t="s">
        <v>37</v>
      </c>
      <c r="BA22">
        <v>22.549099999999999</v>
      </c>
      <c r="BB22">
        <v>37488100</v>
      </c>
      <c r="BC22">
        <v>7.5738934297406777</v>
      </c>
      <c r="BD22" t="b">
        <v>1</v>
      </c>
      <c r="BE22">
        <v>24.138019561767578</v>
      </c>
      <c r="BF22">
        <v>277645.71875</v>
      </c>
      <c r="BG22">
        <v>5.4434909811127961</v>
      </c>
      <c r="BH22" t="b">
        <v>1</v>
      </c>
      <c r="BI22">
        <v>14</v>
      </c>
      <c r="BL22" t="s">
        <v>18</v>
      </c>
      <c r="BM22" t="s">
        <v>18</v>
      </c>
      <c r="BN22" t="s">
        <v>18</v>
      </c>
      <c r="BO22" t="s">
        <v>18</v>
      </c>
      <c r="BP22" t="s">
        <v>18</v>
      </c>
      <c r="BQ22" t="s">
        <v>18</v>
      </c>
      <c r="BR22" t="s">
        <v>18</v>
      </c>
      <c r="BS22" t="s">
        <v>18</v>
      </c>
      <c r="BT22" t="s">
        <v>18</v>
      </c>
      <c r="BU22" t="s">
        <v>18</v>
      </c>
      <c r="BV22" t="s">
        <v>18</v>
      </c>
      <c r="BY22" s="112"/>
      <c r="BZ22" s="164"/>
      <c r="CA22" s="164"/>
      <c r="CB22" s="164"/>
      <c r="CC22" s="164"/>
      <c r="CD22" s="164"/>
      <c r="CE22" s="164"/>
      <c r="CF22" s="164"/>
      <c r="CG22" s="164"/>
      <c r="CH22" s="164"/>
      <c r="CI22" s="164"/>
    </row>
    <row r="23" spans="3:87" x14ac:dyDescent="0.25">
      <c r="C23">
        <v>18</v>
      </c>
      <c r="D23" t="s">
        <v>37</v>
      </c>
      <c r="E23">
        <v>27.8842</v>
      </c>
      <c r="F23" s="111">
        <v>828272</v>
      </c>
      <c r="G23" s="109">
        <v>5.9181729801431446</v>
      </c>
      <c r="H23" t="b">
        <v>1</v>
      </c>
      <c r="I23">
        <v>32.428462982177734</v>
      </c>
      <c r="J23">
        <v>881.38458251953125</v>
      </c>
      <c r="K23">
        <v>2.945165449412777</v>
      </c>
      <c r="L23" s="109" t="b">
        <v>1</v>
      </c>
      <c r="M23" s="109">
        <v>7</v>
      </c>
      <c r="T23" s="114">
        <v>24</v>
      </c>
      <c r="U23" s="114" t="s">
        <v>38</v>
      </c>
      <c r="V23" s="114">
        <v>33.763511657714844</v>
      </c>
      <c r="W23" s="114">
        <v>349.01852416992188</v>
      </c>
      <c r="X23" s="112">
        <v>2.5428484777651463</v>
      </c>
      <c r="AA23" s="161">
        <v>18</v>
      </c>
      <c r="AB23" s="114" t="s">
        <v>37</v>
      </c>
      <c r="AC23" s="114">
        <v>27.8842</v>
      </c>
      <c r="AD23" s="167">
        <v>828272</v>
      </c>
      <c r="AE23" s="162">
        <v>5.9181729801431446</v>
      </c>
      <c r="AF23" s="114" t="b">
        <v>1</v>
      </c>
      <c r="AG23" s="114">
        <v>32.428462982177734</v>
      </c>
      <c r="AH23" s="114">
        <v>881.38458251953125</v>
      </c>
      <c r="AI23" s="114">
        <v>2.945165449412777</v>
      </c>
      <c r="AJ23" s="162" t="b">
        <v>1</v>
      </c>
      <c r="AK23" s="163">
        <v>7</v>
      </c>
      <c r="AM23">
        <v>20</v>
      </c>
      <c r="AN23" t="s">
        <v>37</v>
      </c>
      <c r="AO23">
        <v>20.838999999999999</v>
      </c>
      <c r="AP23">
        <v>127236000</v>
      </c>
      <c r="AQ23">
        <v>8.1046100074548661</v>
      </c>
      <c r="AR23" t="b">
        <v>1</v>
      </c>
      <c r="AS23">
        <v>23.988777160644531</v>
      </c>
      <c r="AT23">
        <v>307939.34375</v>
      </c>
      <c r="AU23">
        <v>5.4884651799130504</v>
      </c>
      <c r="AV23" t="b">
        <v>1</v>
      </c>
      <c r="AW23">
        <v>16</v>
      </c>
      <c r="AY23">
        <v>83</v>
      </c>
      <c r="AZ23" t="s">
        <v>37</v>
      </c>
      <c r="BA23">
        <v>28.383199999999999</v>
      </c>
      <c r="BB23">
        <v>579879</v>
      </c>
      <c r="BC23">
        <v>5.7633373812964841</v>
      </c>
      <c r="BD23" t="b">
        <v>1</v>
      </c>
      <c r="BE23">
        <v>28.01835823059082</v>
      </c>
      <c r="BF23">
        <v>18799.69140625</v>
      </c>
      <c r="BG23">
        <v>4.2741507204518321</v>
      </c>
      <c r="BH23" t="b">
        <v>1</v>
      </c>
      <c r="BI23">
        <v>14</v>
      </c>
      <c r="BL23" t="s">
        <v>18</v>
      </c>
      <c r="BM23" t="s">
        <v>18</v>
      </c>
      <c r="BN23" t="s">
        <v>18</v>
      </c>
      <c r="BO23" t="s">
        <v>18</v>
      </c>
      <c r="BP23" t="s">
        <v>18</v>
      </c>
      <c r="BQ23" t="s">
        <v>18</v>
      </c>
      <c r="BR23" t="s">
        <v>18</v>
      </c>
      <c r="BS23" t="s">
        <v>18</v>
      </c>
      <c r="BT23" t="s">
        <v>18</v>
      </c>
      <c r="BU23" t="s">
        <v>18</v>
      </c>
      <c r="BV23" t="s">
        <v>18</v>
      </c>
      <c r="BY23" s="112"/>
      <c r="BZ23" s="164"/>
      <c r="CA23" s="164"/>
      <c r="CB23" s="164"/>
      <c r="CC23" s="164"/>
      <c r="CD23" s="164"/>
      <c r="CE23" s="164"/>
      <c r="CF23" s="164"/>
      <c r="CG23" s="164"/>
      <c r="CH23" s="164"/>
      <c r="CI23" s="164"/>
    </row>
    <row r="24" spans="3:87" x14ac:dyDescent="0.25">
      <c r="C24">
        <v>19</v>
      </c>
      <c r="D24" t="s">
        <v>37</v>
      </c>
      <c r="E24">
        <v>21.857600000000001</v>
      </c>
      <c r="F24" s="111">
        <v>61444200</v>
      </c>
      <c r="G24" s="109">
        <v>7.7884808941081207</v>
      </c>
      <c r="H24" t="b">
        <v>1</v>
      </c>
      <c r="I24">
        <v>21.21107292175293</v>
      </c>
      <c r="J24">
        <v>2116052.75</v>
      </c>
      <c r="K24">
        <v>6.3255264898037789</v>
      </c>
      <c r="L24" s="109" t="b">
        <v>1</v>
      </c>
      <c r="M24" s="109">
        <v>21</v>
      </c>
      <c r="T24" s="112">
        <v>25</v>
      </c>
      <c r="U24" s="112" t="s">
        <v>38</v>
      </c>
      <c r="V24" s="112">
        <v>22.661399841308594</v>
      </c>
      <c r="W24" s="112">
        <v>773517.9375</v>
      </c>
      <c r="X24" s="112">
        <v>5.8884703892272974</v>
      </c>
      <c r="AA24" s="164">
        <v>19</v>
      </c>
      <c r="AB24" s="112" t="s">
        <v>37</v>
      </c>
      <c r="AC24" s="112">
        <v>21.857600000000001</v>
      </c>
      <c r="AD24" s="165">
        <v>61444200</v>
      </c>
      <c r="AE24" s="166">
        <v>7.7884808941081207</v>
      </c>
      <c r="AF24" s="112" t="b">
        <v>1</v>
      </c>
      <c r="AG24" s="112">
        <v>21.21107292175293</v>
      </c>
      <c r="AH24" s="112">
        <v>2116052.75</v>
      </c>
      <c r="AI24" s="112">
        <v>6.3255264898037789</v>
      </c>
      <c r="AJ24" s="166" t="b">
        <v>1</v>
      </c>
      <c r="AK24" s="119">
        <v>21</v>
      </c>
      <c r="AM24">
        <v>21</v>
      </c>
      <c r="AN24" t="s">
        <v>37</v>
      </c>
      <c r="AO24">
        <v>21.283000000000001</v>
      </c>
      <c r="AP24">
        <v>92641500</v>
      </c>
      <c r="AQ24">
        <v>7.96680557829667</v>
      </c>
      <c r="AR24" t="b">
        <v>1</v>
      </c>
      <c r="AS24">
        <v>21.17078971862793</v>
      </c>
      <c r="AT24">
        <v>2176034.75</v>
      </c>
      <c r="AU24">
        <v>6.337665826509939</v>
      </c>
      <c r="AV24" t="b">
        <v>1</v>
      </c>
      <c r="AW24">
        <v>18</v>
      </c>
      <c r="AY24">
        <v>95</v>
      </c>
      <c r="AZ24" t="s">
        <v>37</v>
      </c>
      <c r="BA24">
        <v>31.0639</v>
      </c>
      <c r="BB24">
        <v>85388.800000000003</v>
      </c>
      <c r="BC24">
        <v>4.9314009103004519</v>
      </c>
      <c r="BD24" t="b">
        <v>1</v>
      </c>
      <c r="BE24">
        <v>33.706493377685547</v>
      </c>
      <c r="BF24">
        <v>363.10391235351563</v>
      </c>
      <c r="BG24">
        <v>2.5600309283521359</v>
      </c>
      <c r="BH24" t="b">
        <v>1</v>
      </c>
      <c r="BI24">
        <v>14</v>
      </c>
      <c r="BL24" s="304"/>
      <c r="BM24" s="114"/>
      <c r="BO24" t="s">
        <v>18</v>
      </c>
      <c r="BP24" t="s">
        <v>18</v>
      </c>
      <c r="BQ24" t="s">
        <v>18</v>
      </c>
      <c r="BR24" t="s">
        <v>18</v>
      </c>
      <c r="BS24" t="s">
        <v>18</v>
      </c>
      <c r="BT24" t="s">
        <v>18</v>
      </c>
      <c r="BU24" t="s">
        <v>18</v>
      </c>
      <c r="BV24" t="s">
        <v>18</v>
      </c>
      <c r="BY24" s="112" t="s">
        <v>88</v>
      </c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</row>
    <row r="25" spans="3:87" x14ac:dyDescent="0.25">
      <c r="C25">
        <v>20</v>
      </c>
      <c r="D25" t="s">
        <v>37</v>
      </c>
      <c r="E25">
        <v>20.838999999999999</v>
      </c>
      <c r="F25" s="111">
        <v>127236000</v>
      </c>
      <c r="G25" s="109">
        <v>8.1046100074548661</v>
      </c>
      <c r="H25" t="b">
        <v>1</v>
      </c>
      <c r="I25">
        <v>23.988777160644531</v>
      </c>
      <c r="J25">
        <v>307939.34375</v>
      </c>
      <c r="K25">
        <v>5.4884651799130504</v>
      </c>
      <c r="L25" s="109" t="b">
        <v>1</v>
      </c>
      <c r="M25" s="109">
        <v>16</v>
      </c>
      <c r="T25" s="114">
        <v>27</v>
      </c>
      <c r="U25" s="114" t="s">
        <v>38</v>
      </c>
      <c r="V25" s="114">
        <v>22.507892608642578</v>
      </c>
      <c r="W25" s="114">
        <v>860458.25</v>
      </c>
      <c r="X25" s="112">
        <v>5.9347298029209927</v>
      </c>
      <c r="AA25" s="161">
        <v>20</v>
      </c>
      <c r="AB25" s="114" t="s">
        <v>37</v>
      </c>
      <c r="AC25" s="114">
        <v>20.838999999999999</v>
      </c>
      <c r="AD25" s="167">
        <v>127236000</v>
      </c>
      <c r="AE25" s="162">
        <v>8.1046100074548661</v>
      </c>
      <c r="AF25" s="114" t="b">
        <v>1</v>
      </c>
      <c r="AG25" s="114">
        <v>23.988777160644531</v>
      </c>
      <c r="AH25" s="114">
        <v>307939.34375</v>
      </c>
      <c r="AI25" s="114">
        <v>5.4884651799130504</v>
      </c>
      <c r="AJ25" s="162" t="b">
        <v>1</v>
      </c>
      <c r="AK25" s="163">
        <v>16</v>
      </c>
      <c r="AM25">
        <v>22</v>
      </c>
      <c r="AN25" t="s">
        <v>37</v>
      </c>
      <c r="AO25">
        <v>21.700700000000001</v>
      </c>
      <c r="AP25">
        <v>68735400</v>
      </c>
      <c r="AQ25">
        <v>7.8371804643525094</v>
      </c>
      <c r="AR25" t="b">
        <v>1</v>
      </c>
      <c r="AS25">
        <v>22.326440811157227</v>
      </c>
      <c r="AT25">
        <v>975911.25</v>
      </c>
      <c r="AU25">
        <v>5.9894103244414794</v>
      </c>
      <c r="AV25" t="b">
        <v>1</v>
      </c>
      <c r="AW25">
        <v>23</v>
      </c>
      <c r="AY25">
        <v>97</v>
      </c>
      <c r="AZ25" t="s">
        <v>37</v>
      </c>
      <c r="BA25">
        <v>22.627099999999999</v>
      </c>
      <c r="BB25">
        <v>35456300</v>
      </c>
      <c r="BC25">
        <v>7.5496934133454783</v>
      </c>
      <c r="BD25" t="b">
        <v>1</v>
      </c>
      <c r="BE25">
        <v>23.59135627746582</v>
      </c>
      <c r="BF25">
        <v>405721.46875</v>
      </c>
      <c r="BG25">
        <v>5.6082279890032432</v>
      </c>
      <c r="BH25" t="b">
        <v>1</v>
      </c>
      <c r="BI25">
        <v>14</v>
      </c>
      <c r="BL25" s="303"/>
      <c r="BM25" s="112"/>
      <c r="BO25" t="s">
        <v>18</v>
      </c>
      <c r="BP25" t="s">
        <v>18</v>
      </c>
      <c r="BQ25" t="s">
        <v>18</v>
      </c>
      <c r="BR25" t="s">
        <v>18</v>
      </c>
      <c r="BS25" t="s">
        <v>18</v>
      </c>
      <c r="BT25" t="s">
        <v>18</v>
      </c>
      <c r="BU25" t="s">
        <v>18</v>
      </c>
      <c r="BV25" t="s">
        <v>18</v>
      </c>
      <c r="BY25" s="112"/>
      <c r="BZ25" s="164"/>
      <c r="CA25" s="164"/>
      <c r="CB25" s="164"/>
      <c r="CC25" s="164"/>
      <c r="CD25" s="164"/>
      <c r="CE25" s="164"/>
      <c r="CF25" s="164"/>
      <c r="CG25" s="164"/>
      <c r="CH25" s="164"/>
      <c r="CI25" s="164"/>
    </row>
    <row r="26" spans="3:87" x14ac:dyDescent="0.25">
      <c r="C26">
        <v>21</v>
      </c>
      <c r="D26" t="s">
        <v>37</v>
      </c>
      <c r="E26">
        <v>21.283000000000001</v>
      </c>
      <c r="F26" s="111">
        <v>92641500</v>
      </c>
      <c r="G26" s="109">
        <v>7.96680557829667</v>
      </c>
      <c r="H26" t="b">
        <v>1</v>
      </c>
      <c r="I26">
        <v>21.17078971862793</v>
      </c>
      <c r="J26">
        <v>2176034.75</v>
      </c>
      <c r="K26">
        <v>6.337665826509939</v>
      </c>
      <c r="L26" s="109" t="b">
        <v>1</v>
      </c>
      <c r="M26" s="109">
        <v>18</v>
      </c>
      <c r="T26" s="112">
        <v>28</v>
      </c>
      <c r="U26" s="112" t="s">
        <v>38</v>
      </c>
      <c r="V26" s="112" t="s">
        <v>39</v>
      </c>
      <c r="W26" s="112" t="s">
        <v>18</v>
      </c>
      <c r="X26" s="112" t="s">
        <v>18</v>
      </c>
      <c r="AA26" s="164">
        <v>21</v>
      </c>
      <c r="AB26" s="112" t="s">
        <v>37</v>
      </c>
      <c r="AC26" s="112">
        <v>21.283000000000001</v>
      </c>
      <c r="AD26" s="165">
        <v>92641500</v>
      </c>
      <c r="AE26" s="166">
        <v>7.96680557829667</v>
      </c>
      <c r="AF26" s="112" t="b">
        <v>1</v>
      </c>
      <c r="AG26" s="112">
        <v>21.17078971862793</v>
      </c>
      <c r="AH26" s="112">
        <v>2176034.75</v>
      </c>
      <c r="AI26" s="112">
        <v>6.337665826509939</v>
      </c>
      <c r="AJ26" s="166" t="b">
        <v>1</v>
      </c>
      <c r="AK26" s="119">
        <v>18</v>
      </c>
      <c r="AM26">
        <v>24</v>
      </c>
      <c r="AN26" t="s">
        <v>37</v>
      </c>
      <c r="AO26">
        <v>23.915600000000001</v>
      </c>
      <c r="AP26">
        <v>14118700</v>
      </c>
      <c r="AQ26">
        <v>7.1497947102555814</v>
      </c>
      <c r="AR26" t="b">
        <v>1</v>
      </c>
      <c r="AS26">
        <v>33.763511657714844</v>
      </c>
      <c r="AT26">
        <v>349.01852416992188</v>
      </c>
      <c r="AU26">
        <v>2.5428484777651463</v>
      </c>
      <c r="AV26" t="b">
        <v>1</v>
      </c>
      <c r="AW26">
        <v>14</v>
      </c>
      <c r="AY26">
        <v>99</v>
      </c>
      <c r="AZ26" t="s">
        <v>37</v>
      </c>
      <c r="BA26">
        <v>22.720500000000001</v>
      </c>
      <c r="BB26">
        <v>33167500</v>
      </c>
      <c r="BC26">
        <v>7.5207127378106371</v>
      </c>
      <c r="BD26" t="b">
        <v>1</v>
      </c>
      <c r="BE26">
        <v>19.897241592407227</v>
      </c>
      <c r="BF26">
        <v>5265621</v>
      </c>
      <c r="BG26">
        <v>6.7214495969781645</v>
      </c>
      <c r="BH26" t="b">
        <v>1</v>
      </c>
      <c r="BI26">
        <v>14</v>
      </c>
      <c r="BL26" s="304"/>
      <c r="BM26" s="114"/>
      <c r="BO26" t="s">
        <v>18</v>
      </c>
      <c r="BP26" t="s">
        <v>18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Y26" s="112" t="s">
        <v>49</v>
      </c>
      <c r="BZ26" s="164" t="s">
        <v>28</v>
      </c>
      <c r="CA26" s="164"/>
      <c r="CB26" s="164"/>
      <c r="CC26" s="164"/>
      <c r="CD26" s="164"/>
      <c r="CE26" s="164"/>
      <c r="CF26" s="164"/>
      <c r="CG26" s="164"/>
      <c r="CH26" s="164"/>
      <c r="CI26" s="164"/>
    </row>
    <row r="27" spans="3:87" x14ac:dyDescent="0.25">
      <c r="C27">
        <v>22</v>
      </c>
      <c r="D27" t="s">
        <v>37</v>
      </c>
      <c r="E27">
        <v>21.700700000000001</v>
      </c>
      <c r="F27" s="111">
        <v>68735400</v>
      </c>
      <c r="G27" s="109">
        <v>7.8371804643525094</v>
      </c>
      <c r="H27" t="b">
        <v>1</v>
      </c>
      <c r="I27">
        <v>22.326440811157227</v>
      </c>
      <c r="J27">
        <v>975911.25</v>
      </c>
      <c r="K27">
        <v>5.9894103244414794</v>
      </c>
      <c r="L27" s="109" t="b">
        <v>1</v>
      </c>
      <c r="M27" s="109">
        <v>23</v>
      </c>
      <c r="T27" s="114">
        <v>30</v>
      </c>
      <c r="U27" s="114" t="s">
        <v>38</v>
      </c>
      <c r="V27" s="114">
        <v>24.545707702636719</v>
      </c>
      <c r="W27" s="114">
        <v>209234.90625</v>
      </c>
      <c r="X27" s="112">
        <v>5.3206341387380958</v>
      </c>
      <c r="AA27" s="161">
        <v>22</v>
      </c>
      <c r="AB27" s="114" t="s">
        <v>37</v>
      </c>
      <c r="AC27" s="114">
        <v>21.700700000000001</v>
      </c>
      <c r="AD27" s="167">
        <v>68735400</v>
      </c>
      <c r="AE27" s="162">
        <v>7.8371804643525094</v>
      </c>
      <c r="AF27" s="114" t="b">
        <v>1</v>
      </c>
      <c r="AG27" s="114">
        <v>22.326440811157227</v>
      </c>
      <c r="AH27" s="114">
        <v>975911.25</v>
      </c>
      <c r="AI27" s="114">
        <v>5.9894103244414794</v>
      </c>
      <c r="AJ27" s="162" t="b">
        <v>1</v>
      </c>
      <c r="AK27" s="163">
        <v>23</v>
      </c>
      <c r="AM27">
        <v>25</v>
      </c>
      <c r="AN27" t="s">
        <v>37</v>
      </c>
      <c r="AO27">
        <v>20.468599999999999</v>
      </c>
      <c r="AP27">
        <v>165794000</v>
      </c>
      <c r="AQ27">
        <v>8.219568809603631</v>
      </c>
      <c r="AR27" t="b">
        <v>1</v>
      </c>
      <c r="AS27">
        <v>22.661399841308594</v>
      </c>
      <c r="AT27">
        <v>773517.9375</v>
      </c>
      <c r="AU27">
        <v>5.8884703892272974</v>
      </c>
      <c r="AV27" t="b">
        <v>1</v>
      </c>
      <c r="AW27">
        <v>10</v>
      </c>
      <c r="AY27">
        <v>101</v>
      </c>
      <c r="AZ27" t="s">
        <v>37</v>
      </c>
      <c r="BA27">
        <v>25.417100000000001</v>
      </c>
      <c r="BB27">
        <v>4828770</v>
      </c>
      <c r="BC27">
        <v>6.6838365199355119</v>
      </c>
      <c r="BD27" t="b">
        <v>1</v>
      </c>
      <c r="BE27">
        <v>24.491718292236328</v>
      </c>
      <c r="BF27">
        <v>217222.015625</v>
      </c>
      <c r="BG27">
        <v>5.3369038392405477</v>
      </c>
      <c r="BH27" t="b">
        <v>1</v>
      </c>
      <c r="BI27">
        <v>14</v>
      </c>
      <c r="BL27" s="304"/>
      <c r="BM27" s="114"/>
      <c r="BO27" t="s">
        <v>18</v>
      </c>
      <c r="BP27" t="s">
        <v>18</v>
      </c>
      <c r="BQ27" t="s">
        <v>18</v>
      </c>
      <c r="BR27" t="s">
        <v>18</v>
      </c>
      <c r="BS27" t="s">
        <v>18</v>
      </c>
      <c r="BV27" t="s">
        <v>18</v>
      </c>
      <c r="BY27" s="305">
        <v>7</v>
      </c>
      <c r="BZ27" s="164">
        <v>5.718170236417075</v>
      </c>
      <c r="CA27" s="164"/>
      <c r="CB27" s="164"/>
      <c r="CC27" s="164"/>
      <c r="CD27" s="164"/>
      <c r="CE27" s="164"/>
      <c r="CF27" s="164"/>
      <c r="CG27" s="164"/>
      <c r="CH27" s="164"/>
      <c r="CI27" s="164"/>
    </row>
    <row r="28" spans="3:87" x14ac:dyDescent="0.25">
      <c r="C28">
        <v>23</v>
      </c>
      <c r="D28" t="s">
        <v>37</v>
      </c>
      <c r="E28" t="s">
        <v>39</v>
      </c>
      <c r="G28" s="109" t="s">
        <v>18</v>
      </c>
      <c r="H28" t="b">
        <v>0</v>
      </c>
      <c r="I28" t="s">
        <v>47</v>
      </c>
      <c r="J28" t="s">
        <v>47</v>
      </c>
      <c r="K28" t="s">
        <v>47</v>
      </c>
      <c r="L28" s="109" t="s">
        <v>48</v>
      </c>
      <c r="M28" s="109">
        <v>21</v>
      </c>
      <c r="T28" s="112"/>
      <c r="U28" s="112" t="s">
        <v>40</v>
      </c>
      <c r="V28" s="112">
        <v>18.92010498046875</v>
      </c>
      <c r="W28" s="112">
        <v>8128305</v>
      </c>
      <c r="X28" s="112">
        <v>6.9099999913635388</v>
      </c>
      <c r="AA28" s="164">
        <v>23</v>
      </c>
      <c r="AB28" s="112" t="s">
        <v>37</v>
      </c>
      <c r="AC28" s="112" t="s">
        <v>39</v>
      </c>
      <c r="AD28" s="112"/>
      <c r="AE28" s="166" t="s">
        <v>18</v>
      </c>
      <c r="AF28" s="112" t="b">
        <v>0</v>
      </c>
      <c r="AG28" s="112" t="s">
        <v>47</v>
      </c>
      <c r="AH28" s="112" t="s">
        <v>47</v>
      </c>
      <c r="AI28" s="112" t="s">
        <v>47</v>
      </c>
      <c r="AJ28" s="166" t="s">
        <v>48</v>
      </c>
      <c r="AK28" s="119">
        <v>21</v>
      </c>
      <c r="AM28">
        <v>27</v>
      </c>
      <c r="AN28" t="s">
        <v>37</v>
      </c>
      <c r="AO28">
        <v>23.677199999999999</v>
      </c>
      <c r="AP28">
        <v>16741400</v>
      </c>
      <c r="AQ28">
        <v>7.223791773062942</v>
      </c>
      <c r="AR28" t="b">
        <v>1</v>
      </c>
      <c r="AS28">
        <v>22.507892608642578</v>
      </c>
      <c r="AT28">
        <v>860458.25</v>
      </c>
      <c r="AU28">
        <v>5.9347298029209927</v>
      </c>
      <c r="AV28" t="b">
        <v>1</v>
      </c>
      <c r="AW28">
        <v>29</v>
      </c>
      <c r="AY28">
        <v>116</v>
      </c>
      <c r="AZ28" t="s">
        <v>37</v>
      </c>
      <c r="BA28">
        <v>24.777100000000001</v>
      </c>
      <c r="BB28">
        <v>12944300</v>
      </c>
      <c r="BC28">
        <v>7.112078569691155</v>
      </c>
      <c r="BD28" t="b">
        <v>1</v>
      </c>
      <c r="BE28">
        <v>24.516096115112305</v>
      </c>
      <c r="BF28">
        <v>213578.53125</v>
      </c>
      <c r="BG28">
        <v>5.3295575956025338</v>
      </c>
      <c r="BH28" t="b">
        <v>1</v>
      </c>
      <c r="BI28">
        <v>14</v>
      </c>
      <c r="BL28" s="303"/>
      <c r="BM28" s="112"/>
      <c r="BO28" t="s">
        <v>18</v>
      </c>
      <c r="BP28" t="s">
        <v>18</v>
      </c>
      <c r="BQ28" t="s">
        <v>18</v>
      </c>
      <c r="BR28" t="s">
        <v>18</v>
      </c>
      <c r="BS28" t="s">
        <v>18</v>
      </c>
      <c r="BV28" t="s">
        <v>18</v>
      </c>
      <c r="BY28" s="305">
        <v>7</v>
      </c>
      <c r="BZ28" s="164">
        <v>6.7325698546571457</v>
      </c>
      <c r="CA28" s="164"/>
      <c r="CB28" s="164"/>
      <c r="CC28" s="164"/>
      <c r="CD28" s="164"/>
      <c r="CE28" s="164"/>
      <c r="CF28" s="164"/>
      <c r="CG28" s="164"/>
      <c r="CH28" s="164"/>
      <c r="CI28" s="164"/>
    </row>
    <row r="29" spans="3:87" x14ac:dyDescent="0.25">
      <c r="C29">
        <v>24</v>
      </c>
      <c r="D29" t="s">
        <v>37</v>
      </c>
      <c r="E29">
        <v>23.915600000000001</v>
      </c>
      <c r="F29" s="111">
        <v>14118700</v>
      </c>
      <c r="G29" s="109">
        <v>7.1497947102555814</v>
      </c>
      <c r="H29" t="b">
        <v>1</v>
      </c>
      <c r="I29">
        <v>33.763511657714844</v>
      </c>
      <c r="J29">
        <v>349.01852416992188</v>
      </c>
      <c r="K29">
        <v>2.5428484777651463</v>
      </c>
      <c r="L29" s="109" t="b">
        <v>1</v>
      </c>
      <c r="M29" s="109">
        <v>14</v>
      </c>
      <c r="T29" s="114"/>
      <c r="U29" s="114" t="s">
        <v>40</v>
      </c>
      <c r="V29" s="114">
        <v>19.479742050170898</v>
      </c>
      <c r="W29" s="114">
        <v>8128305</v>
      </c>
      <c r="X29" s="112">
        <v>6.9099999913635388</v>
      </c>
      <c r="AA29" s="161">
        <v>24</v>
      </c>
      <c r="AB29" s="114" t="s">
        <v>37</v>
      </c>
      <c r="AC29" s="114">
        <v>23.915600000000001</v>
      </c>
      <c r="AD29" s="167">
        <v>14118700</v>
      </c>
      <c r="AE29" s="162">
        <v>7.1497947102555814</v>
      </c>
      <c r="AF29" s="114" t="b">
        <v>1</v>
      </c>
      <c r="AG29" s="114">
        <v>33.763511657714844</v>
      </c>
      <c r="AH29" s="114">
        <v>349.01852416992188</v>
      </c>
      <c r="AI29" s="114">
        <v>2.5428484777651463</v>
      </c>
      <c r="AJ29" s="162" t="b">
        <v>1</v>
      </c>
      <c r="AK29" s="163">
        <v>14</v>
      </c>
      <c r="AM29">
        <v>28</v>
      </c>
      <c r="AN29" t="s">
        <v>37</v>
      </c>
      <c r="AO29">
        <v>38.701000000000001</v>
      </c>
      <c r="AP29">
        <v>364.14699999999999</v>
      </c>
      <c r="AQ29">
        <v>2.561276736399825</v>
      </c>
      <c r="AR29" t="b">
        <v>1</v>
      </c>
      <c r="AS29" t="s">
        <v>39</v>
      </c>
      <c r="AT29" t="s">
        <v>18</v>
      </c>
      <c r="AU29" t="s">
        <v>18</v>
      </c>
      <c r="AV29" t="b">
        <v>0</v>
      </c>
      <c r="AW29">
        <v>14</v>
      </c>
      <c r="AY29">
        <v>46</v>
      </c>
      <c r="AZ29" t="s">
        <v>37</v>
      </c>
      <c r="BA29">
        <v>25.296099999999999</v>
      </c>
      <c r="BB29">
        <v>5264780</v>
      </c>
      <c r="BC29">
        <v>6.7213802279845138</v>
      </c>
      <c r="BD29" t="b">
        <v>1</v>
      </c>
      <c r="BE29">
        <v>24.901651382446289</v>
      </c>
      <c r="BF29">
        <v>163444.5625</v>
      </c>
      <c r="BG29">
        <v>5.2133704769780218</v>
      </c>
      <c r="BH29" t="b">
        <v>1</v>
      </c>
      <c r="BI29">
        <v>15</v>
      </c>
      <c r="BL29" s="303"/>
      <c r="BM29" s="112"/>
      <c r="BO29" t="s">
        <v>18</v>
      </c>
      <c r="BP29" t="s">
        <v>18</v>
      </c>
      <c r="BQ29" t="s">
        <v>18</v>
      </c>
      <c r="BR29" t="s">
        <v>18</v>
      </c>
      <c r="BS29" t="s">
        <v>18</v>
      </c>
      <c r="BV29" t="s">
        <v>18</v>
      </c>
      <c r="BY29" s="305">
        <v>15</v>
      </c>
      <c r="BZ29" s="164">
        <v>7.2142794282405331</v>
      </c>
      <c r="CA29" s="164"/>
      <c r="CB29" s="164"/>
      <c r="CC29" s="164"/>
      <c r="CD29" s="164"/>
      <c r="CE29" s="164"/>
      <c r="CF29" s="164"/>
      <c r="CG29" s="164"/>
      <c r="CH29" s="164"/>
      <c r="CI29" s="164"/>
    </row>
    <row r="30" spans="3:87" x14ac:dyDescent="0.25">
      <c r="C30">
        <v>25</v>
      </c>
      <c r="D30" t="s">
        <v>37</v>
      </c>
      <c r="E30">
        <v>20.468599999999999</v>
      </c>
      <c r="F30" s="111">
        <v>165794000</v>
      </c>
      <c r="G30" s="109">
        <v>8.219568809603631</v>
      </c>
      <c r="H30" t="b">
        <v>1</v>
      </c>
      <c r="I30">
        <v>22.661399841308594</v>
      </c>
      <c r="J30">
        <v>773517.9375</v>
      </c>
      <c r="K30">
        <v>5.8884703892272974</v>
      </c>
      <c r="L30" s="109" t="b">
        <v>1</v>
      </c>
      <c r="M30" s="109">
        <v>10</v>
      </c>
      <c r="T30" s="112">
        <v>31</v>
      </c>
      <c r="U30" s="112" t="s">
        <v>38</v>
      </c>
      <c r="V30" s="112">
        <v>21.233577728271484</v>
      </c>
      <c r="W30" s="112">
        <v>2083265.625</v>
      </c>
      <c r="X30" s="112">
        <v>6.3187446478243841</v>
      </c>
      <c r="AA30" s="164">
        <v>25</v>
      </c>
      <c r="AB30" s="112" t="s">
        <v>37</v>
      </c>
      <c r="AC30" s="112">
        <v>20.468599999999999</v>
      </c>
      <c r="AD30" s="165">
        <v>165794000</v>
      </c>
      <c r="AE30" s="166">
        <v>8.219568809603631</v>
      </c>
      <c r="AF30" s="112" t="b">
        <v>1</v>
      </c>
      <c r="AG30" s="112">
        <v>22.661399841308594</v>
      </c>
      <c r="AH30" s="112">
        <v>773517.9375</v>
      </c>
      <c r="AI30" s="112">
        <v>5.8884703892272974</v>
      </c>
      <c r="AJ30" s="166" t="b">
        <v>1</v>
      </c>
      <c r="AK30" s="119">
        <v>10</v>
      </c>
      <c r="AM30">
        <v>30</v>
      </c>
      <c r="AN30" t="s">
        <v>37</v>
      </c>
      <c r="AO30">
        <v>24.594100000000001</v>
      </c>
      <c r="AP30">
        <v>8694520</v>
      </c>
      <c r="AQ30">
        <v>6.9392456108234359</v>
      </c>
      <c r="AR30" t="b">
        <v>1</v>
      </c>
      <c r="AS30">
        <v>24.545707702636719</v>
      </c>
      <c r="AT30">
        <v>209234.90625</v>
      </c>
      <c r="AU30">
        <v>5.3206341387380958</v>
      </c>
      <c r="AV30" t="b">
        <v>1</v>
      </c>
      <c r="AW30">
        <v>14</v>
      </c>
      <c r="AY30">
        <v>102</v>
      </c>
      <c r="AZ30" t="s">
        <v>37</v>
      </c>
      <c r="BA30">
        <v>22.1234</v>
      </c>
      <c r="BB30">
        <v>50815100</v>
      </c>
      <c r="BC30">
        <v>7.7059927845718965</v>
      </c>
      <c r="BD30" t="b">
        <v>1</v>
      </c>
      <c r="BE30">
        <v>21.85960578918457</v>
      </c>
      <c r="BF30">
        <v>1349245.75</v>
      </c>
      <c r="BG30">
        <v>6.130091058751737</v>
      </c>
      <c r="BH30" t="b">
        <v>1</v>
      </c>
      <c r="BI30">
        <v>15</v>
      </c>
      <c r="BL30" s="303"/>
      <c r="BM30" s="112"/>
      <c r="BO30" t="s">
        <v>18</v>
      </c>
      <c r="BP30" t="s">
        <v>18</v>
      </c>
      <c r="BQ30" t="s">
        <v>18</v>
      </c>
      <c r="BR30" t="s">
        <v>18</v>
      </c>
      <c r="BS30" t="s">
        <v>18</v>
      </c>
      <c r="BV30" t="s">
        <v>18</v>
      </c>
      <c r="BY30" s="305">
        <v>14</v>
      </c>
      <c r="BZ30" s="164">
        <v>2.561276736399825</v>
      </c>
      <c r="CA30" s="164"/>
      <c r="CB30" s="164"/>
      <c r="CC30" s="164"/>
      <c r="CD30" s="164"/>
      <c r="CE30" s="164"/>
      <c r="CF30" s="164"/>
      <c r="CG30" s="164"/>
      <c r="CH30" s="164"/>
      <c r="CI30" s="164"/>
    </row>
    <row r="31" spans="3:87" x14ac:dyDescent="0.25">
      <c r="C31">
        <v>26</v>
      </c>
      <c r="D31" t="s">
        <v>37</v>
      </c>
      <c r="E31" t="s">
        <v>39</v>
      </c>
      <c r="G31" s="109" t="s">
        <v>18</v>
      </c>
      <c r="H31" t="b">
        <v>0</v>
      </c>
      <c r="I31" t="s">
        <v>47</v>
      </c>
      <c r="J31" t="s">
        <v>47</v>
      </c>
      <c r="K31" t="s">
        <v>47</v>
      </c>
      <c r="L31" s="109" t="s">
        <v>48</v>
      </c>
      <c r="M31" s="109">
        <v>2</v>
      </c>
      <c r="T31" s="114">
        <v>32</v>
      </c>
      <c r="U31" s="114" t="s">
        <v>38</v>
      </c>
      <c r="V31" s="114">
        <v>24.456207275390625</v>
      </c>
      <c r="W31" s="114">
        <v>222640.96875</v>
      </c>
      <c r="X31" s="112">
        <v>5.3476050830217465</v>
      </c>
      <c r="AA31" s="161">
        <v>26</v>
      </c>
      <c r="AB31" s="114" t="s">
        <v>37</v>
      </c>
      <c r="AC31" s="114" t="s">
        <v>39</v>
      </c>
      <c r="AD31" s="114"/>
      <c r="AE31" s="162" t="s">
        <v>18</v>
      </c>
      <c r="AF31" s="114" t="b">
        <v>0</v>
      </c>
      <c r="AG31" s="114" t="s">
        <v>47</v>
      </c>
      <c r="AH31" s="114" t="s">
        <v>47</v>
      </c>
      <c r="AI31" s="114" t="s">
        <v>47</v>
      </c>
      <c r="AJ31" s="162" t="s">
        <v>48</v>
      </c>
      <c r="AK31" s="163">
        <v>2</v>
      </c>
      <c r="AM31">
        <v>31</v>
      </c>
      <c r="AN31" t="s">
        <v>37</v>
      </c>
      <c r="AO31">
        <v>22.622599999999998</v>
      </c>
      <c r="AP31">
        <v>35570800</v>
      </c>
      <c r="AQ31">
        <v>7.5510936327336724</v>
      </c>
      <c r="AR31" t="b">
        <v>1</v>
      </c>
      <c r="AS31">
        <v>21.233577728271484</v>
      </c>
      <c r="AT31">
        <v>2083265.625</v>
      </c>
      <c r="AU31">
        <v>6.3187446478243841</v>
      </c>
      <c r="AV31" t="b">
        <v>1</v>
      </c>
      <c r="AW31">
        <v>21</v>
      </c>
      <c r="AY31">
        <v>8</v>
      </c>
      <c r="AZ31" t="s">
        <v>37</v>
      </c>
      <c r="BA31">
        <v>22.799499999999998</v>
      </c>
      <c r="BB31">
        <v>31346100</v>
      </c>
      <c r="BC31">
        <v>7.4961835147411868</v>
      </c>
      <c r="BD31" t="b">
        <v>1</v>
      </c>
      <c r="BE31">
        <v>23.126285552978516</v>
      </c>
      <c r="BF31">
        <v>560243.8125</v>
      </c>
      <c r="BG31">
        <v>5.7483770687556115</v>
      </c>
      <c r="BH31" t="b">
        <v>1</v>
      </c>
      <c r="BI31">
        <v>16</v>
      </c>
      <c r="BL31" s="303"/>
      <c r="BM31" s="112"/>
      <c r="BO31" t="s">
        <v>18</v>
      </c>
      <c r="BP31" t="s">
        <v>18</v>
      </c>
      <c r="BQ31" t="s">
        <v>18</v>
      </c>
      <c r="BR31" t="s">
        <v>18</v>
      </c>
      <c r="BS31" t="s">
        <v>18</v>
      </c>
      <c r="BV31" t="s">
        <v>18</v>
      </c>
      <c r="BY31" s="305">
        <v>21</v>
      </c>
      <c r="BZ31" s="164">
        <v>5.9486393463445619</v>
      </c>
      <c r="CA31" s="164"/>
      <c r="CB31" s="164"/>
      <c r="CC31" s="164"/>
      <c r="CD31" s="164"/>
      <c r="CE31" s="164"/>
      <c r="CF31" s="164"/>
      <c r="CG31" s="164"/>
      <c r="CH31" s="164"/>
      <c r="CI31" s="164"/>
    </row>
    <row r="32" spans="3:87" x14ac:dyDescent="0.25">
      <c r="C32">
        <v>27</v>
      </c>
      <c r="D32" t="s">
        <v>37</v>
      </c>
      <c r="E32">
        <v>23.677199999999999</v>
      </c>
      <c r="F32" s="111">
        <v>16741400</v>
      </c>
      <c r="G32" s="109">
        <v>7.223791773062942</v>
      </c>
      <c r="H32" t="b">
        <v>1</v>
      </c>
      <c r="I32">
        <v>22.507892608642578</v>
      </c>
      <c r="J32">
        <v>860458.25</v>
      </c>
      <c r="K32">
        <v>5.9347298029209927</v>
      </c>
      <c r="L32" s="109" t="b">
        <v>1</v>
      </c>
      <c r="M32" s="109">
        <v>29</v>
      </c>
      <c r="T32" s="112">
        <v>33</v>
      </c>
      <c r="U32" s="112" t="s">
        <v>38</v>
      </c>
      <c r="V32" s="112">
        <v>26.492698669433594</v>
      </c>
      <c r="W32" s="112">
        <v>54188.6484375</v>
      </c>
      <c r="X32" s="112">
        <v>4.7339083190608173</v>
      </c>
      <c r="AA32" s="164">
        <v>27</v>
      </c>
      <c r="AB32" s="112" t="s">
        <v>37</v>
      </c>
      <c r="AC32" s="112">
        <v>23.677199999999999</v>
      </c>
      <c r="AD32" s="165">
        <v>16741400</v>
      </c>
      <c r="AE32" s="166">
        <v>7.223791773062942</v>
      </c>
      <c r="AF32" s="112" t="b">
        <v>1</v>
      </c>
      <c r="AG32" s="112">
        <v>22.507892608642578</v>
      </c>
      <c r="AH32" s="112">
        <v>860458.25</v>
      </c>
      <c r="AI32" s="112">
        <v>5.9347298029209927</v>
      </c>
      <c r="AJ32" s="166" t="b">
        <v>1</v>
      </c>
      <c r="AK32" s="119">
        <v>29</v>
      </c>
      <c r="AM32">
        <v>32</v>
      </c>
      <c r="AN32" t="s">
        <v>37</v>
      </c>
      <c r="AO32">
        <v>23.5473</v>
      </c>
      <c r="AP32">
        <v>18370000</v>
      </c>
      <c r="AQ32">
        <v>7.2641091563058087</v>
      </c>
      <c r="AR32" t="b">
        <v>1</v>
      </c>
      <c r="AS32">
        <v>24.456207275390625</v>
      </c>
      <c r="AT32">
        <v>222640.96875</v>
      </c>
      <c r="AU32">
        <v>5.3476050830217465</v>
      </c>
      <c r="AV32" t="b">
        <v>1</v>
      </c>
      <c r="AW32">
        <v>14</v>
      </c>
      <c r="AY32">
        <v>20</v>
      </c>
      <c r="AZ32" t="s">
        <v>37</v>
      </c>
      <c r="BA32">
        <v>20.838999999999999</v>
      </c>
      <c r="BB32">
        <v>127236000</v>
      </c>
      <c r="BC32">
        <v>8.1046100074548661</v>
      </c>
      <c r="BD32" t="b">
        <v>1</v>
      </c>
      <c r="BE32">
        <v>23.988777160644531</v>
      </c>
      <c r="BF32">
        <v>307939.34375</v>
      </c>
      <c r="BG32">
        <v>5.4884651799130504</v>
      </c>
      <c r="BH32" t="b">
        <v>1</v>
      </c>
      <c r="BI32">
        <v>16</v>
      </c>
      <c r="BL32" s="304"/>
      <c r="BM32" s="114"/>
      <c r="BO32" t="s">
        <v>18</v>
      </c>
      <c r="BP32" t="s">
        <v>18</v>
      </c>
      <c r="BQ32" t="s">
        <v>18</v>
      </c>
      <c r="BR32" t="s">
        <v>18</v>
      </c>
      <c r="BS32" t="s">
        <v>18</v>
      </c>
      <c r="BV32" t="s">
        <v>18</v>
      </c>
      <c r="BY32" s="305">
        <v>28</v>
      </c>
      <c r="BZ32" s="164">
        <v>4.300260613326599</v>
      </c>
      <c r="CA32" s="164"/>
      <c r="CB32" s="164"/>
      <c r="CC32" s="164"/>
      <c r="CD32" s="164"/>
      <c r="CE32" s="164"/>
      <c r="CF32" s="164"/>
      <c r="CG32" s="164"/>
      <c r="CH32" s="164"/>
      <c r="CI32" s="164"/>
    </row>
    <row r="33" spans="3:87" x14ac:dyDescent="0.25">
      <c r="C33">
        <v>28</v>
      </c>
      <c r="D33" t="s">
        <v>37</v>
      </c>
      <c r="E33">
        <v>38.701000000000001</v>
      </c>
      <c r="F33">
        <v>364.14699999999999</v>
      </c>
      <c r="G33" s="109">
        <v>2.561276736399825</v>
      </c>
      <c r="H33" t="b">
        <v>1</v>
      </c>
      <c r="I33" t="s">
        <v>39</v>
      </c>
      <c r="J33" t="s">
        <v>18</v>
      </c>
      <c r="K33" t="s">
        <v>18</v>
      </c>
      <c r="L33" s="109" t="b">
        <v>0</v>
      </c>
      <c r="M33" s="109">
        <v>14</v>
      </c>
      <c r="T33" s="114">
        <v>34</v>
      </c>
      <c r="U33" s="114" t="s">
        <v>38</v>
      </c>
      <c r="V33" s="114">
        <v>21.483816146850586</v>
      </c>
      <c r="W33" s="114">
        <v>1751198.125</v>
      </c>
      <c r="X33" s="112">
        <v>6.2433352835629652</v>
      </c>
      <c r="AA33" s="161">
        <v>28</v>
      </c>
      <c r="AB33" s="114" t="s">
        <v>37</v>
      </c>
      <c r="AC33" s="114">
        <v>38.701000000000001</v>
      </c>
      <c r="AD33" s="114">
        <v>364.14699999999999</v>
      </c>
      <c r="AE33" s="162">
        <v>2.561276736399825</v>
      </c>
      <c r="AF33" s="114" t="b">
        <v>1</v>
      </c>
      <c r="AG33" s="114" t="s">
        <v>39</v>
      </c>
      <c r="AH33" s="114" t="s">
        <v>18</v>
      </c>
      <c r="AI33" s="114" t="s">
        <v>18</v>
      </c>
      <c r="AJ33" s="162" t="b">
        <v>0</v>
      </c>
      <c r="AK33" s="163">
        <v>14</v>
      </c>
      <c r="AM33">
        <v>33</v>
      </c>
      <c r="AN33" t="s">
        <v>37</v>
      </c>
      <c r="AO33">
        <v>28.166</v>
      </c>
      <c r="AP33">
        <v>677213</v>
      </c>
      <c r="AQ33">
        <v>5.8307252863743972</v>
      </c>
      <c r="AR33" t="b">
        <v>1</v>
      </c>
      <c r="AS33">
        <v>26.492698669433594</v>
      </c>
      <c r="AT33">
        <v>54188.6484375</v>
      </c>
      <c r="AU33">
        <v>4.7339083190608173</v>
      </c>
      <c r="AV33" t="b">
        <v>1</v>
      </c>
      <c r="AW33">
        <v>28</v>
      </c>
      <c r="AY33">
        <v>52</v>
      </c>
      <c r="AZ33" t="s">
        <v>37</v>
      </c>
      <c r="BA33">
        <v>20.8157</v>
      </c>
      <c r="BB33">
        <v>129369000</v>
      </c>
      <c r="BC33">
        <v>8.111830221140572</v>
      </c>
      <c r="BD33" t="b">
        <v>1</v>
      </c>
      <c r="BE33">
        <v>20.946069717407227</v>
      </c>
      <c r="BF33">
        <v>2543227.5</v>
      </c>
      <c r="BG33">
        <v>6.4053852109721783</v>
      </c>
      <c r="BH33" t="b">
        <v>1</v>
      </c>
      <c r="BI33">
        <v>16</v>
      </c>
      <c r="BL33" s="303"/>
      <c r="BM33" s="112"/>
      <c r="BO33" t="s">
        <v>18</v>
      </c>
      <c r="BP33" t="s">
        <v>18</v>
      </c>
      <c r="BQ33" t="s">
        <v>18</v>
      </c>
      <c r="BR33" t="s">
        <v>18</v>
      </c>
      <c r="BS33" t="s">
        <v>18</v>
      </c>
      <c r="BV33" t="s">
        <v>18</v>
      </c>
      <c r="BY33" s="305">
        <v>21</v>
      </c>
      <c r="BZ33" s="164">
        <v>2.9616351034174793</v>
      </c>
      <c r="CA33" s="164"/>
      <c r="CB33" s="164"/>
      <c r="CC33" s="164"/>
      <c r="CD33" s="164"/>
      <c r="CE33" s="164"/>
      <c r="CF33" s="164"/>
      <c r="CG33" s="164"/>
      <c r="CH33" s="164"/>
      <c r="CI33" s="164"/>
    </row>
    <row r="34" spans="3:87" x14ac:dyDescent="0.25">
      <c r="C34" s="116">
        <v>29</v>
      </c>
      <c r="D34" s="116" t="s">
        <v>37</v>
      </c>
      <c r="E34" s="116"/>
      <c r="F34" s="116"/>
      <c r="G34" s="117" t="s">
        <v>18</v>
      </c>
      <c r="H34" s="117" t="b">
        <v>0</v>
      </c>
      <c r="I34" s="117" t="s">
        <v>47</v>
      </c>
      <c r="J34" s="116" t="s">
        <v>47</v>
      </c>
      <c r="K34" s="116" t="s">
        <v>47</v>
      </c>
      <c r="L34" s="109" t="s">
        <v>48</v>
      </c>
      <c r="M34" s="109">
        <v>39</v>
      </c>
      <c r="T34" s="112">
        <v>35</v>
      </c>
      <c r="U34" s="112" t="s">
        <v>38</v>
      </c>
      <c r="V34" s="112">
        <v>28.263175964355469</v>
      </c>
      <c r="W34" s="112">
        <v>15862.619140625</v>
      </c>
      <c r="X34" s="112">
        <v>4.2003748970048385</v>
      </c>
      <c r="AA34" s="171">
        <v>29</v>
      </c>
      <c r="AB34" s="172" t="s">
        <v>37</v>
      </c>
      <c r="AC34" s="172"/>
      <c r="AD34" s="172"/>
      <c r="AE34" s="174" t="s">
        <v>18</v>
      </c>
      <c r="AF34" s="174" t="b">
        <v>0</v>
      </c>
      <c r="AG34" s="174" t="s">
        <v>47</v>
      </c>
      <c r="AH34" s="172" t="s">
        <v>47</v>
      </c>
      <c r="AI34" s="172" t="s">
        <v>47</v>
      </c>
      <c r="AJ34" s="166" t="s">
        <v>48</v>
      </c>
      <c r="AK34" s="119">
        <v>39</v>
      </c>
      <c r="AM34">
        <v>34</v>
      </c>
      <c r="AN34" t="s">
        <v>37</v>
      </c>
      <c r="AO34">
        <v>21.816600000000001</v>
      </c>
      <c r="AP34">
        <v>63271700</v>
      </c>
      <c r="AQ34">
        <v>7.8012095033496296</v>
      </c>
      <c r="AR34" t="b">
        <v>1</v>
      </c>
      <c r="AS34">
        <v>21.483816146850586</v>
      </c>
      <c r="AT34">
        <v>1751198.125</v>
      </c>
      <c r="AU34">
        <v>6.2433352835629652</v>
      </c>
      <c r="AV34" t="b">
        <v>1</v>
      </c>
      <c r="AW34">
        <v>28</v>
      </c>
      <c r="AY34">
        <v>38</v>
      </c>
      <c r="AZ34" t="s">
        <v>37</v>
      </c>
      <c r="BA34">
        <v>28.4803</v>
      </c>
      <c r="BB34">
        <v>541000</v>
      </c>
      <c r="BC34">
        <v>5.7331972651065692</v>
      </c>
      <c r="BD34" t="b">
        <v>1</v>
      </c>
      <c r="BE34">
        <v>28.847843170166016</v>
      </c>
      <c r="BF34">
        <v>10572.6875</v>
      </c>
      <c r="BG34">
        <v>4.0241853958282352</v>
      </c>
      <c r="BH34" t="b">
        <v>1</v>
      </c>
      <c r="BI34">
        <v>17</v>
      </c>
      <c r="BL34" s="304"/>
      <c r="BM34" s="114"/>
      <c r="BO34" t="s">
        <v>18</v>
      </c>
      <c r="BP34" t="s">
        <v>18</v>
      </c>
      <c r="BQ34" t="s">
        <v>18</v>
      </c>
      <c r="BR34" t="s">
        <v>18</v>
      </c>
      <c r="BS34" t="s">
        <v>18</v>
      </c>
      <c r="BV34" t="s">
        <v>18</v>
      </c>
      <c r="BY34" s="305">
        <v>4</v>
      </c>
      <c r="BZ34" s="164">
        <v>3.5803375400930908</v>
      </c>
      <c r="CA34" s="164"/>
      <c r="CB34" s="164"/>
      <c r="CC34" s="164"/>
      <c r="CD34" s="164"/>
      <c r="CE34" s="164"/>
      <c r="CF34" s="164"/>
      <c r="CG34" s="164"/>
      <c r="CH34" s="164"/>
      <c r="CI34" s="164"/>
    </row>
    <row r="35" spans="3:87" x14ac:dyDescent="0.25">
      <c r="C35">
        <v>30</v>
      </c>
      <c r="D35" t="s">
        <v>37</v>
      </c>
      <c r="E35">
        <v>24.594100000000001</v>
      </c>
      <c r="F35" s="111">
        <v>8694520</v>
      </c>
      <c r="G35" s="109">
        <v>6.9392456108234359</v>
      </c>
      <c r="H35" t="b">
        <v>1</v>
      </c>
      <c r="I35">
        <v>24.545707702636719</v>
      </c>
      <c r="J35">
        <v>209234.90625</v>
      </c>
      <c r="K35">
        <v>5.3206341387380958</v>
      </c>
      <c r="L35" s="109" t="b">
        <v>1</v>
      </c>
      <c r="M35" s="109">
        <v>14</v>
      </c>
      <c r="T35" s="114">
        <v>36</v>
      </c>
      <c r="U35" s="114" t="s">
        <v>38</v>
      </c>
      <c r="V35" s="114">
        <v>36.482227325439453</v>
      </c>
      <c r="W35" s="114">
        <v>52.913120269775391</v>
      </c>
      <c r="X35" s="112">
        <v>1.7235633724938664</v>
      </c>
      <c r="AA35" s="161">
        <v>30</v>
      </c>
      <c r="AB35" s="114" t="s">
        <v>37</v>
      </c>
      <c r="AC35" s="114">
        <v>24.594100000000001</v>
      </c>
      <c r="AD35" s="167">
        <v>8694520</v>
      </c>
      <c r="AE35" s="162">
        <v>6.9392456108234359</v>
      </c>
      <c r="AF35" s="114" t="b">
        <v>1</v>
      </c>
      <c r="AG35" s="114">
        <v>24.545707702636719</v>
      </c>
      <c r="AH35" s="114">
        <v>209234.90625</v>
      </c>
      <c r="AI35" s="114">
        <v>5.3206341387380958</v>
      </c>
      <c r="AJ35" s="162" t="b">
        <v>1</v>
      </c>
      <c r="AK35" s="163">
        <v>14</v>
      </c>
      <c r="AM35">
        <v>35</v>
      </c>
      <c r="AN35" t="s">
        <v>37</v>
      </c>
      <c r="AO35">
        <v>28.4252</v>
      </c>
      <c r="AP35">
        <v>562721</v>
      </c>
      <c r="AQ35">
        <v>5.7502931227494098</v>
      </c>
      <c r="AR35" t="b">
        <v>1</v>
      </c>
      <c r="AS35">
        <v>28.263175964355469</v>
      </c>
      <c r="AT35">
        <v>15862.619140625</v>
      </c>
      <c r="AU35">
        <v>4.2003748970048385</v>
      </c>
      <c r="AV35" t="b">
        <v>1</v>
      </c>
      <c r="AW35">
        <v>18</v>
      </c>
      <c r="AY35">
        <v>55</v>
      </c>
      <c r="AZ35" t="s">
        <v>37</v>
      </c>
      <c r="BA35">
        <v>22.212700000000002</v>
      </c>
      <c r="BB35">
        <v>47675700</v>
      </c>
      <c r="BC35">
        <v>7.6782970783075664</v>
      </c>
      <c r="BD35" t="b">
        <v>1</v>
      </c>
      <c r="BE35">
        <v>22.513248443603516</v>
      </c>
      <c r="BF35">
        <v>857266.4375</v>
      </c>
      <c r="BG35">
        <v>5.9331158211676831</v>
      </c>
      <c r="BH35" t="b">
        <v>1</v>
      </c>
      <c r="BI35">
        <v>17</v>
      </c>
      <c r="BL35" s="303"/>
      <c r="BM35" s="112"/>
      <c r="BO35" t="s">
        <v>18</v>
      </c>
      <c r="BP35" t="s">
        <v>18</v>
      </c>
      <c r="BQ35" t="s">
        <v>18</v>
      </c>
      <c r="BR35" t="s">
        <v>18</v>
      </c>
      <c r="BS35" t="s">
        <v>18</v>
      </c>
      <c r="BV35" t="s">
        <v>18</v>
      </c>
      <c r="BY35" s="305">
        <v>7</v>
      </c>
      <c r="BZ35" s="164">
        <v>7.0151375208796951</v>
      </c>
      <c r="CA35" s="164"/>
      <c r="CB35" s="164"/>
      <c r="CC35" s="164"/>
      <c r="CD35" s="164"/>
      <c r="CE35" s="164"/>
      <c r="CF35" s="164"/>
      <c r="CG35" s="164"/>
      <c r="CH35" s="164"/>
      <c r="CI35" s="164"/>
    </row>
    <row r="36" spans="3:87" x14ac:dyDescent="0.25">
      <c r="C36">
        <v>31</v>
      </c>
      <c r="D36" t="s">
        <v>37</v>
      </c>
      <c r="E36">
        <v>22.622599999999998</v>
      </c>
      <c r="F36" s="111">
        <v>35570800</v>
      </c>
      <c r="G36" s="109">
        <v>7.5510936327336724</v>
      </c>
      <c r="H36" t="b">
        <v>1</v>
      </c>
      <c r="I36">
        <v>21.233577728271484</v>
      </c>
      <c r="J36">
        <v>2083265.625</v>
      </c>
      <c r="K36">
        <v>6.3187446478243841</v>
      </c>
      <c r="L36" s="109" t="b">
        <v>1</v>
      </c>
      <c r="M36" s="109">
        <v>21</v>
      </c>
      <c r="T36" s="112">
        <v>37</v>
      </c>
      <c r="U36" s="112" t="s">
        <v>38</v>
      </c>
      <c r="V36" s="112">
        <v>32.535297393798828</v>
      </c>
      <c r="W36" s="112">
        <v>818.409912109375</v>
      </c>
      <c r="X36" s="112">
        <v>2.9129708806605272</v>
      </c>
      <c r="AA36" s="164">
        <v>31</v>
      </c>
      <c r="AB36" s="112" t="s">
        <v>37</v>
      </c>
      <c r="AC36" s="112">
        <v>22.622599999999998</v>
      </c>
      <c r="AD36" s="165">
        <v>35570800</v>
      </c>
      <c r="AE36" s="166">
        <v>7.5510936327336724</v>
      </c>
      <c r="AF36" s="112" t="b">
        <v>1</v>
      </c>
      <c r="AG36" s="112">
        <v>21.233577728271484</v>
      </c>
      <c r="AH36" s="112">
        <v>2083265.625</v>
      </c>
      <c r="AI36" s="112">
        <v>6.3187446478243841</v>
      </c>
      <c r="AJ36" s="166" t="b">
        <v>1</v>
      </c>
      <c r="AK36" s="119">
        <v>21</v>
      </c>
      <c r="AM36">
        <v>36</v>
      </c>
      <c r="AN36" t="s">
        <v>37</v>
      </c>
      <c r="AO36">
        <v>27.786100000000001</v>
      </c>
      <c r="AP36">
        <v>888463</v>
      </c>
      <c r="AQ36">
        <v>5.9486393463445619</v>
      </c>
      <c r="AR36" t="b">
        <v>1</v>
      </c>
      <c r="AS36">
        <v>36.482227325439453</v>
      </c>
      <c r="AT36">
        <v>52.913120269775391</v>
      </c>
      <c r="AU36">
        <v>1.7235633724938664</v>
      </c>
      <c r="AV36" t="b">
        <v>0</v>
      </c>
      <c r="AW36">
        <v>21</v>
      </c>
      <c r="AY36">
        <v>91</v>
      </c>
      <c r="AZ36" t="s">
        <v>37</v>
      </c>
      <c r="BA36">
        <v>24.077400000000001</v>
      </c>
      <c r="BB36">
        <v>12577200</v>
      </c>
      <c r="BC36">
        <v>7.0995839670315029</v>
      </c>
      <c r="BD36" t="b">
        <v>1</v>
      </c>
      <c r="BE36">
        <v>32.5377197265625</v>
      </c>
      <c r="BF36">
        <v>817.03546142578125</v>
      </c>
      <c r="BG36">
        <v>2.9122409064312129</v>
      </c>
      <c r="BH36" t="b">
        <v>1</v>
      </c>
      <c r="BI36">
        <v>17</v>
      </c>
      <c r="BL36" s="356" t="s">
        <v>33</v>
      </c>
      <c r="BM36" s="356"/>
      <c r="BO36" t="s">
        <v>18</v>
      </c>
      <c r="BP36" t="s">
        <v>18</v>
      </c>
      <c r="BQ36" t="s">
        <v>18</v>
      </c>
      <c r="BR36" t="s">
        <v>18</v>
      </c>
      <c r="BS36" t="s">
        <v>18</v>
      </c>
      <c r="BT36" t="s">
        <v>18</v>
      </c>
      <c r="BU36" t="s">
        <v>18</v>
      </c>
      <c r="BV36" t="s">
        <v>18</v>
      </c>
      <c r="BY36" s="112"/>
      <c r="BZ36" s="164"/>
      <c r="CA36" s="164"/>
      <c r="CB36" s="164"/>
      <c r="CC36" s="164"/>
      <c r="CD36" s="164"/>
      <c r="CE36" s="164"/>
      <c r="CF36" s="164"/>
      <c r="CG36" s="164"/>
      <c r="CH36" s="164"/>
      <c r="CI36" s="164"/>
    </row>
    <row r="37" spans="3:87" x14ac:dyDescent="0.25">
      <c r="C37">
        <v>32</v>
      </c>
      <c r="D37" t="s">
        <v>37</v>
      </c>
      <c r="E37">
        <v>23.5473</v>
      </c>
      <c r="F37" s="111">
        <v>18370000</v>
      </c>
      <c r="G37" s="109">
        <v>7.2641091563058087</v>
      </c>
      <c r="H37" t="b">
        <v>1</v>
      </c>
      <c r="I37">
        <v>24.456207275390625</v>
      </c>
      <c r="J37">
        <v>222640.96875</v>
      </c>
      <c r="K37">
        <v>5.3476050830217465</v>
      </c>
      <c r="L37" s="109" t="b">
        <v>1</v>
      </c>
      <c r="M37" s="109">
        <v>14</v>
      </c>
      <c r="T37" s="114">
        <v>38</v>
      </c>
      <c r="U37" s="114" t="s">
        <v>38</v>
      </c>
      <c r="V37" s="114">
        <v>28.847843170166016</v>
      </c>
      <c r="W37" s="114">
        <v>10572.6875</v>
      </c>
      <c r="X37" s="112">
        <v>4.0241853958282352</v>
      </c>
      <c r="AA37" s="161">
        <v>32</v>
      </c>
      <c r="AB37" s="114" t="s">
        <v>37</v>
      </c>
      <c r="AC37" s="114">
        <v>23.5473</v>
      </c>
      <c r="AD37" s="167">
        <v>18370000</v>
      </c>
      <c r="AE37" s="162">
        <v>7.2641091563058087</v>
      </c>
      <c r="AF37" s="114" t="b">
        <v>1</v>
      </c>
      <c r="AG37" s="114">
        <v>24.456207275390625</v>
      </c>
      <c r="AH37" s="114">
        <v>222640.96875</v>
      </c>
      <c r="AI37" s="114">
        <v>5.3476050830217465</v>
      </c>
      <c r="AJ37" s="162" t="b">
        <v>1</v>
      </c>
      <c r="AK37" s="163">
        <v>14</v>
      </c>
      <c r="AM37">
        <v>37</v>
      </c>
      <c r="AN37" t="s">
        <v>37</v>
      </c>
      <c r="AO37">
        <v>25.1739</v>
      </c>
      <c r="AP37">
        <v>5745340</v>
      </c>
      <c r="AQ37">
        <v>6.7593157346352033</v>
      </c>
      <c r="AR37" t="b">
        <v>1</v>
      </c>
      <c r="AS37">
        <v>32.535297393798828</v>
      </c>
      <c r="AT37">
        <v>818.409912109375</v>
      </c>
      <c r="AU37">
        <v>2.9129708806605272</v>
      </c>
      <c r="AV37" t="b">
        <v>1</v>
      </c>
      <c r="AW37">
        <v>8</v>
      </c>
      <c r="AY37">
        <v>100</v>
      </c>
      <c r="AZ37" t="s">
        <v>37</v>
      </c>
      <c r="BA37">
        <v>23.659099999999999</v>
      </c>
      <c r="BB37">
        <v>16959800</v>
      </c>
      <c r="BC37">
        <v>7.2294207264933057</v>
      </c>
      <c r="BD37" t="b">
        <v>1</v>
      </c>
      <c r="BE37">
        <v>24.987758636474609</v>
      </c>
      <c r="BF37">
        <v>153965.015625</v>
      </c>
      <c r="BG37">
        <v>5.1874220504011221</v>
      </c>
      <c r="BH37" t="b">
        <v>1</v>
      </c>
      <c r="BI37">
        <v>17</v>
      </c>
      <c r="BL37" s="303"/>
      <c r="BM37" s="112"/>
      <c r="BO37" t="s">
        <v>18</v>
      </c>
      <c r="BP37" t="s">
        <v>18</v>
      </c>
      <c r="BQ37" t="s">
        <v>18</v>
      </c>
      <c r="BR37" t="s">
        <v>18</v>
      </c>
      <c r="BS37" t="s">
        <v>18</v>
      </c>
      <c r="BT37" t="s">
        <v>18</v>
      </c>
      <c r="BU37" t="s">
        <v>18</v>
      </c>
      <c r="BV37" t="s">
        <v>18</v>
      </c>
      <c r="BY37" s="112"/>
      <c r="BZ37" s="164"/>
      <c r="CA37" s="164"/>
      <c r="CB37" s="164"/>
      <c r="CC37" s="164"/>
      <c r="CD37" s="164"/>
      <c r="CE37" s="164"/>
      <c r="CF37" s="164"/>
      <c r="CG37" s="164"/>
      <c r="CH37" s="164"/>
      <c r="CI37" s="164"/>
    </row>
    <row r="38" spans="3:87" x14ac:dyDescent="0.25">
      <c r="C38">
        <v>33</v>
      </c>
      <c r="D38" t="s">
        <v>37</v>
      </c>
      <c r="E38">
        <v>28.166</v>
      </c>
      <c r="F38" s="111">
        <v>677213</v>
      </c>
      <c r="G38" s="109">
        <v>5.8307252863743972</v>
      </c>
      <c r="H38" t="b">
        <v>1</v>
      </c>
      <c r="I38">
        <v>26.492698669433594</v>
      </c>
      <c r="J38">
        <v>54188.6484375</v>
      </c>
      <c r="K38">
        <v>4.7339083190608173</v>
      </c>
      <c r="L38" s="109" t="b">
        <v>1</v>
      </c>
      <c r="M38" s="109">
        <v>28</v>
      </c>
      <c r="T38" s="112">
        <v>39</v>
      </c>
      <c r="U38" s="112" t="s">
        <v>38</v>
      </c>
      <c r="V38" s="112">
        <v>37.022140502929688</v>
      </c>
      <c r="W38" s="112">
        <v>36.379817962646484</v>
      </c>
      <c r="X38" s="112">
        <v>1.5608605216099296</v>
      </c>
      <c r="AA38" s="164">
        <v>33</v>
      </c>
      <c r="AB38" s="112" t="s">
        <v>37</v>
      </c>
      <c r="AC38" s="112">
        <v>28.166</v>
      </c>
      <c r="AD38" s="165">
        <v>677213</v>
      </c>
      <c r="AE38" s="166">
        <v>5.8307252863743972</v>
      </c>
      <c r="AF38" s="112" t="b">
        <v>1</v>
      </c>
      <c r="AG38" s="112">
        <v>26.492698669433594</v>
      </c>
      <c r="AH38" s="112">
        <v>54188.6484375</v>
      </c>
      <c r="AI38" s="112">
        <v>4.7339083190608173</v>
      </c>
      <c r="AJ38" s="166" t="b">
        <v>1</v>
      </c>
      <c r="AK38" s="119">
        <v>28</v>
      </c>
      <c r="AM38">
        <v>38</v>
      </c>
      <c r="AN38" t="s">
        <v>37</v>
      </c>
      <c r="AO38">
        <v>28.4803</v>
      </c>
      <c r="AP38">
        <v>541000</v>
      </c>
      <c r="AQ38">
        <v>5.7331972651065692</v>
      </c>
      <c r="AR38" t="b">
        <v>1</v>
      </c>
      <c r="AS38">
        <v>28.847843170166016</v>
      </c>
      <c r="AT38">
        <v>10572.6875</v>
      </c>
      <c r="AU38">
        <v>4.0241853958282352</v>
      </c>
      <c r="AV38" t="b">
        <v>1</v>
      </c>
      <c r="AW38">
        <v>17</v>
      </c>
      <c r="AY38">
        <v>103</v>
      </c>
      <c r="AZ38" t="s">
        <v>37</v>
      </c>
      <c r="BA38">
        <v>21.217099999999999</v>
      </c>
      <c r="BB38">
        <v>97107900</v>
      </c>
      <c r="BC38">
        <v>7.9872545624192872</v>
      </c>
      <c r="BD38" t="b">
        <v>1</v>
      </c>
      <c r="BE38">
        <v>21.564455032348633</v>
      </c>
      <c r="BF38">
        <v>1655902.5</v>
      </c>
      <c r="BG38">
        <v>6.2190347618217077</v>
      </c>
      <c r="BH38" t="b">
        <v>1</v>
      </c>
      <c r="BI38">
        <v>17</v>
      </c>
      <c r="BL38" s="303" t="s">
        <v>49</v>
      </c>
      <c r="BM38" s="112" t="s">
        <v>131</v>
      </c>
      <c r="BO38" t="s">
        <v>18</v>
      </c>
      <c r="BP38" t="s">
        <v>18</v>
      </c>
      <c r="BQ38" t="s">
        <v>18</v>
      </c>
      <c r="BR38" t="s">
        <v>18</v>
      </c>
      <c r="BS38" t="s">
        <v>18</v>
      </c>
      <c r="BT38" t="s">
        <v>18</v>
      </c>
      <c r="BU38" t="s">
        <v>18</v>
      </c>
      <c r="BV38" t="s">
        <v>18</v>
      </c>
      <c r="BY38" s="112"/>
      <c r="BZ38" s="164"/>
      <c r="CA38" s="164"/>
      <c r="CB38" s="164"/>
      <c r="CC38" s="164"/>
      <c r="CD38" s="164"/>
      <c r="CE38" s="164"/>
      <c r="CF38" s="164"/>
      <c r="CG38" s="164"/>
      <c r="CH38" s="164"/>
      <c r="CI38" s="164"/>
    </row>
    <row r="39" spans="3:87" x14ac:dyDescent="0.25">
      <c r="C39">
        <v>34</v>
      </c>
      <c r="D39" t="s">
        <v>37</v>
      </c>
      <c r="E39">
        <v>21.816600000000001</v>
      </c>
      <c r="F39" s="111">
        <v>63271700</v>
      </c>
      <c r="G39" s="109">
        <v>7.8012095033496296</v>
      </c>
      <c r="H39" t="b">
        <v>1</v>
      </c>
      <c r="I39">
        <v>21.483816146850586</v>
      </c>
      <c r="J39">
        <v>1751198.125</v>
      </c>
      <c r="K39">
        <v>6.2433352835629652</v>
      </c>
      <c r="L39" s="109" t="b">
        <v>1</v>
      </c>
      <c r="M39" s="109">
        <v>28</v>
      </c>
      <c r="T39" s="114">
        <v>40</v>
      </c>
      <c r="U39" s="114" t="s">
        <v>38</v>
      </c>
      <c r="V39" s="114">
        <v>26.152759552001953</v>
      </c>
      <c r="W39" s="114">
        <v>68603.9296875</v>
      </c>
      <c r="X39" s="112">
        <v>4.8363489931516064</v>
      </c>
      <c r="AA39" s="161">
        <v>34</v>
      </c>
      <c r="AB39" s="114" t="s">
        <v>37</v>
      </c>
      <c r="AC39" s="114">
        <v>21.816600000000001</v>
      </c>
      <c r="AD39" s="167">
        <v>63271700</v>
      </c>
      <c r="AE39" s="162">
        <v>7.8012095033496296</v>
      </c>
      <c r="AF39" s="114" t="b">
        <v>1</v>
      </c>
      <c r="AG39" s="114">
        <v>21.483816146850586</v>
      </c>
      <c r="AH39" s="114">
        <v>1751198.125</v>
      </c>
      <c r="AI39" s="114">
        <v>6.2433352835629652</v>
      </c>
      <c r="AJ39" s="162" t="b">
        <v>1</v>
      </c>
      <c r="AK39" s="163">
        <v>28</v>
      </c>
      <c r="AM39">
        <v>39</v>
      </c>
      <c r="AN39" t="s">
        <v>37</v>
      </c>
      <c r="AO39">
        <v>33.0976</v>
      </c>
      <c r="AP39">
        <v>19964.599999999999</v>
      </c>
      <c r="AQ39">
        <v>4.300260613326599</v>
      </c>
      <c r="AR39" t="b">
        <v>1</v>
      </c>
      <c r="AS39">
        <v>37.022140502929688</v>
      </c>
      <c r="AT39">
        <v>36.379817962646484</v>
      </c>
      <c r="AU39">
        <v>1.5608605216099296</v>
      </c>
      <c r="AV39" t="b">
        <v>0</v>
      </c>
      <c r="AW39">
        <v>28</v>
      </c>
      <c r="AY39">
        <v>7</v>
      </c>
      <c r="AZ39" t="s">
        <v>37</v>
      </c>
      <c r="BA39">
        <v>23.5092</v>
      </c>
      <c r="BB39">
        <v>18876600</v>
      </c>
      <c r="BC39">
        <v>7.2759237731076478</v>
      </c>
      <c r="BD39" t="b">
        <v>1</v>
      </c>
      <c r="BE39">
        <v>23.171781539916992</v>
      </c>
      <c r="BF39">
        <v>542833.75</v>
      </c>
      <c r="BG39">
        <v>5.7346668415357849</v>
      </c>
      <c r="BH39" t="b">
        <v>1</v>
      </c>
      <c r="BI39">
        <v>18</v>
      </c>
      <c r="BL39" s="303">
        <v>7</v>
      </c>
      <c r="BM39" s="112">
        <v>5.9181729801431446</v>
      </c>
      <c r="BO39" t="s">
        <v>18</v>
      </c>
      <c r="BP39" t="s">
        <v>18</v>
      </c>
      <c r="BQ39" t="s">
        <v>18</v>
      </c>
      <c r="BR39" t="s">
        <v>18</v>
      </c>
      <c r="BS39" t="s">
        <v>18</v>
      </c>
      <c r="BT39" t="s">
        <v>18</v>
      </c>
      <c r="BU39" t="s">
        <v>18</v>
      </c>
      <c r="BV39" t="s">
        <v>18</v>
      </c>
      <c r="BY39" s="112"/>
      <c r="BZ39" s="164"/>
      <c r="CA39" s="164"/>
      <c r="CB39" s="164"/>
      <c r="CC39" s="164" t="s">
        <v>147</v>
      </c>
      <c r="CD39" s="164"/>
      <c r="CE39" s="164"/>
      <c r="CF39" s="164"/>
      <c r="CG39" s="164"/>
      <c r="CH39" s="164"/>
      <c r="CI39" s="164"/>
    </row>
    <row r="40" spans="3:87" x14ac:dyDescent="0.25">
      <c r="C40">
        <v>35</v>
      </c>
      <c r="D40" t="s">
        <v>37</v>
      </c>
      <c r="E40">
        <v>28.4252</v>
      </c>
      <c r="F40" s="111">
        <v>562721</v>
      </c>
      <c r="G40" s="109">
        <v>5.7502931227494098</v>
      </c>
      <c r="H40" t="b">
        <v>1</v>
      </c>
      <c r="I40">
        <v>28.263175964355469</v>
      </c>
      <c r="J40">
        <v>15862.619140625</v>
      </c>
      <c r="K40">
        <v>4.2003748970048385</v>
      </c>
      <c r="L40" s="109" t="b">
        <v>1</v>
      </c>
      <c r="M40" s="109">
        <v>18</v>
      </c>
      <c r="T40" s="112"/>
      <c r="U40" s="112" t="s">
        <v>40</v>
      </c>
      <c r="V40" s="112">
        <v>22.510082244873047</v>
      </c>
      <c r="W40" s="112">
        <v>812830.5</v>
      </c>
      <c r="X40" s="112">
        <v>5.9099999913635388</v>
      </c>
      <c r="AA40" s="164">
        <v>35</v>
      </c>
      <c r="AB40" s="112" t="s">
        <v>37</v>
      </c>
      <c r="AC40" s="112">
        <v>28.4252</v>
      </c>
      <c r="AD40" s="165">
        <v>562721</v>
      </c>
      <c r="AE40" s="166">
        <v>5.7502931227494098</v>
      </c>
      <c r="AF40" s="112" t="b">
        <v>1</v>
      </c>
      <c r="AG40" s="112">
        <v>28.263175964355469</v>
      </c>
      <c r="AH40" s="112">
        <v>15862.619140625</v>
      </c>
      <c r="AI40" s="112">
        <v>4.2003748970048385</v>
      </c>
      <c r="AJ40" s="166" t="b">
        <v>1</v>
      </c>
      <c r="AK40" s="119">
        <v>18</v>
      </c>
      <c r="AM40">
        <v>40</v>
      </c>
      <c r="AN40" t="s">
        <v>37</v>
      </c>
      <c r="AO40">
        <v>24.564699999999998</v>
      </c>
      <c r="AP40">
        <v>8879020</v>
      </c>
      <c r="AQ40">
        <v>6.9483650342381562</v>
      </c>
      <c r="AR40" t="b">
        <v>1</v>
      </c>
      <c r="AS40">
        <v>26.152759552001953</v>
      </c>
      <c r="AT40">
        <v>68603.9296875</v>
      </c>
      <c r="AU40">
        <v>4.8363489931516064</v>
      </c>
      <c r="AV40" t="b">
        <v>1</v>
      </c>
      <c r="AW40">
        <v>36</v>
      </c>
      <c r="AY40">
        <v>21</v>
      </c>
      <c r="AZ40" t="s">
        <v>37</v>
      </c>
      <c r="BA40">
        <v>21.283000000000001</v>
      </c>
      <c r="BB40">
        <v>92641500</v>
      </c>
      <c r="BC40">
        <v>7.96680557829667</v>
      </c>
      <c r="BD40" t="b">
        <v>1</v>
      </c>
      <c r="BE40">
        <v>21.17078971862793</v>
      </c>
      <c r="BF40">
        <v>2176034.75</v>
      </c>
      <c r="BG40">
        <v>6.337665826509939</v>
      </c>
      <c r="BH40" t="b">
        <v>1</v>
      </c>
      <c r="BI40">
        <v>18</v>
      </c>
      <c r="BL40" s="304">
        <v>7</v>
      </c>
      <c r="BM40" s="114">
        <v>6.9463264782609819</v>
      </c>
      <c r="BO40" t="s">
        <v>18</v>
      </c>
      <c r="BP40" t="s">
        <v>18</v>
      </c>
      <c r="BQ40" t="s">
        <v>18</v>
      </c>
      <c r="BR40" t="s">
        <v>18</v>
      </c>
      <c r="BS40" t="s">
        <v>18</v>
      </c>
      <c r="BT40" t="s">
        <v>18</v>
      </c>
      <c r="BU40" t="s">
        <v>18</v>
      </c>
      <c r="BV40" t="s">
        <v>18</v>
      </c>
      <c r="BY40" s="112"/>
      <c r="BZ40" s="164"/>
      <c r="CA40" s="164"/>
      <c r="CB40" s="164"/>
      <c r="CC40" s="164" t="s">
        <v>148</v>
      </c>
      <c r="CD40" s="164" t="s">
        <v>149</v>
      </c>
      <c r="CE40" s="164"/>
      <c r="CF40" s="164"/>
      <c r="CG40" s="164"/>
      <c r="CH40" s="164"/>
      <c r="CI40" s="164"/>
    </row>
    <row r="41" spans="3:87" x14ac:dyDescent="0.25">
      <c r="C41">
        <v>36</v>
      </c>
      <c r="D41" t="s">
        <v>37</v>
      </c>
      <c r="E41">
        <v>27.786100000000001</v>
      </c>
      <c r="F41" s="111">
        <v>888463</v>
      </c>
      <c r="G41" s="109">
        <v>5.9486393463445619</v>
      </c>
      <c r="H41" t="b">
        <v>1</v>
      </c>
      <c r="I41">
        <v>36.482227325439453</v>
      </c>
      <c r="J41">
        <v>52.913120269775391</v>
      </c>
      <c r="K41">
        <v>1.7235633724938664</v>
      </c>
      <c r="L41" s="109" t="b">
        <v>0</v>
      </c>
      <c r="M41" s="109">
        <v>21</v>
      </c>
      <c r="T41" s="114"/>
      <c r="U41" s="114" t="s">
        <v>40</v>
      </c>
      <c r="V41" s="114">
        <v>22.586456298828125</v>
      </c>
      <c r="W41" s="114">
        <v>812830.5</v>
      </c>
      <c r="X41" s="112">
        <v>5.9099999913635388</v>
      </c>
      <c r="AA41" s="161">
        <v>36</v>
      </c>
      <c r="AB41" s="114" t="s">
        <v>37</v>
      </c>
      <c r="AC41" s="114">
        <v>27.786100000000001</v>
      </c>
      <c r="AD41" s="167">
        <v>888463</v>
      </c>
      <c r="AE41" s="162">
        <v>5.9486393463445619</v>
      </c>
      <c r="AF41" s="114" t="b">
        <v>1</v>
      </c>
      <c r="AG41" s="114">
        <v>36.482227325439453</v>
      </c>
      <c r="AH41" s="114">
        <v>52.913120269775391</v>
      </c>
      <c r="AI41" s="114">
        <v>1.7235633724938664</v>
      </c>
      <c r="AJ41" s="162" t="b">
        <v>0</v>
      </c>
      <c r="AK41" s="163">
        <v>21</v>
      </c>
      <c r="AM41">
        <v>41</v>
      </c>
      <c r="AN41" t="s">
        <v>37</v>
      </c>
      <c r="AO41">
        <v>22.200500000000002</v>
      </c>
      <c r="AP41">
        <v>48093000</v>
      </c>
      <c r="AQ41">
        <v>7.6820818688352643</v>
      </c>
      <c r="AR41" t="b">
        <v>1</v>
      </c>
      <c r="AS41">
        <v>20.483860015869141</v>
      </c>
      <c r="AT41">
        <v>3504871.75</v>
      </c>
      <c r="AU41">
        <v>6.5446721309228355</v>
      </c>
      <c r="AV41" t="b">
        <v>1</v>
      </c>
      <c r="AW41">
        <v>21</v>
      </c>
      <c r="AY41">
        <v>35</v>
      </c>
      <c r="AZ41" t="s">
        <v>37</v>
      </c>
      <c r="BA41">
        <v>28.4252</v>
      </c>
      <c r="BB41">
        <v>562721</v>
      </c>
      <c r="BC41">
        <v>5.7502931227494098</v>
      </c>
      <c r="BD41" t="b">
        <v>1</v>
      </c>
      <c r="BE41">
        <v>28.263175964355469</v>
      </c>
      <c r="BF41">
        <v>15862.619140625</v>
      </c>
      <c r="BG41">
        <v>4.2003748970048385</v>
      </c>
      <c r="BH41" t="b">
        <v>1</v>
      </c>
      <c r="BI41">
        <v>18</v>
      </c>
      <c r="BL41" s="303">
        <v>7</v>
      </c>
      <c r="BM41" s="112">
        <v>6.6291913775750517</v>
      </c>
      <c r="BO41" t="s">
        <v>18</v>
      </c>
      <c r="BP41" t="s">
        <v>18</v>
      </c>
      <c r="BQ41" t="s">
        <v>18</v>
      </c>
      <c r="BR41" t="s">
        <v>18</v>
      </c>
      <c r="BS41" t="s">
        <v>18</v>
      </c>
      <c r="BT41" t="s">
        <v>18</v>
      </c>
      <c r="BU41" t="s">
        <v>18</v>
      </c>
      <c r="BV41" t="s">
        <v>18</v>
      </c>
      <c r="BY41" s="112"/>
      <c r="BZ41" s="164"/>
      <c r="CA41" s="164"/>
      <c r="CB41" s="164"/>
      <c r="CC41" s="164" t="s">
        <v>150</v>
      </c>
      <c r="CD41" s="164" t="s">
        <v>151</v>
      </c>
      <c r="CE41" s="164"/>
      <c r="CF41" s="164"/>
      <c r="CG41" s="164"/>
      <c r="CH41" s="164"/>
      <c r="CI41" s="164"/>
    </row>
    <row r="42" spans="3:87" x14ac:dyDescent="0.25">
      <c r="C42">
        <v>37</v>
      </c>
      <c r="D42" t="s">
        <v>37</v>
      </c>
      <c r="E42">
        <v>25.1739</v>
      </c>
      <c r="F42" s="111">
        <v>5745340</v>
      </c>
      <c r="G42" s="109">
        <v>6.7593157346352033</v>
      </c>
      <c r="H42" t="b">
        <v>1</v>
      </c>
      <c r="I42">
        <v>32.535297393798828</v>
      </c>
      <c r="J42">
        <v>818.409912109375</v>
      </c>
      <c r="K42">
        <v>2.9129708806605272</v>
      </c>
      <c r="L42" s="109" t="b">
        <v>1</v>
      </c>
      <c r="M42" s="109">
        <v>8</v>
      </c>
      <c r="T42" s="112">
        <v>41</v>
      </c>
      <c r="U42" s="112" t="s">
        <v>38</v>
      </c>
      <c r="V42" s="112">
        <v>20.483860015869141</v>
      </c>
      <c r="W42" s="112">
        <v>3504871.75</v>
      </c>
      <c r="X42" s="112">
        <v>6.5446721309228355</v>
      </c>
      <c r="AA42" s="164">
        <v>37</v>
      </c>
      <c r="AB42" s="112" t="s">
        <v>37</v>
      </c>
      <c r="AC42" s="112">
        <v>25.1739</v>
      </c>
      <c r="AD42" s="165">
        <v>5745340</v>
      </c>
      <c r="AE42" s="166">
        <v>6.7593157346352033</v>
      </c>
      <c r="AF42" s="112" t="b">
        <v>1</v>
      </c>
      <c r="AG42" s="112">
        <v>32.535297393798828</v>
      </c>
      <c r="AH42" s="112">
        <v>818.409912109375</v>
      </c>
      <c r="AI42" s="112">
        <v>2.9129708806605272</v>
      </c>
      <c r="AJ42" s="166" t="b">
        <v>1</v>
      </c>
      <c r="AK42" s="119">
        <v>8</v>
      </c>
      <c r="AM42">
        <v>42</v>
      </c>
      <c r="AN42" t="s">
        <v>37</v>
      </c>
      <c r="AO42">
        <v>21.8706</v>
      </c>
      <c r="AP42">
        <v>60876200</v>
      </c>
      <c r="AQ42">
        <v>7.7844475351794333</v>
      </c>
      <c r="AR42" t="b">
        <v>1</v>
      </c>
      <c r="AS42">
        <v>22.198247909545898</v>
      </c>
      <c r="AT42">
        <v>1066697.5</v>
      </c>
      <c r="AU42">
        <v>6.0280412772436724</v>
      </c>
      <c r="AV42" t="b">
        <v>1</v>
      </c>
      <c r="AW42">
        <v>24</v>
      </c>
      <c r="AY42">
        <v>59</v>
      </c>
      <c r="AZ42" t="s">
        <v>37</v>
      </c>
      <c r="BA42">
        <v>25.5854</v>
      </c>
      <c r="BB42">
        <v>4281580</v>
      </c>
      <c r="BC42">
        <v>6.6316040630918813</v>
      </c>
      <c r="BD42" t="b">
        <v>1</v>
      </c>
      <c r="BE42">
        <v>25.506355285644531</v>
      </c>
      <c r="BF42">
        <v>107434.296875</v>
      </c>
      <c r="BG42">
        <v>5.0311429458496288</v>
      </c>
      <c r="BH42" t="b">
        <v>1</v>
      </c>
      <c r="BI42">
        <v>18</v>
      </c>
      <c r="BL42" s="304">
        <v>7</v>
      </c>
      <c r="BM42" s="114">
        <v>7.4238780086447802</v>
      </c>
      <c r="BO42" t="s">
        <v>18</v>
      </c>
      <c r="BP42" t="s">
        <v>18</v>
      </c>
      <c r="BQ42" t="s">
        <v>18</v>
      </c>
      <c r="BR42" t="s">
        <v>18</v>
      </c>
      <c r="BS42" t="s">
        <v>18</v>
      </c>
      <c r="BT42" t="s">
        <v>18</v>
      </c>
      <c r="BU42" t="s">
        <v>18</v>
      </c>
      <c r="BV42" t="s">
        <v>18</v>
      </c>
      <c r="BY42" s="112"/>
      <c r="BZ42" s="164"/>
      <c r="CA42" s="164"/>
      <c r="CB42" s="164"/>
      <c r="CC42" s="164" t="s">
        <v>152</v>
      </c>
      <c r="CD42" s="164" t="s">
        <v>153</v>
      </c>
      <c r="CE42" s="164"/>
      <c r="CF42" s="164"/>
      <c r="CG42" s="164"/>
      <c r="CH42" s="164"/>
      <c r="CI42" s="164"/>
    </row>
    <row r="43" spans="3:87" x14ac:dyDescent="0.25">
      <c r="C43">
        <v>38</v>
      </c>
      <c r="D43" t="s">
        <v>37</v>
      </c>
      <c r="E43">
        <v>28.4803</v>
      </c>
      <c r="F43" s="111">
        <v>541000</v>
      </c>
      <c r="G43" s="109">
        <v>5.7331972651065692</v>
      </c>
      <c r="H43" t="b">
        <v>1</v>
      </c>
      <c r="I43">
        <v>28.847843170166016</v>
      </c>
      <c r="J43">
        <v>10572.6875</v>
      </c>
      <c r="K43">
        <v>4.0241853958282352</v>
      </c>
      <c r="L43" s="109" t="b">
        <v>1</v>
      </c>
      <c r="M43" s="109">
        <v>17</v>
      </c>
      <c r="T43" s="114">
        <v>51</v>
      </c>
      <c r="U43" s="114" t="s">
        <v>38</v>
      </c>
      <c r="V43" s="114">
        <v>27.669248580932617</v>
      </c>
      <c r="W43" s="114">
        <v>23952.724609375</v>
      </c>
      <c r="X43" s="112">
        <v>4.3793549213211653</v>
      </c>
      <c r="AA43" s="161">
        <v>38</v>
      </c>
      <c r="AB43" s="114" t="s">
        <v>37</v>
      </c>
      <c r="AC43" s="114">
        <v>28.4803</v>
      </c>
      <c r="AD43" s="167">
        <v>541000</v>
      </c>
      <c r="AE43" s="162">
        <v>5.7331972651065692</v>
      </c>
      <c r="AF43" s="114" t="b">
        <v>1</v>
      </c>
      <c r="AG43" s="114">
        <v>28.847843170166016</v>
      </c>
      <c r="AH43" s="114">
        <v>10572.6875</v>
      </c>
      <c r="AI43" s="114">
        <v>4.0241853958282352</v>
      </c>
      <c r="AJ43" s="162" t="b">
        <v>1</v>
      </c>
      <c r="AK43" s="163">
        <v>17</v>
      </c>
      <c r="AM43">
        <v>43</v>
      </c>
      <c r="AN43" t="s">
        <v>37</v>
      </c>
      <c r="AO43">
        <v>21.125399999999999</v>
      </c>
      <c r="AP43">
        <v>103689000</v>
      </c>
      <c r="AQ43">
        <v>8.0157326860641405</v>
      </c>
      <c r="AR43" t="b">
        <v>1</v>
      </c>
      <c r="AS43">
        <v>21.949474334716797</v>
      </c>
      <c r="AT43">
        <v>1267678.625</v>
      </c>
      <c r="AU43">
        <v>6.1030091675210159</v>
      </c>
      <c r="AV43" t="b">
        <v>1</v>
      </c>
      <c r="AW43">
        <v>25</v>
      </c>
      <c r="AY43">
        <v>85</v>
      </c>
      <c r="AZ43" t="s">
        <v>37</v>
      </c>
      <c r="BA43">
        <v>32.026899999999998</v>
      </c>
      <c r="BB43">
        <v>42908.3</v>
      </c>
      <c r="BC43">
        <v>4.6325413083978653</v>
      </c>
      <c r="BD43" t="b">
        <v>1</v>
      </c>
      <c r="BE43">
        <v>32.180202484130859</v>
      </c>
      <c r="BF43">
        <v>1047.077392578125</v>
      </c>
      <c r="BG43">
        <v>3.0199787828511813</v>
      </c>
      <c r="BH43" t="b">
        <v>1</v>
      </c>
      <c r="BI43">
        <v>18</v>
      </c>
      <c r="BL43" s="303">
        <v>8</v>
      </c>
      <c r="BM43" s="112">
        <v>6.7593157346352033</v>
      </c>
      <c r="BO43" t="s">
        <v>18</v>
      </c>
      <c r="BP43" t="s">
        <v>18</v>
      </c>
      <c r="BQ43" t="s">
        <v>18</v>
      </c>
      <c r="BR43" t="s">
        <v>18</v>
      </c>
      <c r="BS43" t="s">
        <v>18</v>
      </c>
      <c r="BT43" t="s">
        <v>18</v>
      </c>
      <c r="BU43" t="s">
        <v>18</v>
      </c>
      <c r="BV43" t="s">
        <v>18</v>
      </c>
      <c r="BY43" s="112"/>
      <c r="BZ43" s="164"/>
      <c r="CA43" s="164"/>
      <c r="CB43" s="164"/>
      <c r="CC43" s="164" t="s">
        <v>154</v>
      </c>
      <c r="CD43" s="164" t="s">
        <v>155</v>
      </c>
      <c r="CE43" s="164"/>
      <c r="CF43" s="164"/>
      <c r="CG43" s="164"/>
      <c r="CH43" s="164"/>
      <c r="CI43" s="164"/>
    </row>
    <row r="44" spans="3:87" x14ac:dyDescent="0.25">
      <c r="C44">
        <v>39</v>
      </c>
      <c r="D44" t="s">
        <v>37</v>
      </c>
      <c r="E44">
        <v>33.0976</v>
      </c>
      <c r="F44" s="111">
        <v>19964.599999999999</v>
      </c>
      <c r="G44" s="109">
        <v>4.300260613326599</v>
      </c>
      <c r="H44" t="b">
        <v>1</v>
      </c>
      <c r="I44">
        <v>37.022140502929688</v>
      </c>
      <c r="J44">
        <v>36.379817962646484</v>
      </c>
      <c r="K44">
        <v>1.5608605216099296</v>
      </c>
      <c r="L44" s="109" t="b">
        <v>0</v>
      </c>
      <c r="M44" s="109">
        <v>28</v>
      </c>
      <c r="T44" s="112">
        <v>42</v>
      </c>
      <c r="U44" s="112" t="s">
        <v>38</v>
      </c>
      <c r="V44" s="112">
        <v>22.198247909545898</v>
      </c>
      <c r="W44" s="112">
        <v>1066697.5</v>
      </c>
      <c r="X44" s="112">
        <v>6.0280412772436724</v>
      </c>
      <c r="AA44" s="164">
        <v>39</v>
      </c>
      <c r="AB44" s="112" t="s">
        <v>37</v>
      </c>
      <c r="AC44" s="112">
        <v>33.0976</v>
      </c>
      <c r="AD44" s="165">
        <v>19964.599999999999</v>
      </c>
      <c r="AE44" s="166">
        <v>4.300260613326599</v>
      </c>
      <c r="AF44" s="112" t="b">
        <v>1</v>
      </c>
      <c r="AG44" s="112">
        <v>37.022140502929688</v>
      </c>
      <c r="AH44" s="112">
        <v>36.379817962646484</v>
      </c>
      <c r="AI44" s="112">
        <v>1.5608605216099296</v>
      </c>
      <c r="AJ44" s="166" t="b">
        <v>0</v>
      </c>
      <c r="AK44" s="119">
        <v>28</v>
      </c>
      <c r="AM44">
        <v>44</v>
      </c>
      <c r="AN44" t="s">
        <v>37</v>
      </c>
      <c r="AO44">
        <v>20.6296</v>
      </c>
      <c r="AP44">
        <v>147774000</v>
      </c>
      <c r="AQ44">
        <v>8.1695980291208983</v>
      </c>
      <c r="AR44" t="b">
        <v>1</v>
      </c>
      <c r="AS44">
        <v>22.969482421875</v>
      </c>
      <c r="AT44">
        <v>624639.875</v>
      </c>
      <c r="AU44">
        <v>5.7956297047416143</v>
      </c>
      <c r="AV44" t="b">
        <v>1</v>
      </c>
      <c r="AW44">
        <v>22</v>
      </c>
      <c r="AY44">
        <v>98</v>
      </c>
      <c r="AZ44" t="s">
        <v>37</v>
      </c>
      <c r="BA44">
        <v>20.584700000000002</v>
      </c>
      <c r="BB44">
        <v>152589000</v>
      </c>
      <c r="BC44">
        <v>8.1835232268594247</v>
      </c>
      <c r="BD44" t="b">
        <v>1</v>
      </c>
      <c r="BE44">
        <v>19.919721603393555</v>
      </c>
      <c r="BF44">
        <v>5184122.5</v>
      </c>
      <c r="BG44">
        <v>6.7146752552941464</v>
      </c>
      <c r="BH44" t="b">
        <v>1</v>
      </c>
      <c r="BI44">
        <v>18</v>
      </c>
      <c r="BL44" s="304">
        <v>9</v>
      </c>
      <c r="BM44" s="114">
        <v>5.5717065031457054</v>
      </c>
      <c r="BO44" t="s">
        <v>18</v>
      </c>
      <c r="BP44" t="s">
        <v>18</v>
      </c>
      <c r="BQ44" t="s">
        <v>18</v>
      </c>
      <c r="BR44" t="s">
        <v>18</v>
      </c>
      <c r="BS44" t="s">
        <v>18</v>
      </c>
      <c r="BT44" t="s">
        <v>18</v>
      </c>
      <c r="BU44" t="s">
        <v>18</v>
      </c>
      <c r="BV44" t="s">
        <v>18</v>
      </c>
      <c r="BY44" s="112"/>
      <c r="BZ44" s="164"/>
      <c r="CA44" s="164"/>
      <c r="CB44" s="164"/>
      <c r="CC44" s="164"/>
      <c r="CD44" s="164"/>
      <c r="CE44" s="164"/>
      <c r="CF44" s="164"/>
      <c r="CG44" s="164"/>
      <c r="CH44" s="164"/>
      <c r="CI44" s="164"/>
    </row>
    <row r="45" spans="3:87" x14ac:dyDescent="0.25">
      <c r="C45">
        <v>40</v>
      </c>
      <c r="D45" t="s">
        <v>37</v>
      </c>
      <c r="E45">
        <v>24.564699999999998</v>
      </c>
      <c r="F45" s="111">
        <v>8879020</v>
      </c>
      <c r="G45" s="109">
        <v>6.9483650342381562</v>
      </c>
      <c r="H45" t="b">
        <v>1</v>
      </c>
      <c r="I45">
        <v>26.152759552001953</v>
      </c>
      <c r="J45">
        <v>68603.9296875</v>
      </c>
      <c r="K45">
        <v>4.8363489931516064</v>
      </c>
      <c r="L45" s="109" t="b">
        <v>1</v>
      </c>
      <c r="M45" s="109">
        <v>36</v>
      </c>
      <c r="T45" s="114">
        <v>43</v>
      </c>
      <c r="U45" s="114" t="s">
        <v>38</v>
      </c>
      <c r="V45" s="114">
        <v>21.949474334716797</v>
      </c>
      <c r="W45" s="114">
        <v>1267678.625</v>
      </c>
      <c r="X45" s="112">
        <v>6.1030091675210159</v>
      </c>
      <c r="AA45" s="161">
        <v>40</v>
      </c>
      <c r="AB45" s="114" t="s">
        <v>37</v>
      </c>
      <c r="AC45" s="114">
        <v>24.564699999999998</v>
      </c>
      <c r="AD45" s="167">
        <v>8879020</v>
      </c>
      <c r="AE45" s="162">
        <v>6.9483650342381562</v>
      </c>
      <c r="AF45" s="114" t="b">
        <v>1</v>
      </c>
      <c r="AG45" s="114">
        <v>26.152759552001953</v>
      </c>
      <c r="AH45" s="114">
        <v>68603.9296875</v>
      </c>
      <c r="AI45" s="114">
        <v>4.8363489931516064</v>
      </c>
      <c r="AJ45" s="162" t="b">
        <v>1</v>
      </c>
      <c r="AK45" s="163">
        <v>36</v>
      </c>
      <c r="AM45">
        <v>45</v>
      </c>
      <c r="AN45" t="s">
        <v>37</v>
      </c>
      <c r="AO45">
        <v>22.549099999999999</v>
      </c>
      <c r="AP45">
        <v>37488100</v>
      </c>
      <c r="AQ45">
        <v>7.5738934297406777</v>
      </c>
      <c r="AR45" t="b">
        <v>1</v>
      </c>
      <c r="AS45">
        <v>24.138019561767578</v>
      </c>
      <c r="AT45">
        <v>277645.71875</v>
      </c>
      <c r="AU45">
        <v>5.4434909811127961</v>
      </c>
      <c r="AV45" t="b">
        <v>1</v>
      </c>
      <c r="AW45">
        <v>14</v>
      </c>
      <c r="AY45">
        <v>119</v>
      </c>
      <c r="AZ45" t="s">
        <v>37</v>
      </c>
      <c r="BA45">
        <v>29.309100000000001</v>
      </c>
      <c r="BB45">
        <v>262802</v>
      </c>
      <c r="BC45">
        <v>5.4196286660082098</v>
      </c>
      <c r="BD45" t="b">
        <v>1</v>
      </c>
      <c r="BE45">
        <v>32.747020721435547</v>
      </c>
      <c r="BF45">
        <v>706.5909423828125</v>
      </c>
      <c r="BG45">
        <v>2.8491680660193248</v>
      </c>
      <c r="BH45" t="b">
        <v>1</v>
      </c>
      <c r="BI45">
        <v>18</v>
      </c>
      <c r="BL45" s="303">
        <v>10</v>
      </c>
      <c r="BM45" s="112">
        <v>6.8419166868763872</v>
      </c>
      <c r="BO45" t="s">
        <v>18</v>
      </c>
      <c r="BP45" t="s">
        <v>18</v>
      </c>
      <c r="BQ45" t="s">
        <v>18</v>
      </c>
      <c r="BR45" t="s">
        <v>18</v>
      </c>
      <c r="BS45" t="s">
        <v>18</v>
      </c>
      <c r="BT45" t="s">
        <v>18</v>
      </c>
      <c r="BU45" t="s">
        <v>18</v>
      </c>
      <c r="BV45" t="s">
        <v>18</v>
      </c>
      <c r="BY45" s="112"/>
      <c r="BZ45" s="164"/>
      <c r="CA45" s="164"/>
      <c r="CB45" s="164"/>
      <c r="CC45" s="164"/>
      <c r="CD45" s="164"/>
      <c r="CE45" s="164"/>
      <c r="CF45" s="164"/>
      <c r="CG45" s="164"/>
      <c r="CH45" s="164"/>
      <c r="CI45" s="164"/>
    </row>
    <row r="46" spans="3:87" x14ac:dyDescent="0.25">
      <c r="C46">
        <v>41</v>
      </c>
      <c r="D46" t="s">
        <v>37</v>
      </c>
      <c r="E46">
        <v>22.200500000000002</v>
      </c>
      <c r="F46" s="111">
        <v>48093000</v>
      </c>
      <c r="G46" s="109">
        <v>7.6820818688352643</v>
      </c>
      <c r="H46" t="b">
        <v>1</v>
      </c>
      <c r="I46">
        <v>20.483860015869141</v>
      </c>
      <c r="J46">
        <v>3504871.75</v>
      </c>
      <c r="K46">
        <v>6.5446721309228355</v>
      </c>
      <c r="L46" s="109" t="b">
        <v>1</v>
      </c>
      <c r="M46" s="109">
        <v>21</v>
      </c>
      <c r="T46" s="112">
        <v>44</v>
      </c>
      <c r="U46" s="112" t="s">
        <v>38</v>
      </c>
      <c r="V46" s="112">
        <v>22.969482421875</v>
      </c>
      <c r="W46" s="112">
        <v>624639.875</v>
      </c>
      <c r="X46" s="112">
        <v>5.7956297047416143</v>
      </c>
      <c r="AA46" s="164">
        <v>41</v>
      </c>
      <c r="AB46" s="112" t="s">
        <v>37</v>
      </c>
      <c r="AC46" s="112">
        <v>22.200500000000002</v>
      </c>
      <c r="AD46" s="165">
        <v>48093000</v>
      </c>
      <c r="AE46" s="166">
        <v>7.6820818688352643</v>
      </c>
      <c r="AF46" s="112" t="b">
        <v>1</v>
      </c>
      <c r="AG46" s="112">
        <v>20.483860015869141</v>
      </c>
      <c r="AH46" s="112">
        <v>3504871.75</v>
      </c>
      <c r="AI46" s="112">
        <v>6.5446721309228355</v>
      </c>
      <c r="AJ46" s="166" t="b">
        <v>1</v>
      </c>
      <c r="AK46" s="119">
        <v>21</v>
      </c>
      <c r="AM46">
        <v>46</v>
      </c>
      <c r="AN46" t="s">
        <v>37</v>
      </c>
      <c r="AO46">
        <v>25.296099999999999</v>
      </c>
      <c r="AP46">
        <v>5264780</v>
      </c>
      <c r="AQ46">
        <v>6.7213802279845138</v>
      </c>
      <c r="AR46" t="b">
        <v>1</v>
      </c>
      <c r="AS46">
        <v>24.901651382446289</v>
      </c>
      <c r="AT46">
        <v>163444.5625</v>
      </c>
      <c r="AU46">
        <v>5.2133704769780218</v>
      </c>
      <c r="AV46" t="b">
        <v>1</v>
      </c>
      <c r="AW46">
        <v>15</v>
      </c>
      <c r="AY46">
        <v>19</v>
      </c>
      <c r="AZ46" t="s">
        <v>37</v>
      </c>
      <c r="BA46">
        <v>21.857600000000001</v>
      </c>
      <c r="BB46">
        <v>61444200</v>
      </c>
      <c r="BC46">
        <v>7.7884808941081207</v>
      </c>
      <c r="BD46" t="b">
        <v>1</v>
      </c>
      <c r="BE46">
        <v>21.21107292175293</v>
      </c>
      <c r="BF46">
        <v>2116052.75</v>
      </c>
      <c r="BG46">
        <v>6.3255264898037789</v>
      </c>
      <c r="BH46" t="b">
        <v>1</v>
      </c>
      <c r="BI46">
        <v>21</v>
      </c>
      <c r="BL46" s="304">
        <v>10</v>
      </c>
      <c r="BM46" s="114">
        <v>8.219568809603631</v>
      </c>
      <c r="BO46" t="s">
        <v>18</v>
      </c>
      <c r="BP46" t="s">
        <v>18</v>
      </c>
      <c r="BQ46" t="s">
        <v>18</v>
      </c>
      <c r="BR46" t="s">
        <v>18</v>
      </c>
      <c r="BS46" t="s">
        <v>18</v>
      </c>
      <c r="BT46" t="s">
        <v>18</v>
      </c>
      <c r="BU46" t="s">
        <v>18</v>
      </c>
      <c r="BV46" t="s">
        <v>18</v>
      </c>
      <c r="BY46" s="112"/>
      <c r="BZ46" s="164"/>
      <c r="CA46" s="164"/>
      <c r="CB46" s="164"/>
      <c r="CC46" s="164"/>
      <c r="CD46" s="164"/>
      <c r="CE46" s="164"/>
      <c r="CF46" s="164"/>
      <c r="CG46" s="164"/>
      <c r="CH46" s="164"/>
      <c r="CI46" s="164"/>
    </row>
    <row r="47" spans="3:87" x14ac:dyDescent="0.25">
      <c r="C47">
        <v>42</v>
      </c>
      <c r="D47" t="s">
        <v>37</v>
      </c>
      <c r="E47">
        <v>21.8706</v>
      </c>
      <c r="F47" s="111">
        <v>60876200</v>
      </c>
      <c r="G47" s="109">
        <v>7.7844475351794333</v>
      </c>
      <c r="H47" t="b">
        <v>1</v>
      </c>
      <c r="I47">
        <v>22.198247909545898</v>
      </c>
      <c r="J47">
        <v>1066697.5</v>
      </c>
      <c r="K47">
        <v>6.0280412772436724</v>
      </c>
      <c r="L47" s="109" t="b">
        <v>1</v>
      </c>
      <c r="M47" s="109">
        <v>24</v>
      </c>
      <c r="T47" s="114">
        <v>45</v>
      </c>
      <c r="U47" s="114" t="s">
        <v>38</v>
      </c>
      <c r="V47" s="114">
        <v>24.138019561767578</v>
      </c>
      <c r="W47" s="114">
        <v>277645.71875</v>
      </c>
      <c r="X47" s="112">
        <v>5.4434909811127961</v>
      </c>
      <c r="AA47" s="161">
        <v>42</v>
      </c>
      <c r="AB47" s="114" t="s">
        <v>37</v>
      </c>
      <c r="AC47" s="114">
        <v>21.8706</v>
      </c>
      <c r="AD47" s="167">
        <v>60876200</v>
      </c>
      <c r="AE47" s="162">
        <v>7.7844475351794333</v>
      </c>
      <c r="AF47" s="114" t="b">
        <v>1</v>
      </c>
      <c r="AG47" s="114">
        <v>22.198247909545898</v>
      </c>
      <c r="AH47" s="114">
        <v>1066697.5</v>
      </c>
      <c r="AI47" s="114">
        <v>6.0280412772436724</v>
      </c>
      <c r="AJ47" s="162" t="b">
        <v>1</v>
      </c>
      <c r="AK47" s="163">
        <v>24</v>
      </c>
      <c r="AM47">
        <v>47</v>
      </c>
      <c r="AN47" t="s">
        <v>37</v>
      </c>
      <c r="AO47">
        <v>29.2193</v>
      </c>
      <c r="AP47">
        <v>319049</v>
      </c>
      <c r="AQ47">
        <v>5.5038573877449251</v>
      </c>
      <c r="AR47" t="b">
        <v>1</v>
      </c>
      <c r="AS47">
        <v>28.978496551513672</v>
      </c>
      <c r="AT47">
        <v>9656.349609375</v>
      </c>
      <c r="AU47">
        <v>3.984812981061308</v>
      </c>
      <c r="AV47" t="b">
        <v>1</v>
      </c>
      <c r="AW47">
        <v>28</v>
      </c>
      <c r="AY47">
        <v>31</v>
      </c>
      <c r="AZ47" t="s">
        <v>37</v>
      </c>
      <c r="BA47">
        <v>22.622599999999998</v>
      </c>
      <c r="BB47">
        <v>35570800</v>
      </c>
      <c r="BC47">
        <v>7.5510936327336724</v>
      </c>
      <c r="BD47" t="b">
        <v>1</v>
      </c>
      <c r="BE47">
        <v>21.233577728271484</v>
      </c>
      <c r="BF47">
        <v>2083265.625</v>
      </c>
      <c r="BG47">
        <v>6.3187446478243841</v>
      </c>
      <c r="BH47" t="b">
        <v>1</v>
      </c>
      <c r="BI47">
        <v>21</v>
      </c>
      <c r="BL47" s="303">
        <v>11</v>
      </c>
      <c r="BM47" s="112">
        <v>6.9808266134473271</v>
      </c>
      <c r="BO47" t="s">
        <v>18</v>
      </c>
      <c r="BP47" t="s">
        <v>18</v>
      </c>
      <c r="BQ47" t="s">
        <v>18</v>
      </c>
      <c r="BR47" t="s">
        <v>18</v>
      </c>
      <c r="BS47" t="s">
        <v>18</v>
      </c>
      <c r="BT47" t="s">
        <v>18</v>
      </c>
      <c r="BU47" t="s">
        <v>18</v>
      </c>
      <c r="BV47" t="s">
        <v>18</v>
      </c>
      <c r="BY47" s="112"/>
      <c r="BZ47" s="164"/>
      <c r="CA47" s="164"/>
      <c r="CB47" s="164"/>
      <c r="CC47" s="164"/>
      <c r="CD47" s="164"/>
      <c r="CE47" s="164"/>
      <c r="CF47" s="164"/>
      <c r="CG47" s="164"/>
      <c r="CH47" s="164"/>
      <c r="CI47" s="164"/>
    </row>
    <row r="48" spans="3:87" x14ac:dyDescent="0.25">
      <c r="C48">
        <v>43</v>
      </c>
      <c r="D48" t="s">
        <v>37</v>
      </c>
      <c r="E48">
        <v>21.125399999999999</v>
      </c>
      <c r="F48" s="111">
        <v>103689000</v>
      </c>
      <c r="G48" s="109">
        <v>8.0157326860641405</v>
      </c>
      <c r="H48" t="b">
        <v>1</v>
      </c>
      <c r="I48">
        <v>21.949474334716797</v>
      </c>
      <c r="J48">
        <v>1267678.625</v>
      </c>
      <c r="K48">
        <v>6.1030091675210159</v>
      </c>
      <c r="L48" s="109" t="b">
        <v>1</v>
      </c>
      <c r="M48" s="109">
        <v>25</v>
      </c>
      <c r="T48" s="112">
        <v>46</v>
      </c>
      <c r="U48" s="112" t="s">
        <v>38</v>
      </c>
      <c r="V48" s="112">
        <v>24.901651382446289</v>
      </c>
      <c r="W48" s="112">
        <v>163444.5625</v>
      </c>
      <c r="X48" s="112">
        <v>5.2133704769780218</v>
      </c>
      <c r="AA48" s="164">
        <v>43</v>
      </c>
      <c r="AB48" s="112" t="s">
        <v>37</v>
      </c>
      <c r="AC48" s="112">
        <v>21.125399999999999</v>
      </c>
      <c r="AD48" s="165">
        <v>103689000</v>
      </c>
      <c r="AE48" s="166">
        <v>8.0157326860641405</v>
      </c>
      <c r="AF48" s="112" t="b">
        <v>1</v>
      </c>
      <c r="AG48" s="112">
        <v>21.949474334716797</v>
      </c>
      <c r="AH48" s="112">
        <v>1267678.625</v>
      </c>
      <c r="AI48" s="112">
        <v>6.1030091675210159</v>
      </c>
      <c r="AJ48" s="166" t="b">
        <v>1</v>
      </c>
      <c r="AK48" s="119">
        <v>25</v>
      </c>
      <c r="AM48">
        <v>48</v>
      </c>
      <c r="AN48" t="s">
        <v>37</v>
      </c>
      <c r="AO48">
        <v>26.106000000000002</v>
      </c>
      <c r="AP48">
        <v>2951410</v>
      </c>
      <c r="AQ48">
        <v>6.4700295444268336</v>
      </c>
      <c r="AR48" t="b">
        <v>1</v>
      </c>
      <c r="AS48">
        <v>27.955131530761719</v>
      </c>
      <c r="AT48">
        <v>19642.83203125</v>
      </c>
      <c r="AU48">
        <v>4.2932041029456558</v>
      </c>
      <c r="AV48" t="b">
        <v>1</v>
      </c>
      <c r="AW48">
        <v>11</v>
      </c>
      <c r="AY48">
        <v>41</v>
      </c>
      <c r="AZ48" t="s">
        <v>37</v>
      </c>
      <c r="BA48">
        <v>22.200500000000002</v>
      </c>
      <c r="BB48">
        <v>48093000</v>
      </c>
      <c r="BC48">
        <v>7.6820818688352643</v>
      </c>
      <c r="BD48" t="b">
        <v>1</v>
      </c>
      <c r="BE48">
        <v>20.483860015869141</v>
      </c>
      <c r="BF48">
        <v>3504871.75</v>
      </c>
      <c r="BG48">
        <v>6.5446721309228355</v>
      </c>
      <c r="BH48" t="b">
        <v>1</v>
      </c>
      <c r="BI48">
        <v>21</v>
      </c>
      <c r="BL48" s="304">
        <v>11</v>
      </c>
      <c r="BM48" s="114">
        <v>6.4700295444268336</v>
      </c>
      <c r="BO48" t="s">
        <v>18</v>
      </c>
      <c r="BP48" t="s">
        <v>18</v>
      </c>
      <c r="BQ48" t="s">
        <v>18</v>
      </c>
      <c r="BR48" t="s">
        <v>18</v>
      </c>
      <c r="BS48" t="s">
        <v>18</v>
      </c>
      <c r="BT48" t="s">
        <v>18</v>
      </c>
      <c r="BU48" t="s">
        <v>18</v>
      </c>
      <c r="BV48" t="s">
        <v>18</v>
      </c>
      <c r="BY48" s="112"/>
      <c r="BZ48" s="164"/>
      <c r="CA48" s="164"/>
      <c r="CB48" s="164"/>
      <c r="CC48" s="164"/>
      <c r="CD48" s="164"/>
      <c r="CE48" s="164"/>
      <c r="CF48" s="164"/>
      <c r="CG48" s="164"/>
      <c r="CH48" s="164"/>
      <c r="CI48" s="164"/>
    </row>
    <row r="49" spans="3:87" x14ac:dyDescent="0.25">
      <c r="C49">
        <v>44</v>
      </c>
      <c r="D49" t="s">
        <v>37</v>
      </c>
      <c r="E49">
        <v>20.6296</v>
      </c>
      <c r="F49" s="111">
        <v>147774000</v>
      </c>
      <c r="G49" s="109">
        <v>8.1695980291208983</v>
      </c>
      <c r="H49" t="b">
        <v>1</v>
      </c>
      <c r="I49">
        <v>22.969482421875</v>
      </c>
      <c r="J49">
        <v>624639.875</v>
      </c>
      <c r="K49">
        <v>5.7956297047416143</v>
      </c>
      <c r="L49" s="109" t="b">
        <v>1</v>
      </c>
      <c r="M49" s="109">
        <v>22</v>
      </c>
      <c r="T49" s="114">
        <v>47</v>
      </c>
      <c r="U49" s="114" t="s">
        <v>38</v>
      </c>
      <c r="V49" s="114">
        <v>28.978496551513672</v>
      </c>
      <c r="W49" s="114">
        <v>9656.349609375</v>
      </c>
      <c r="X49" s="112">
        <v>3.984812981061308</v>
      </c>
      <c r="AA49" s="161">
        <v>44</v>
      </c>
      <c r="AB49" s="114" t="s">
        <v>37</v>
      </c>
      <c r="AC49" s="114">
        <v>20.6296</v>
      </c>
      <c r="AD49" s="167">
        <v>147774000</v>
      </c>
      <c r="AE49" s="162">
        <v>8.1695980291208983</v>
      </c>
      <c r="AF49" s="114" t="b">
        <v>1</v>
      </c>
      <c r="AG49" s="114">
        <v>22.969482421875</v>
      </c>
      <c r="AH49" s="114">
        <v>624639.875</v>
      </c>
      <c r="AI49" s="114">
        <v>5.7956297047416143</v>
      </c>
      <c r="AJ49" s="162" t="b">
        <v>1</v>
      </c>
      <c r="AK49" s="163">
        <v>22</v>
      </c>
      <c r="AM49">
        <v>49</v>
      </c>
      <c r="AN49" t="s">
        <v>37</v>
      </c>
      <c r="AO49">
        <v>21.237300000000001</v>
      </c>
      <c r="AP49">
        <v>95715700</v>
      </c>
      <c r="AQ49">
        <v>7.9809831798262802</v>
      </c>
      <c r="AR49" t="b">
        <v>1</v>
      </c>
      <c r="AS49">
        <v>22.037452697753906</v>
      </c>
      <c r="AT49">
        <v>1192605.75</v>
      </c>
      <c r="AU49">
        <v>6.0764968989114907</v>
      </c>
      <c r="AV49" t="b">
        <v>1</v>
      </c>
      <c r="AW49">
        <v>32</v>
      </c>
      <c r="AY49">
        <v>84</v>
      </c>
      <c r="AZ49" t="s">
        <v>37</v>
      </c>
      <c r="BA49">
        <v>30.251899999999999</v>
      </c>
      <c r="BB49">
        <v>152538</v>
      </c>
      <c r="BC49">
        <v>5.1833780478435827</v>
      </c>
      <c r="BD49" t="b">
        <v>1</v>
      </c>
      <c r="BE49">
        <v>28.982738494873047</v>
      </c>
      <c r="BF49">
        <v>9627.96875</v>
      </c>
      <c r="BG49">
        <v>3.983534671993044</v>
      </c>
      <c r="BH49" t="b">
        <v>1</v>
      </c>
      <c r="BI49">
        <v>21</v>
      </c>
      <c r="BL49" s="303">
        <v>11</v>
      </c>
      <c r="BM49" s="112">
        <v>7.279466173307906</v>
      </c>
      <c r="BO49" t="s">
        <v>18</v>
      </c>
      <c r="BP49" t="s">
        <v>18</v>
      </c>
      <c r="BQ49" t="s">
        <v>18</v>
      </c>
      <c r="BR49" t="s">
        <v>18</v>
      </c>
      <c r="BS49" t="s">
        <v>18</v>
      </c>
      <c r="BT49" t="s">
        <v>18</v>
      </c>
      <c r="BU49" t="s">
        <v>18</v>
      </c>
      <c r="BV49" t="s">
        <v>18</v>
      </c>
      <c r="BY49" s="112"/>
      <c r="BZ49" s="164"/>
      <c r="CA49" s="164"/>
      <c r="CB49" s="164"/>
      <c r="CC49" s="164"/>
      <c r="CD49" s="164"/>
      <c r="CE49" s="164"/>
      <c r="CF49" s="164"/>
      <c r="CG49" s="164"/>
      <c r="CH49" s="164"/>
      <c r="CI49" s="164"/>
    </row>
    <row r="50" spans="3:87" x14ac:dyDescent="0.25">
      <c r="C50">
        <v>45</v>
      </c>
      <c r="D50" t="s">
        <v>37</v>
      </c>
      <c r="E50">
        <v>22.549099999999999</v>
      </c>
      <c r="F50" s="111">
        <v>37488100</v>
      </c>
      <c r="G50" s="109">
        <v>7.5738934297406777</v>
      </c>
      <c r="H50" t="b">
        <v>1</v>
      </c>
      <c r="I50">
        <v>24.138019561767578</v>
      </c>
      <c r="J50">
        <v>277645.71875</v>
      </c>
      <c r="K50">
        <v>5.4434909811127961</v>
      </c>
      <c r="L50" s="109" t="b">
        <v>1</v>
      </c>
      <c r="M50" s="109">
        <v>14</v>
      </c>
      <c r="T50" s="112">
        <v>48</v>
      </c>
      <c r="U50" s="112" t="s">
        <v>38</v>
      </c>
      <c r="V50" s="112">
        <v>27.955131530761719</v>
      </c>
      <c r="W50" s="112">
        <v>19642.83203125</v>
      </c>
      <c r="X50" s="112">
        <v>4.2932041029456558</v>
      </c>
      <c r="AA50" s="164">
        <v>45</v>
      </c>
      <c r="AB50" s="112" t="s">
        <v>37</v>
      </c>
      <c r="AC50" s="112">
        <v>22.549099999999999</v>
      </c>
      <c r="AD50" s="165">
        <v>37488100</v>
      </c>
      <c r="AE50" s="166">
        <v>7.5738934297406777</v>
      </c>
      <c r="AF50" s="112" t="b">
        <v>1</v>
      </c>
      <c r="AG50" s="112">
        <v>24.138019561767578</v>
      </c>
      <c r="AH50" s="112">
        <v>277645.71875</v>
      </c>
      <c r="AI50" s="112">
        <v>5.4434909811127961</v>
      </c>
      <c r="AJ50" s="166" t="b">
        <v>1</v>
      </c>
      <c r="AK50" s="119">
        <v>14</v>
      </c>
      <c r="AM50">
        <v>50</v>
      </c>
      <c r="AN50" t="s">
        <v>37</v>
      </c>
      <c r="AO50">
        <v>28.9773</v>
      </c>
      <c r="AP50">
        <v>379265</v>
      </c>
      <c r="AQ50">
        <v>5.5789427662244995</v>
      </c>
      <c r="AR50" t="b">
        <v>1</v>
      </c>
      <c r="AS50">
        <v>26.57733154296875</v>
      </c>
      <c r="AT50">
        <v>51098.03515625</v>
      </c>
      <c r="AU50">
        <v>4.7084042007765063</v>
      </c>
      <c r="AV50" t="b">
        <v>1</v>
      </c>
      <c r="AW50">
        <v>36</v>
      </c>
      <c r="AY50">
        <v>86</v>
      </c>
      <c r="AZ50" t="s">
        <v>37</v>
      </c>
      <c r="BA50">
        <v>38.974400000000003</v>
      </c>
      <c r="BB50">
        <v>299.52100000000002</v>
      </c>
      <c r="BC50">
        <v>2.4764272770238129</v>
      </c>
      <c r="BD50" t="b">
        <v>1</v>
      </c>
      <c r="BE50">
        <v>32.102989196777344</v>
      </c>
      <c r="BF50">
        <v>1104.7066650390625</v>
      </c>
      <c r="BG50">
        <v>3.0432469742501373</v>
      </c>
      <c r="BH50" t="b">
        <v>1</v>
      </c>
      <c r="BI50">
        <v>21</v>
      </c>
      <c r="BL50" s="304">
        <v>14</v>
      </c>
      <c r="BM50" s="114">
        <v>6.5253325128373367</v>
      </c>
      <c r="BO50" t="s">
        <v>18</v>
      </c>
      <c r="BP50" t="s">
        <v>18</v>
      </c>
      <c r="BQ50" t="s">
        <v>18</v>
      </c>
      <c r="BR50" t="s">
        <v>18</v>
      </c>
      <c r="BS50" t="s">
        <v>18</v>
      </c>
      <c r="BT50" t="s">
        <v>18</v>
      </c>
      <c r="BU50" t="s">
        <v>18</v>
      </c>
      <c r="BV50" t="s">
        <v>18</v>
      </c>
      <c r="BY50" s="112"/>
      <c r="BZ50" s="164"/>
      <c r="CA50" s="164"/>
      <c r="CB50" s="164"/>
      <c r="CC50" s="164"/>
      <c r="CD50" s="164"/>
      <c r="CE50" s="164"/>
      <c r="CF50" s="164"/>
      <c r="CG50" s="164"/>
      <c r="CH50" s="164"/>
      <c r="CI50" s="164"/>
    </row>
    <row r="51" spans="3:87" x14ac:dyDescent="0.25">
      <c r="C51">
        <v>46</v>
      </c>
      <c r="D51" t="s">
        <v>37</v>
      </c>
      <c r="E51">
        <v>25.296099999999999</v>
      </c>
      <c r="F51" s="111">
        <v>5264780</v>
      </c>
      <c r="G51" s="109">
        <v>6.7213802279845138</v>
      </c>
      <c r="H51" t="b">
        <v>1</v>
      </c>
      <c r="I51">
        <v>24.901651382446289</v>
      </c>
      <c r="J51">
        <v>163444.5625</v>
      </c>
      <c r="K51">
        <v>5.2133704769780218</v>
      </c>
      <c r="L51" s="109" t="b">
        <v>1</v>
      </c>
      <c r="M51" s="109">
        <v>15</v>
      </c>
      <c r="T51" s="114">
        <v>49</v>
      </c>
      <c r="U51" s="114" t="s">
        <v>38</v>
      </c>
      <c r="V51" s="114">
        <v>22.037452697753906</v>
      </c>
      <c r="W51" s="114">
        <v>1192605.75</v>
      </c>
      <c r="X51" s="112">
        <v>6.0764968989114907</v>
      </c>
      <c r="AA51" s="161">
        <v>46</v>
      </c>
      <c r="AB51" s="114" t="s">
        <v>37</v>
      </c>
      <c r="AC51" s="114">
        <v>25.296099999999999</v>
      </c>
      <c r="AD51" s="167">
        <v>5264780</v>
      </c>
      <c r="AE51" s="162">
        <v>6.7213802279845138</v>
      </c>
      <c r="AF51" s="114" t="b">
        <v>1</v>
      </c>
      <c r="AG51" s="114">
        <v>24.901651382446289</v>
      </c>
      <c r="AH51" s="114">
        <v>163444.5625</v>
      </c>
      <c r="AI51" s="114">
        <v>5.2133704769780218</v>
      </c>
      <c r="AJ51" s="162" t="b">
        <v>1</v>
      </c>
      <c r="AK51" s="163">
        <v>15</v>
      </c>
      <c r="AM51">
        <v>51</v>
      </c>
      <c r="AN51" t="s">
        <v>37</v>
      </c>
      <c r="AO51">
        <v>29.000599999999999</v>
      </c>
      <c r="AP51">
        <v>372998</v>
      </c>
      <c r="AQ51">
        <v>5.5717065031457054</v>
      </c>
      <c r="AR51" t="b">
        <v>1</v>
      </c>
      <c r="AS51">
        <v>27.669248580932617</v>
      </c>
      <c r="AT51">
        <v>23952.724609375</v>
      </c>
      <c r="AU51">
        <v>4.3793549213211653</v>
      </c>
      <c r="AV51" t="b">
        <v>1</v>
      </c>
      <c r="AW51">
        <v>9</v>
      </c>
      <c r="AY51">
        <v>90</v>
      </c>
      <c r="AZ51" t="s">
        <v>37</v>
      </c>
      <c r="BA51">
        <v>31.729700000000001</v>
      </c>
      <c r="BB51">
        <v>53058.6</v>
      </c>
      <c r="BC51">
        <v>4.7247557865378278</v>
      </c>
      <c r="BD51" t="b">
        <v>1</v>
      </c>
      <c r="BE51">
        <v>30.241476058959961</v>
      </c>
      <c r="BF51">
        <v>4019.888916015625</v>
      </c>
      <c r="BG51">
        <v>3.6042140521322308</v>
      </c>
      <c r="BH51" t="b">
        <v>1</v>
      </c>
      <c r="BI51">
        <v>21</v>
      </c>
      <c r="BL51" s="303">
        <v>14</v>
      </c>
      <c r="BM51" s="112">
        <v>7.6515435504116702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Y51" s="112"/>
      <c r="BZ51" s="164"/>
      <c r="CA51" s="164"/>
      <c r="CB51" s="164"/>
      <c r="CC51" s="164"/>
      <c r="CD51" s="164"/>
      <c r="CE51" s="164"/>
      <c r="CF51" s="164"/>
      <c r="CG51" s="164"/>
      <c r="CH51" s="164"/>
      <c r="CI51" s="164"/>
    </row>
    <row r="52" spans="3:87" x14ac:dyDescent="0.25">
      <c r="C52">
        <v>47</v>
      </c>
      <c r="D52" t="s">
        <v>37</v>
      </c>
      <c r="E52">
        <v>29.2193</v>
      </c>
      <c r="F52" s="111">
        <v>319049</v>
      </c>
      <c r="G52" s="109">
        <v>5.5038573877449251</v>
      </c>
      <c r="H52" t="b">
        <v>1</v>
      </c>
      <c r="I52">
        <v>28.978496551513672</v>
      </c>
      <c r="J52">
        <v>9656.349609375</v>
      </c>
      <c r="K52">
        <v>3.984812981061308</v>
      </c>
      <c r="L52" s="109" t="b">
        <v>1</v>
      </c>
      <c r="M52" s="109">
        <v>28</v>
      </c>
      <c r="T52" s="112"/>
      <c r="U52" s="112" t="s">
        <v>40</v>
      </c>
      <c r="V52" s="112">
        <v>25.590639114379883</v>
      </c>
      <c r="W52" s="112">
        <v>81283.0546875</v>
      </c>
      <c r="X52" s="112">
        <v>4.9100000164088016</v>
      </c>
      <c r="AA52" s="164">
        <v>47</v>
      </c>
      <c r="AB52" s="112" t="s">
        <v>37</v>
      </c>
      <c r="AC52" s="112">
        <v>29.2193</v>
      </c>
      <c r="AD52" s="165">
        <v>319049</v>
      </c>
      <c r="AE52" s="166">
        <v>5.5038573877449251</v>
      </c>
      <c r="AF52" s="112" t="b">
        <v>1</v>
      </c>
      <c r="AG52" s="112">
        <v>28.978496551513672</v>
      </c>
      <c r="AH52" s="112">
        <v>9656.349609375</v>
      </c>
      <c r="AI52" s="112">
        <v>3.984812981061308</v>
      </c>
      <c r="AJ52" s="166" t="b">
        <v>1</v>
      </c>
      <c r="AK52" s="119">
        <v>28</v>
      </c>
      <c r="AM52">
        <v>52</v>
      </c>
      <c r="AN52" t="s">
        <v>37</v>
      </c>
      <c r="AO52">
        <v>20.8157</v>
      </c>
      <c r="AP52">
        <v>129369000</v>
      </c>
      <c r="AQ52">
        <v>8.111830221140572</v>
      </c>
      <c r="AR52" t="b">
        <v>1</v>
      </c>
      <c r="AS52">
        <v>20.946069717407227</v>
      </c>
      <c r="AT52">
        <v>2543227.5</v>
      </c>
      <c r="AU52">
        <v>6.4053852109721783</v>
      </c>
      <c r="AV52" t="b">
        <v>1</v>
      </c>
      <c r="AW52">
        <v>16</v>
      </c>
      <c r="AY52">
        <v>109</v>
      </c>
      <c r="AZ52" t="s">
        <v>37</v>
      </c>
      <c r="BA52">
        <v>21.423999999999999</v>
      </c>
      <c r="BB52">
        <v>231328000</v>
      </c>
      <c r="BC52">
        <v>8.364228203066876</v>
      </c>
      <c r="BD52" t="b">
        <v>1</v>
      </c>
      <c r="BE52">
        <v>21.054183959960938</v>
      </c>
      <c r="BF52">
        <v>2359418.5</v>
      </c>
      <c r="BG52">
        <v>6.3728049803602218</v>
      </c>
      <c r="BH52" t="b">
        <v>1</v>
      </c>
      <c r="BI52">
        <v>21</v>
      </c>
      <c r="BL52" s="304">
        <v>14</v>
      </c>
      <c r="BM52" s="114">
        <v>7.1497947102555814</v>
      </c>
      <c r="BO52" t="s">
        <v>18</v>
      </c>
      <c r="BP52" t="s">
        <v>18</v>
      </c>
      <c r="BQ52" t="s">
        <v>18</v>
      </c>
      <c r="BR52" t="s">
        <v>18</v>
      </c>
      <c r="BS52" t="s">
        <v>18</v>
      </c>
      <c r="BT52" t="s">
        <v>18</v>
      </c>
      <c r="BU52" t="s">
        <v>18</v>
      </c>
      <c r="BV52" t="s">
        <v>18</v>
      </c>
      <c r="BY52" s="112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</row>
    <row r="53" spans="3:87" x14ac:dyDescent="0.25">
      <c r="C53">
        <v>48</v>
      </c>
      <c r="D53" t="s">
        <v>37</v>
      </c>
      <c r="E53">
        <v>26.106000000000002</v>
      </c>
      <c r="F53" s="111">
        <v>2951410</v>
      </c>
      <c r="G53" s="109">
        <v>6.4700295444268336</v>
      </c>
      <c r="H53" t="b">
        <v>1</v>
      </c>
      <c r="I53">
        <v>27.955131530761719</v>
      </c>
      <c r="J53">
        <v>19642.83203125</v>
      </c>
      <c r="K53">
        <v>4.2932041029456558</v>
      </c>
      <c r="L53" s="109" t="b">
        <v>1</v>
      </c>
      <c r="M53" s="109">
        <v>11</v>
      </c>
      <c r="T53" s="114"/>
      <c r="U53" s="114" t="s">
        <v>40</v>
      </c>
      <c r="V53" s="114">
        <v>26.024879455566406</v>
      </c>
      <c r="W53" s="114">
        <v>81283.0546875</v>
      </c>
      <c r="X53" s="112">
        <v>4.9100000164088016</v>
      </c>
      <c r="AA53" s="161">
        <v>48</v>
      </c>
      <c r="AB53" s="114" t="s">
        <v>37</v>
      </c>
      <c r="AC53" s="114">
        <v>26.106000000000002</v>
      </c>
      <c r="AD53" s="167">
        <v>2951410</v>
      </c>
      <c r="AE53" s="162">
        <v>6.4700295444268336</v>
      </c>
      <c r="AF53" s="114" t="b">
        <v>1</v>
      </c>
      <c r="AG53" s="114">
        <v>27.955131530761719</v>
      </c>
      <c r="AH53" s="114">
        <v>19642.83203125</v>
      </c>
      <c r="AI53" s="114">
        <v>4.2932041029456558</v>
      </c>
      <c r="AJ53" s="162" t="b">
        <v>1</v>
      </c>
      <c r="AK53" s="163">
        <v>11</v>
      </c>
      <c r="AM53">
        <v>53</v>
      </c>
      <c r="AN53" t="s">
        <v>37</v>
      </c>
      <c r="AO53">
        <v>35.473700000000001</v>
      </c>
      <c r="AP53">
        <v>3654.76</v>
      </c>
      <c r="AQ53">
        <v>3.5628588630728451</v>
      </c>
      <c r="AR53" t="b">
        <v>1</v>
      </c>
      <c r="AS53" t="s">
        <v>47</v>
      </c>
      <c r="AT53" t="s">
        <v>47</v>
      </c>
      <c r="AU53" t="s">
        <v>47</v>
      </c>
      <c r="AV53" t="s">
        <v>48</v>
      </c>
      <c r="AW53">
        <v>3</v>
      </c>
      <c r="AY53">
        <v>111</v>
      </c>
      <c r="AZ53" t="s">
        <v>37</v>
      </c>
      <c r="BA53">
        <v>28.707999999999998</v>
      </c>
      <c r="BB53">
        <v>440650</v>
      </c>
      <c r="BC53">
        <v>5.6440937744581383</v>
      </c>
      <c r="BD53" t="b">
        <v>1</v>
      </c>
      <c r="BE53">
        <v>27.629173278808594</v>
      </c>
      <c r="BF53">
        <v>24628.140625</v>
      </c>
      <c r="BG53">
        <v>4.3914316247183383</v>
      </c>
      <c r="BH53" t="b">
        <v>1</v>
      </c>
      <c r="BI53">
        <v>21</v>
      </c>
      <c r="BL53" s="303">
        <v>14</v>
      </c>
      <c r="BM53" s="112">
        <v>6.9392456108234359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Y53" s="112"/>
      <c r="BZ53" s="164"/>
      <c r="CA53" s="164"/>
      <c r="CB53" s="164"/>
      <c r="CC53" s="164"/>
      <c r="CD53" s="164"/>
      <c r="CE53" s="164"/>
      <c r="CF53" s="164"/>
      <c r="CG53" s="164"/>
      <c r="CH53" s="164"/>
      <c r="CI53" s="164"/>
    </row>
    <row r="54" spans="3:87" x14ac:dyDescent="0.25">
      <c r="C54">
        <v>49</v>
      </c>
      <c r="D54" t="s">
        <v>37</v>
      </c>
      <c r="E54">
        <v>21.237300000000001</v>
      </c>
      <c r="F54" s="111">
        <v>95715700</v>
      </c>
      <c r="G54" s="109">
        <v>7.9809831798262802</v>
      </c>
      <c r="H54" t="b">
        <v>1</v>
      </c>
      <c r="I54">
        <v>22.037452697753906</v>
      </c>
      <c r="J54">
        <v>1192605.75</v>
      </c>
      <c r="K54">
        <v>6.0764968989114907</v>
      </c>
      <c r="L54" s="109" t="b">
        <v>1</v>
      </c>
      <c r="M54" s="109">
        <v>32</v>
      </c>
      <c r="T54" s="112">
        <v>50</v>
      </c>
      <c r="U54" s="112" t="s">
        <v>38</v>
      </c>
      <c r="V54" s="112">
        <v>26.57733154296875</v>
      </c>
      <c r="W54" s="112">
        <v>51098.03515625</v>
      </c>
      <c r="X54" s="112">
        <v>4.7084042007765063</v>
      </c>
      <c r="AA54" s="164">
        <v>49</v>
      </c>
      <c r="AB54" s="112" t="s">
        <v>37</v>
      </c>
      <c r="AC54" s="112">
        <v>21.237300000000001</v>
      </c>
      <c r="AD54" s="165">
        <v>95715700</v>
      </c>
      <c r="AE54" s="166">
        <v>7.9809831798262802</v>
      </c>
      <c r="AF54" s="112" t="b">
        <v>1</v>
      </c>
      <c r="AG54" s="112">
        <v>22.037452697753906</v>
      </c>
      <c r="AH54" s="112">
        <v>1192605.75</v>
      </c>
      <c r="AI54" s="112">
        <v>6.0764968989114907</v>
      </c>
      <c r="AJ54" s="166" t="b">
        <v>1</v>
      </c>
      <c r="AK54" s="119">
        <v>32</v>
      </c>
      <c r="AM54">
        <v>54</v>
      </c>
      <c r="AN54" t="s">
        <v>37</v>
      </c>
      <c r="AO54">
        <v>37.411000000000001</v>
      </c>
      <c r="AP54">
        <v>915.45100000000002</v>
      </c>
      <c r="AQ54">
        <v>2.9616351034174793</v>
      </c>
      <c r="AR54" t="b">
        <v>1</v>
      </c>
      <c r="AS54">
        <v>36.753360748291016</v>
      </c>
      <c r="AT54">
        <v>43.838661193847656</v>
      </c>
      <c r="AU54">
        <v>1.6418572825884805</v>
      </c>
      <c r="AV54" t="b">
        <v>0</v>
      </c>
      <c r="AW54">
        <v>21</v>
      </c>
      <c r="AY54">
        <v>44</v>
      </c>
      <c r="AZ54" t="s">
        <v>37</v>
      </c>
      <c r="BA54">
        <v>20.6296</v>
      </c>
      <c r="BB54">
        <v>147774000</v>
      </c>
      <c r="BC54">
        <v>8.1695980291208983</v>
      </c>
      <c r="BD54" t="b">
        <v>1</v>
      </c>
      <c r="BE54">
        <v>22.969482421875</v>
      </c>
      <c r="BF54">
        <v>624639.875</v>
      </c>
      <c r="BG54">
        <v>5.7956297047416143</v>
      </c>
      <c r="BH54" t="b">
        <v>1</v>
      </c>
      <c r="BI54">
        <v>22</v>
      </c>
      <c r="BL54" s="304">
        <v>14</v>
      </c>
      <c r="BM54" s="114">
        <v>7.2641091563058087</v>
      </c>
      <c r="BO54" t="s">
        <v>18</v>
      </c>
      <c r="BP54" t="s">
        <v>18</v>
      </c>
      <c r="BQ54" t="s">
        <v>18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Y54" s="112"/>
      <c r="BZ54" s="164"/>
      <c r="CA54" s="164"/>
      <c r="CB54" s="164"/>
      <c r="CC54" s="164"/>
      <c r="CD54" s="164"/>
      <c r="CE54" s="164"/>
      <c r="CF54" s="164"/>
      <c r="CG54" s="164"/>
      <c r="CH54" s="164"/>
      <c r="CI54" s="164"/>
    </row>
    <row r="55" spans="3:87" x14ac:dyDescent="0.25">
      <c r="C55">
        <v>50</v>
      </c>
      <c r="D55" t="s">
        <v>37</v>
      </c>
      <c r="E55">
        <v>28.9773</v>
      </c>
      <c r="F55" s="111">
        <v>379265</v>
      </c>
      <c r="G55" s="109">
        <v>5.5789427662244995</v>
      </c>
      <c r="H55" t="b">
        <v>1</v>
      </c>
      <c r="I55">
        <v>26.57733154296875</v>
      </c>
      <c r="J55">
        <v>51098.03515625</v>
      </c>
      <c r="K55">
        <v>4.7084042007765063</v>
      </c>
      <c r="L55" s="109" t="b">
        <v>1</v>
      </c>
      <c r="M55" s="109">
        <v>36</v>
      </c>
      <c r="T55" s="114">
        <v>52</v>
      </c>
      <c r="U55" s="114" t="s">
        <v>38</v>
      </c>
      <c r="V55" s="114">
        <v>20.946069717407227</v>
      </c>
      <c r="W55" s="114">
        <v>2543227.5</v>
      </c>
      <c r="X55" s="112">
        <v>6.4053852109721783</v>
      </c>
      <c r="AA55" s="161">
        <v>50</v>
      </c>
      <c r="AB55" s="114" t="s">
        <v>37</v>
      </c>
      <c r="AC55" s="114">
        <v>28.9773</v>
      </c>
      <c r="AD55" s="167">
        <v>379265</v>
      </c>
      <c r="AE55" s="162">
        <v>5.5789427662244995</v>
      </c>
      <c r="AF55" s="114" t="b">
        <v>1</v>
      </c>
      <c r="AG55" s="114">
        <v>26.57733154296875</v>
      </c>
      <c r="AH55" s="114">
        <v>51098.03515625</v>
      </c>
      <c r="AI55" s="114">
        <v>4.7084042007765063</v>
      </c>
      <c r="AJ55" s="162" t="b">
        <v>1</v>
      </c>
      <c r="AK55" s="163">
        <v>36</v>
      </c>
      <c r="AM55">
        <v>55</v>
      </c>
      <c r="AN55" t="s">
        <v>37</v>
      </c>
      <c r="AO55">
        <v>22.212700000000002</v>
      </c>
      <c r="AP55">
        <v>47675700</v>
      </c>
      <c r="AQ55">
        <v>7.6782970783075664</v>
      </c>
      <c r="AR55" t="b">
        <v>1</v>
      </c>
      <c r="AS55">
        <v>22.513248443603516</v>
      </c>
      <c r="AT55">
        <v>857266.4375</v>
      </c>
      <c r="AU55">
        <v>5.9331158211676831</v>
      </c>
      <c r="AV55" t="b">
        <v>1</v>
      </c>
      <c r="AW55">
        <v>17</v>
      </c>
      <c r="AY55">
        <v>94</v>
      </c>
      <c r="AZ55" t="s">
        <v>37</v>
      </c>
      <c r="BA55">
        <v>22.177499999999998</v>
      </c>
      <c r="BB55">
        <v>48888300</v>
      </c>
      <c r="BC55">
        <v>7.6892049357409142</v>
      </c>
      <c r="BD55" t="b">
        <v>1</v>
      </c>
      <c r="BE55">
        <v>22.510036468505859</v>
      </c>
      <c r="BF55">
        <v>859179.1875</v>
      </c>
      <c r="BG55">
        <v>5.9340837482630926</v>
      </c>
      <c r="BH55" t="b">
        <v>1</v>
      </c>
      <c r="BI55">
        <v>22</v>
      </c>
      <c r="BL55" s="303">
        <v>14</v>
      </c>
      <c r="BM55" s="112">
        <v>7.5738934297406777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Y55" s="112"/>
      <c r="BZ55" s="164"/>
      <c r="CA55" s="164"/>
      <c r="CB55" s="164"/>
      <c r="CC55" s="164"/>
      <c r="CD55" s="164"/>
      <c r="CE55" s="164"/>
      <c r="CF55" s="164"/>
      <c r="CG55" s="164"/>
      <c r="CH55" s="164"/>
      <c r="CI55" s="164"/>
    </row>
    <row r="56" spans="3:87" x14ac:dyDescent="0.25">
      <c r="C56">
        <v>51</v>
      </c>
      <c r="D56" t="s">
        <v>37</v>
      </c>
      <c r="E56">
        <v>29.000599999999999</v>
      </c>
      <c r="F56" s="111">
        <v>372998</v>
      </c>
      <c r="G56" s="109">
        <v>5.5717065031457054</v>
      </c>
      <c r="H56" t="b">
        <v>1</v>
      </c>
      <c r="I56">
        <v>27.669248580932617</v>
      </c>
      <c r="J56">
        <v>23952.724609375</v>
      </c>
      <c r="K56">
        <v>4.3793549213211653</v>
      </c>
      <c r="L56" s="109" t="b">
        <v>1</v>
      </c>
      <c r="M56" s="109">
        <v>9</v>
      </c>
      <c r="T56" s="112">
        <v>54</v>
      </c>
      <c r="U56" s="112" t="s">
        <v>38</v>
      </c>
      <c r="V56" s="112">
        <v>36.753360748291016</v>
      </c>
      <c r="W56" s="112">
        <v>43.838661193847656</v>
      </c>
      <c r="X56" s="112">
        <v>1.6418572825884805</v>
      </c>
      <c r="AA56" s="164">
        <v>51</v>
      </c>
      <c r="AB56" s="112" t="s">
        <v>37</v>
      </c>
      <c r="AC56" s="112">
        <v>29.000599999999999</v>
      </c>
      <c r="AD56" s="165">
        <v>372998</v>
      </c>
      <c r="AE56" s="166">
        <v>5.5717065031457054</v>
      </c>
      <c r="AF56" s="112" t="b">
        <v>1</v>
      </c>
      <c r="AG56" s="112">
        <v>27.669248580932617</v>
      </c>
      <c r="AH56" s="112">
        <v>23952.724609375</v>
      </c>
      <c r="AI56" s="112">
        <v>4.3793549213211653</v>
      </c>
      <c r="AJ56" s="166" t="b">
        <v>1</v>
      </c>
      <c r="AK56" s="119">
        <v>9</v>
      </c>
      <c r="AM56">
        <v>56</v>
      </c>
      <c r="AN56" t="s">
        <v>37</v>
      </c>
      <c r="AO56">
        <v>20.669599999999999</v>
      </c>
      <c r="AP56">
        <v>143612000</v>
      </c>
      <c r="AQ56">
        <v>8.1571907304079723</v>
      </c>
      <c r="AR56" t="b">
        <v>1</v>
      </c>
      <c r="AS56">
        <v>22.344953536987305</v>
      </c>
      <c r="AT56">
        <v>963455.125</v>
      </c>
      <c r="AU56">
        <v>5.9838314912605544</v>
      </c>
      <c r="AV56" t="b">
        <v>1</v>
      </c>
      <c r="AW56">
        <v>24</v>
      </c>
      <c r="AY56">
        <v>17</v>
      </c>
      <c r="AZ56" t="s">
        <v>37</v>
      </c>
      <c r="BA56">
        <v>21.087599999999998</v>
      </c>
      <c r="BB56">
        <v>106522000</v>
      </c>
      <c r="BC56">
        <v>8.0274393119239598</v>
      </c>
      <c r="BD56" t="b">
        <v>1</v>
      </c>
      <c r="BE56">
        <v>22.524908065795898</v>
      </c>
      <c r="BF56">
        <v>850358.75</v>
      </c>
      <c r="BG56">
        <v>5.9296021848620395</v>
      </c>
      <c r="BH56" t="b">
        <v>1</v>
      </c>
      <c r="BI56">
        <v>23</v>
      </c>
      <c r="BL56" s="304">
        <v>14</v>
      </c>
      <c r="BM56" s="114">
        <v>5.7633373812964841</v>
      </c>
      <c r="BO56" t="s">
        <v>18</v>
      </c>
      <c r="BP56" t="s">
        <v>18</v>
      </c>
      <c r="BQ56" t="s">
        <v>18</v>
      </c>
      <c r="BR56" t="s">
        <v>18</v>
      </c>
      <c r="BS56" t="s">
        <v>18</v>
      </c>
      <c r="BT56" t="s">
        <v>18</v>
      </c>
      <c r="BU56" t="s">
        <v>18</v>
      </c>
      <c r="BV56" t="s">
        <v>18</v>
      </c>
      <c r="BY56" s="112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</row>
    <row r="57" spans="3:87" x14ac:dyDescent="0.25">
      <c r="C57">
        <v>52</v>
      </c>
      <c r="D57" t="s">
        <v>37</v>
      </c>
      <c r="E57">
        <v>20.8157</v>
      </c>
      <c r="F57" s="111">
        <v>129369000</v>
      </c>
      <c r="G57" s="109">
        <v>8.111830221140572</v>
      </c>
      <c r="H57" t="b">
        <v>1</v>
      </c>
      <c r="I57">
        <v>20.946069717407227</v>
      </c>
      <c r="J57">
        <v>2543227.5</v>
      </c>
      <c r="K57">
        <v>6.4053852109721783</v>
      </c>
      <c r="L57" s="109" t="b">
        <v>1</v>
      </c>
      <c r="M57" s="109">
        <v>16</v>
      </c>
      <c r="T57" s="114">
        <v>55</v>
      </c>
      <c r="U57" s="114" t="s">
        <v>38</v>
      </c>
      <c r="V57" s="114">
        <v>22.513248443603516</v>
      </c>
      <c r="W57" s="114">
        <v>857266.4375</v>
      </c>
      <c r="X57" s="112">
        <v>5.9331158211676831</v>
      </c>
      <c r="AA57" s="161">
        <v>52</v>
      </c>
      <c r="AB57" s="114" t="s">
        <v>37</v>
      </c>
      <c r="AC57" s="114">
        <v>20.8157</v>
      </c>
      <c r="AD57" s="167">
        <v>129369000</v>
      </c>
      <c r="AE57" s="162">
        <v>8.111830221140572</v>
      </c>
      <c r="AF57" s="114" t="b">
        <v>1</v>
      </c>
      <c r="AG57" s="114">
        <v>20.946069717407227</v>
      </c>
      <c r="AH57" s="114">
        <v>2543227.5</v>
      </c>
      <c r="AI57" s="114">
        <v>6.4053852109721783</v>
      </c>
      <c r="AJ57" s="162" t="b">
        <v>1</v>
      </c>
      <c r="AK57" s="163">
        <v>16</v>
      </c>
      <c r="AM57">
        <v>59</v>
      </c>
      <c r="AN57" t="s">
        <v>37</v>
      </c>
      <c r="AO57">
        <v>25.5854</v>
      </c>
      <c r="AP57">
        <v>4281580</v>
      </c>
      <c r="AQ57">
        <v>6.6316040630918813</v>
      </c>
      <c r="AR57" t="b">
        <v>1</v>
      </c>
      <c r="AS57">
        <v>25.506355285644531</v>
      </c>
      <c r="AT57">
        <v>107434.296875</v>
      </c>
      <c r="AU57">
        <v>5.0311429458496288</v>
      </c>
      <c r="AV57" t="b">
        <v>1</v>
      </c>
      <c r="AW57">
        <v>18</v>
      </c>
      <c r="AY57">
        <v>22</v>
      </c>
      <c r="AZ57" t="s">
        <v>37</v>
      </c>
      <c r="BA57">
        <v>21.700700000000001</v>
      </c>
      <c r="BB57">
        <v>68735400</v>
      </c>
      <c r="BC57">
        <v>7.8371804643525094</v>
      </c>
      <c r="BD57" t="b">
        <v>1</v>
      </c>
      <c r="BE57">
        <v>22.326440811157227</v>
      </c>
      <c r="BF57">
        <v>975911.25</v>
      </c>
      <c r="BG57">
        <v>5.9894103244414794</v>
      </c>
      <c r="BH57" t="b">
        <v>1</v>
      </c>
      <c r="BI57">
        <v>23</v>
      </c>
      <c r="BL57" s="303">
        <v>14</v>
      </c>
      <c r="BM57" s="112">
        <v>4.9314009103004519</v>
      </c>
      <c r="BO57" t="s">
        <v>18</v>
      </c>
      <c r="BP57" t="s">
        <v>18</v>
      </c>
      <c r="BQ57" t="s">
        <v>18</v>
      </c>
      <c r="BR57" t="s">
        <v>18</v>
      </c>
      <c r="BS57" t="s">
        <v>18</v>
      </c>
      <c r="BT57" t="s">
        <v>18</v>
      </c>
      <c r="BU57" t="s">
        <v>18</v>
      </c>
      <c r="BV57" t="s">
        <v>18</v>
      </c>
      <c r="BY57" s="112"/>
      <c r="BZ57" s="164"/>
      <c r="CA57" s="164"/>
      <c r="CB57" s="164"/>
      <c r="CC57" s="164"/>
      <c r="CD57" s="164"/>
      <c r="CE57" s="164"/>
      <c r="CF57" s="164"/>
      <c r="CG57" s="164"/>
      <c r="CH57" s="164"/>
      <c r="CI57" s="164"/>
    </row>
    <row r="58" spans="3:87" x14ac:dyDescent="0.25">
      <c r="C58">
        <v>53</v>
      </c>
      <c r="D58" t="s">
        <v>37</v>
      </c>
      <c r="E58">
        <v>35.473700000000001</v>
      </c>
      <c r="F58" s="111">
        <v>3654.76</v>
      </c>
      <c r="G58" s="109">
        <v>3.5628588630728451</v>
      </c>
      <c r="H58" t="b">
        <v>1</v>
      </c>
      <c r="I58" t="s">
        <v>47</v>
      </c>
      <c r="J58" t="s">
        <v>47</v>
      </c>
      <c r="K58" t="s">
        <v>47</v>
      </c>
      <c r="L58" s="109" t="s">
        <v>48</v>
      </c>
      <c r="M58" s="109">
        <v>3</v>
      </c>
      <c r="T58" s="112">
        <v>56</v>
      </c>
      <c r="U58" s="112" t="s">
        <v>38</v>
      </c>
      <c r="V58" s="112">
        <v>22.344953536987305</v>
      </c>
      <c r="W58" s="112">
        <v>963455.125</v>
      </c>
      <c r="X58" s="112">
        <v>5.9838314912605544</v>
      </c>
      <c r="AA58" s="164">
        <v>53</v>
      </c>
      <c r="AB58" s="112" t="s">
        <v>37</v>
      </c>
      <c r="AC58" s="112">
        <v>35.473700000000001</v>
      </c>
      <c r="AD58" s="165">
        <v>3654.76</v>
      </c>
      <c r="AE58" s="166">
        <v>3.5628588630728451</v>
      </c>
      <c r="AF58" s="112" t="b">
        <v>1</v>
      </c>
      <c r="AG58" s="112" t="s">
        <v>47</v>
      </c>
      <c r="AH58" s="112" t="s">
        <v>47</v>
      </c>
      <c r="AI58" s="112" t="s">
        <v>47</v>
      </c>
      <c r="AJ58" s="166" t="s">
        <v>48</v>
      </c>
      <c r="AK58" s="119">
        <v>3</v>
      </c>
      <c r="AM58">
        <v>81</v>
      </c>
      <c r="AN58" t="s">
        <v>37</v>
      </c>
      <c r="AO58">
        <v>28.0181</v>
      </c>
      <c r="AP58">
        <v>752742</v>
      </c>
      <c r="AQ58">
        <v>5.876646148609483</v>
      </c>
      <c r="AR58" t="b">
        <v>1</v>
      </c>
      <c r="AS58" t="s">
        <v>47</v>
      </c>
      <c r="AT58" t="s">
        <v>47</v>
      </c>
      <c r="AU58" t="s">
        <v>47</v>
      </c>
      <c r="AV58" t="s">
        <v>48</v>
      </c>
      <c r="AW58">
        <v>3</v>
      </c>
      <c r="AY58">
        <v>42</v>
      </c>
      <c r="AZ58" t="s">
        <v>37</v>
      </c>
      <c r="BA58">
        <v>21.8706</v>
      </c>
      <c r="BB58">
        <v>60876200</v>
      </c>
      <c r="BC58">
        <v>7.7844475351794333</v>
      </c>
      <c r="BD58" t="b">
        <v>1</v>
      </c>
      <c r="BE58">
        <v>22.198247909545898</v>
      </c>
      <c r="BF58">
        <v>1066697.5</v>
      </c>
      <c r="BG58">
        <v>6.0280412772436724</v>
      </c>
      <c r="BH58" t="b">
        <v>1</v>
      </c>
      <c r="BI58">
        <v>24</v>
      </c>
      <c r="BL58" s="304">
        <v>14</v>
      </c>
      <c r="BM58" s="114">
        <v>7.5496934133454783</v>
      </c>
      <c r="BO58" t="s">
        <v>18</v>
      </c>
      <c r="BP58" t="s">
        <v>18</v>
      </c>
      <c r="BQ58" t="s">
        <v>18</v>
      </c>
      <c r="BR58" t="s">
        <v>18</v>
      </c>
      <c r="BS58" t="s">
        <v>18</v>
      </c>
      <c r="BT58" t="s">
        <v>18</v>
      </c>
      <c r="BU58" t="s">
        <v>18</v>
      </c>
      <c r="BV58" t="s">
        <v>18</v>
      </c>
      <c r="BY58" s="112"/>
      <c r="BZ58" s="164"/>
      <c r="CA58" s="164"/>
      <c r="CB58" s="164"/>
      <c r="CC58" s="164"/>
      <c r="CD58" s="164"/>
      <c r="CE58" s="164"/>
      <c r="CF58" s="164"/>
      <c r="CG58" s="164"/>
      <c r="CH58" s="164"/>
      <c r="CI58" s="164"/>
    </row>
    <row r="59" spans="3:87" x14ac:dyDescent="0.25">
      <c r="C59">
        <v>54</v>
      </c>
      <c r="D59" t="s">
        <v>37</v>
      </c>
      <c r="E59">
        <v>37.411000000000001</v>
      </c>
      <c r="F59">
        <v>915.45100000000002</v>
      </c>
      <c r="G59" s="109">
        <v>2.9616351034174793</v>
      </c>
      <c r="H59" t="b">
        <v>1</v>
      </c>
      <c r="I59">
        <v>36.753360748291016</v>
      </c>
      <c r="J59">
        <v>43.838661193847656</v>
      </c>
      <c r="K59">
        <v>1.6418572825884805</v>
      </c>
      <c r="L59" s="109" t="b">
        <v>0</v>
      </c>
      <c r="M59" s="109">
        <v>21</v>
      </c>
      <c r="T59" s="114">
        <v>59</v>
      </c>
      <c r="U59" s="114" t="s">
        <v>38</v>
      </c>
      <c r="V59" s="114">
        <v>25.506355285644531</v>
      </c>
      <c r="W59" s="114">
        <v>107434.296875</v>
      </c>
      <c r="X59" s="112">
        <v>5.0311429458496288</v>
      </c>
      <c r="AA59" s="161">
        <v>54</v>
      </c>
      <c r="AB59" s="114" t="s">
        <v>37</v>
      </c>
      <c r="AC59" s="114">
        <v>37.411000000000001</v>
      </c>
      <c r="AD59" s="114">
        <v>915.45100000000002</v>
      </c>
      <c r="AE59" s="162">
        <v>2.9616351034174793</v>
      </c>
      <c r="AF59" s="114" t="b">
        <v>1</v>
      </c>
      <c r="AG59" s="114">
        <v>36.753360748291016</v>
      </c>
      <c r="AH59" s="114">
        <v>43.838661193847656</v>
      </c>
      <c r="AI59" s="114">
        <v>1.6418572825884805</v>
      </c>
      <c r="AJ59" s="162" t="b">
        <v>0</v>
      </c>
      <c r="AK59" s="163">
        <v>21</v>
      </c>
      <c r="AM59">
        <v>82</v>
      </c>
      <c r="AN59" t="s">
        <v>37</v>
      </c>
      <c r="AO59">
        <v>28.528500000000001</v>
      </c>
      <c r="AP59">
        <v>522662</v>
      </c>
      <c r="AQ59">
        <v>5.7182209259821439</v>
      </c>
      <c r="AR59" t="b">
        <v>1</v>
      </c>
      <c r="AS59">
        <v>29.825271606445313</v>
      </c>
      <c r="AT59">
        <v>5365.8349609375</v>
      </c>
      <c r="AU59">
        <v>3.7296373107778868</v>
      </c>
      <c r="AV59" t="b">
        <v>1</v>
      </c>
      <c r="AW59">
        <v>28</v>
      </c>
      <c r="AY59">
        <v>56</v>
      </c>
      <c r="AZ59" t="s">
        <v>37</v>
      </c>
      <c r="BA59">
        <v>20.669599999999999</v>
      </c>
      <c r="BB59">
        <v>143612000</v>
      </c>
      <c r="BC59">
        <v>8.1571907304079723</v>
      </c>
      <c r="BD59" t="b">
        <v>1</v>
      </c>
      <c r="BE59">
        <v>22.344953536987305</v>
      </c>
      <c r="BF59">
        <v>963455.125</v>
      </c>
      <c r="BG59">
        <v>5.9838314912605544</v>
      </c>
      <c r="BH59" t="b">
        <v>1</v>
      </c>
      <c r="BI59">
        <v>24</v>
      </c>
      <c r="BL59" s="303">
        <v>14</v>
      </c>
      <c r="BM59" s="112">
        <v>7.5207127378106371</v>
      </c>
      <c r="BO59" t="s">
        <v>18</v>
      </c>
      <c r="BP59" t="s">
        <v>18</v>
      </c>
      <c r="BQ59" t="s">
        <v>18</v>
      </c>
      <c r="BR59" t="s">
        <v>18</v>
      </c>
      <c r="BS59" t="s">
        <v>18</v>
      </c>
      <c r="BT59" t="s">
        <v>18</v>
      </c>
      <c r="BU59" t="s">
        <v>18</v>
      </c>
      <c r="BV59" t="s">
        <v>18</v>
      </c>
      <c r="BY59" s="112"/>
      <c r="BZ59" s="164"/>
      <c r="CA59" s="164"/>
      <c r="CB59" s="164"/>
      <c r="CC59" s="164"/>
      <c r="CD59" s="164"/>
      <c r="CE59" s="164"/>
      <c r="CF59" s="164"/>
      <c r="CG59" s="164"/>
      <c r="CH59" s="164"/>
      <c r="CI59" s="164"/>
    </row>
    <row r="60" spans="3:87" x14ac:dyDescent="0.25">
      <c r="C60">
        <v>55</v>
      </c>
      <c r="D60" t="s">
        <v>37</v>
      </c>
      <c r="E60">
        <v>22.212700000000002</v>
      </c>
      <c r="F60" s="111">
        <v>47675700</v>
      </c>
      <c r="G60" s="109">
        <v>7.6782970783075664</v>
      </c>
      <c r="H60" t="b">
        <v>1</v>
      </c>
      <c r="I60">
        <v>22.513248443603516</v>
      </c>
      <c r="J60">
        <v>857266.4375</v>
      </c>
      <c r="K60">
        <v>5.9331158211676831</v>
      </c>
      <c r="L60" s="109" t="b">
        <v>1</v>
      </c>
      <c r="M60" s="109">
        <v>17</v>
      </c>
      <c r="T60" s="112">
        <v>82</v>
      </c>
      <c r="U60" s="112" t="s">
        <v>38</v>
      </c>
      <c r="V60" s="112">
        <v>29.825271606445313</v>
      </c>
      <c r="W60" s="112">
        <v>5365.8349609375</v>
      </c>
      <c r="X60" s="112">
        <v>3.7296373107778868</v>
      </c>
      <c r="AA60" s="164">
        <v>55</v>
      </c>
      <c r="AB60" s="112" t="s">
        <v>37</v>
      </c>
      <c r="AC60" s="112">
        <v>22.212700000000002</v>
      </c>
      <c r="AD60" s="165">
        <v>47675700</v>
      </c>
      <c r="AE60" s="166">
        <v>7.6782970783075664</v>
      </c>
      <c r="AF60" s="112" t="b">
        <v>1</v>
      </c>
      <c r="AG60" s="112">
        <v>22.513248443603516</v>
      </c>
      <c r="AH60" s="112">
        <v>857266.4375</v>
      </c>
      <c r="AI60" s="112">
        <v>5.9331158211676831</v>
      </c>
      <c r="AJ60" s="166" t="b">
        <v>1</v>
      </c>
      <c r="AK60" s="119">
        <v>17</v>
      </c>
      <c r="AM60">
        <v>83</v>
      </c>
      <c r="AN60" t="s">
        <v>37</v>
      </c>
      <c r="AO60">
        <v>28.383199999999999</v>
      </c>
      <c r="AP60">
        <v>579879</v>
      </c>
      <c r="AQ60">
        <v>5.7633373812964841</v>
      </c>
      <c r="AR60" t="b">
        <v>1</v>
      </c>
      <c r="AS60">
        <v>28.01835823059082</v>
      </c>
      <c r="AT60">
        <v>18799.69140625</v>
      </c>
      <c r="AU60">
        <v>4.2741507204518321</v>
      </c>
      <c r="AV60" t="b">
        <v>1</v>
      </c>
      <c r="AW60">
        <v>14</v>
      </c>
      <c r="AY60">
        <v>88</v>
      </c>
      <c r="AZ60" t="s">
        <v>37</v>
      </c>
      <c r="BA60">
        <v>21.2332</v>
      </c>
      <c r="BB60">
        <v>95999400</v>
      </c>
      <c r="BC60">
        <v>7.9822685186905744</v>
      </c>
      <c r="BD60" t="b">
        <v>1</v>
      </c>
      <c r="BE60">
        <v>20.124691009521484</v>
      </c>
      <c r="BF60">
        <v>4496843</v>
      </c>
      <c r="BG60">
        <v>6.6529077251432334</v>
      </c>
      <c r="BH60" t="b">
        <v>1</v>
      </c>
      <c r="BI60">
        <v>24</v>
      </c>
      <c r="BL60" s="304">
        <v>14</v>
      </c>
      <c r="BM60" s="114">
        <v>6.6838365199355119</v>
      </c>
      <c r="BO60" t="s">
        <v>18</v>
      </c>
      <c r="BP60" t="s">
        <v>18</v>
      </c>
      <c r="BQ60" t="s">
        <v>18</v>
      </c>
      <c r="BR60" t="s">
        <v>18</v>
      </c>
      <c r="BS60" t="s">
        <v>18</v>
      </c>
      <c r="BT60" t="s">
        <v>18</v>
      </c>
      <c r="BU60" t="s">
        <v>18</v>
      </c>
      <c r="BV60" t="s">
        <v>18</v>
      </c>
      <c r="BY60" s="112"/>
      <c r="BZ60" s="164"/>
      <c r="CA60" s="164"/>
      <c r="CB60" s="164"/>
      <c r="CC60" s="164"/>
      <c r="CD60" s="164"/>
      <c r="CE60" s="164"/>
      <c r="CF60" s="164"/>
      <c r="CG60" s="164"/>
      <c r="CH60" s="164"/>
      <c r="CI60" s="164"/>
    </row>
    <row r="61" spans="3:87" x14ac:dyDescent="0.25">
      <c r="C61">
        <v>56</v>
      </c>
      <c r="D61" t="s">
        <v>37</v>
      </c>
      <c r="E61">
        <v>20.669599999999999</v>
      </c>
      <c r="F61" s="111">
        <v>143612000</v>
      </c>
      <c r="G61" s="109">
        <v>8.1571907304079723</v>
      </c>
      <c r="H61" t="b">
        <v>1</v>
      </c>
      <c r="I61">
        <v>22.344953536987305</v>
      </c>
      <c r="J61">
        <v>963455.125</v>
      </c>
      <c r="K61">
        <v>5.9838314912605544</v>
      </c>
      <c r="L61" s="109" t="b">
        <v>1</v>
      </c>
      <c r="M61" s="109">
        <v>24</v>
      </c>
      <c r="T61" s="114">
        <v>83</v>
      </c>
      <c r="U61" s="114" t="s">
        <v>38</v>
      </c>
      <c r="V61" s="114">
        <v>28.01835823059082</v>
      </c>
      <c r="W61" s="114">
        <v>18799.69140625</v>
      </c>
      <c r="X61" s="112">
        <v>4.2741507204518321</v>
      </c>
      <c r="AA61" s="161">
        <v>56</v>
      </c>
      <c r="AB61" s="114" t="s">
        <v>37</v>
      </c>
      <c r="AC61" s="114">
        <v>20.669599999999999</v>
      </c>
      <c r="AD61" s="167">
        <v>143612000</v>
      </c>
      <c r="AE61" s="162">
        <v>8.1571907304079723</v>
      </c>
      <c r="AF61" s="114" t="b">
        <v>1</v>
      </c>
      <c r="AG61" s="114">
        <v>22.344953536987305</v>
      </c>
      <c r="AH61" s="114">
        <v>963455.125</v>
      </c>
      <c r="AI61" s="114">
        <v>5.9838314912605544</v>
      </c>
      <c r="AJ61" s="162" t="b">
        <v>1</v>
      </c>
      <c r="AK61" s="163">
        <v>24</v>
      </c>
      <c r="AM61">
        <v>84</v>
      </c>
      <c r="AN61" t="s">
        <v>37</v>
      </c>
      <c r="AO61">
        <v>30.251899999999999</v>
      </c>
      <c r="AP61">
        <v>152538</v>
      </c>
      <c r="AQ61">
        <v>5.1833780478435827</v>
      </c>
      <c r="AR61" t="b">
        <v>1</v>
      </c>
      <c r="AS61">
        <v>28.982738494873047</v>
      </c>
      <c r="AT61">
        <v>9627.96875</v>
      </c>
      <c r="AU61">
        <v>3.983534671993044</v>
      </c>
      <c r="AV61" t="b">
        <v>1</v>
      </c>
      <c r="AW61">
        <v>21</v>
      </c>
      <c r="AY61">
        <v>43</v>
      </c>
      <c r="AZ61" t="s">
        <v>37</v>
      </c>
      <c r="BA61">
        <v>21.125399999999999</v>
      </c>
      <c r="BB61">
        <v>103689000</v>
      </c>
      <c r="BC61">
        <v>8.0157326860641405</v>
      </c>
      <c r="BD61" t="b">
        <v>1</v>
      </c>
      <c r="BE61">
        <v>21.949474334716797</v>
      </c>
      <c r="BF61">
        <v>1267678.625</v>
      </c>
      <c r="BG61">
        <v>6.1030091675210159</v>
      </c>
      <c r="BH61" t="b">
        <v>1</v>
      </c>
      <c r="BI61">
        <v>25</v>
      </c>
      <c r="BL61" s="303">
        <v>14</v>
      </c>
      <c r="BM61" s="112">
        <v>7.112078569691155</v>
      </c>
      <c r="BO61" t="s">
        <v>18</v>
      </c>
      <c r="BP61" t="s">
        <v>18</v>
      </c>
      <c r="BQ61" t="s">
        <v>18</v>
      </c>
      <c r="BR61" t="s">
        <v>18</v>
      </c>
      <c r="BS61" t="s">
        <v>18</v>
      </c>
      <c r="BT61" t="s">
        <v>18</v>
      </c>
      <c r="BU61" t="s">
        <v>18</v>
      </c>
      <c r="BV61" t="s">
        <v>18</v>
      </c>
      <c r="BY61" s="112"/>
      <c r="BZ61" s="164"/>
      <c r="CA61" s="164"/>
      <c r="CB61" s="164"/>
      <c r="CC61" s="164"/>
      <c r="CD61" s="164"/>
      <c r="CE61" s="164"/>
      <c r="CF61" s="164"/>
      <c r="CG61" s="164"/>
      <c r="CH61" s="164"/>
      <c r="CI61" s="164"/>
    </row>
    <row r="62" spans="3:87" x14ac:dyDescent="0.25">
      <c r="C62" s="116">
        <v>57</v>
      </c>
      <c r="D62" s="116" t="s">
        <v>37</v>
      </c>
      <c r="E62" s="116"/>
      <c r="F62" s="118"/>
      <c r="G62" s="117" t="s">
        <v>18</v>
      </c>
      <c r="H62" s="117" t="b">
        <v>0</v>
      </c>
      <c r="I62" s="117" t="s">
        <v>47</v>
      </c>
      <c r="J62" s="116" t="s">
        <v>47</v>
      </c>
      <c r="K62" s="116" t="s">
        <v>47</v>
      </c>
      <c r="L62" s="109" t="s">
        <v>48</v>
      </c>
      <c r="M62" s="109">
        <v>38</v>
      </c>
      <c r="T62" s="112">
        <v>84</v>
      </c>
      <c r="U62" s="112" t="s">
        <v>38</v>
      </c>
      <c r="V62" s="112">
        <v>28.982738494873047</v>
      </c>
      <c r="W62" s="112">
        <v>9627.96875</v>
      </c>
      <c r="X62" s="112">
        <v>3.983534671993044</v>
      </c>
      <c r="AA62" s="171">
        <v>57</v>
      </c>
      <c r="AB62" s="172" t="s">
        <v>37</v>
      </c>
      <c r="AC62" s="172"/>
      <c r="AD62" s="173"/>
      <c r="AE62" s="174" t="s">
        <v>18</v>
      </c>
      <c r="AF62" s="174" t="b">
        <v>0</v>
      </c>
      <c r="AG62" s="174" t="s">
        <v>47</v>
      </c>
      <c r="AH62" s="172" t="s">
        <v>47</v>
      </c>
      <c r="AI62" s="172" t="s">
        <v>47</v>
      </c>
      <c r="AJ62" s="166" t="s">
        <v>48</v>
      </c>
      <c r="AK62" s="119">
        <v>38</v>
      </c>
      <c r="AM62">
        <v>85</v>
      </c>
      <c r="AN62" t="s">
        <v>37</v>
      </c>
      <c r="AO62">
        <v>32.026899999999998</v>
      </c>
      <c r="AP62">
        <v>42908.3</v>
      </c>
      <c r="AQ62">
        <v>4.6325413083978653</v>
      </c>
      <c r="AR62" t="b">
        <v>1</v>
      </c>
      <c r="AS62">
        <v>32.180202484130859</v>
      </c>
      <c r="AT62">
        <v>1047.077392578125</v>
      </c>
      <c r="AU62">
        <v>3.0199787828511813</v>
      </c>
      <c r="AV62" t="b">
        <v>1</v>
      </c>
      <c r="AW62">
        <v>18</v>
      </c>
      <c r="AY62">
        <v>33</v>
      </c>
      <c r="AZ62" t="s">
        <v>37</v>
      </c>
      <c r="BA62">
        <v>28.166</v>
      </c>
      <c r="BB62">
        <v>677213</v>
      </c>
      <c r="BC62">
        <v>5.8307252863743972</v>
      </c>
      <c r="BD62" t="b">
        <v>1</v>
      </c>
      <c r="BE62">
        <v>26.492698669433594</v>
      </c>
      <c r="BF62">
        <v>54188.6484375</v>
      </c>
      <c r="BG62">
        <v>4.7339083190608173</v>
      </c>
      <c r="BH62" t="b">
        <v>1</v>
      </c>
      <c r="BI62">
        <v>28</v>
      </c>
      <c r="BL62" s="304">
        <v>15</v>
      </c>
      <c r="BM62" s="114">
        <v>6.7213802279845138</v>
      </c>
      <c r="BO62" t="s">
        <v>18</v>
      </c>
      <c r="BP62" t="s">
        <v>18</v>
      </c>
      <c r="BQ62" t="s">
        <v>18</v>
      </c>
      <c r="BR62" t="s">
        <v>18</v>
      </c>
      <c r="BS62" t="s">
        <v>18</v>
      </c>
      <c r="BT62" t="s">
        <v>18</v>
      </c>
      <c r="BU62" t="s">
        <v>18</v>
      </c>
      <c r="BV62" t="s">
        <v>18</v>
      </c>
      <c r="BY62" s="112"/>
      <c r="BZ62" s="164"/>
      <c r="CA62" s="164"/>
      <c r="CB62" s="164"/>
      <c r="CC62" s="164"/>
      <c r="CD62" s="164"/>
      <c r="CE62" s="164"/>
      <c r="CF62" s="164"/>
      <c r="CG62" s="164"/>
      <c r="CH62" s="164"/>
      <c r="CI62" s="164"/>
    </row>
    <row r="63" spans="3:87" x14ac:dyDescent="0.25">
      <c r="C63">
        <v>58</v>
      </c>
      <c r="D63" t="s">
        <v>37</v>
      </c>
      <c r="E63" t="s">
        <v>39</v>
      </c>
      <c r="G63" s="109" t="s">
        <v>18</v>
      </c>
      <c r="H63" t="b">
        <v>0</v>
      </c>
      <c r="I63" t="s">
        <v>47</v>
      </c>
      <c r="J63" t="s">
        <v>47</v>
      </c>
      <c r="K63" t="s">
        <v>47</v>
      </c>
      <c r="L63" s="109" t="s">
        <v>48</v>
      </c>
      <c r="M63" s="109">
        <v>18</v>
      </c>
      <c r="T63" s="114">
        <v>85</v>
      </c>
      <c r="U63" s="114" t="s">
        <v>38</v>
      </c>
      <c r="V63" s="114">
        <v>32.180202484130859</v>
      </c>
      <c r="W63" s="114">
        <v>1047.077392578125</v>
      </c>
      <c r="X63" s="112">
        <v>3.0199787828511813</v>
      </c>
      <c r="AA63" s="161">
        <v>58</v>
      </c>
      <c r="AB63" s="114" t="s">
        <v>37</v>
      </c>
      <c r="AC63" s="114" t="s">
        <v>39</v>
      </c>
      <c r="AD63" s="114"/>
      <c r="AE63" s="162" t="s">
        <v>18</v>
      </c>
      <c r="AF63" s="114" t="b">
        <v>0</v>
      </c>
      <c r="AG63" s="114" t="s">
        <v>47</v>
      </c>
      <c r="AH63" s="114" t="s">
        <v>47</v>
      </c>
      <c r="AI63" s="114" t="s">
        <v>47</v>
      </c>
      <c r="AJ63" s="162" t="s">
        <v>48</v>
      </c>
      <c r="AK63" s="163">
        <v>18</v>
      </c>
      <c r="AM63">
        <v>86</v>
      </c>
      <c r="AN63" t="s">
        <v>37</v>
      </c>
      <c r="AO63">
        <v>38.974400000000003</v>
      </c>
      <c r="AP63">
        <v>299.52100000000002</v>
      </c>
      <c r="AQ63">
        <v>2.4764272770238129</v>
      </c>
      <c r="AR63" t="b">
        <v>1</v>
      </c>
      <c r="AS63">
        <v>32.102989196777344</v>
      </c>
      <c r="AT63">
        <v>1104.7066650390625</v>
      </c>
      <c r="AU63">
        <v>3.0432469742501373</v>
      </c>
      <c r="AV63" t="b">
        <v>1</v>
      </c>
      <c r="AW63">
        <v>21</v>
      </c>
      <c r="AY63">
        <v>34</v>
      </c>
      <c r="AZ63" t="s">
        <v>37</v>
      </c>
      <c r="BA63">
        <v>21.816600000000001</v>
      </c>
      <c r="BB63">
        <v>63271700</v>
      </c>
      <c r="BC63">
        <v>7.8012095033496296</v>
      </c>
      <c r="BD63" t="b">
        <v>1</v>
      </c>
      <c r="BE63">
        <v>21.483816146850586</v>
      </c>
      <c r="BF63">
        <v>1751198.125</v>
      </c>
      <c r="BG63">
        <v>6.2433352835629652</v>
      </c>
      <c r="BH63" t="b">
        <v>1</v>
      </c>
      <c r="BI63">
        <v>28</v>
      </c>
      <c r="BL63" s="303">
        <v>15</v>
      </c>
      <c r="BM63" s="112">
        <v>7.7059927845718965</v>
      </c>
      <c r="BO63" t="s">
        <v>18</v>
      </c>
      <c r="BP63" t="s">
        <v>18</v>
      </c>
      <c r="BQ63" t="s">
        <v>18</v>
      </c>
      <c r="BR63" t="s">
        <v>18</v>
      </c>
      <c r="BS63" t="s">
        <v>18</v>
      </c>
      <c r="BT63" t="s">
        <v>18</v>
      </c>
      <c r="BU63" t="s">
        <v>18</v>
      </c>
      <c r="BV63" t="s">
        <v>18</v>
      </c>
      <c r="BY63" s="112"/>
      <c r="BZ63" s="164"/>
      <c r="CA63" s="164"/>
      <c r="CB63" s="164"/>
      <c r="CC63" s="164"/>
      <c r="CD63" s="164"/>
      <c r="CE63" s="164"/>
      <c r="CF63" s="164"/>
      <c r="CG63" s="164"/>
      <c r="CH63" s="164"/>
      <c r="CI63" s="164"/>
    </row>
    <row r="64" spans="3:87" x14ac:dyDescent="0.25">
      <c r="C64">
        <v>59</v>
      </c>
      <c r="D64" t="s">
        <v>37</v>
      </c>
      <c r="E64">
        <v>25.5854</v>
      </c>
      <c r="F64" s="111">
        <v>4281580</v>
      </c>
      <c r="G64" s="109">
        <v>6.6316040630918813</v>
      </c>
      <c r="H64" t="b">
        <v>1</v>
      </c>
      <c r="I64">
        <v>25.506355285644531</v>
      </c>
      <c r="J64">
        <v>107434.296875</v>
      </c>
      <c r="K64">
        <v>5.0311429458496288</v>
      </c>
      <c r="L64" s="109" t="b">
        <v>1</v>
      </c>
      <c r="M64" s="109">
        <v>18</v>
      </c>
      <c r="T64" s="112"/>
      <c r="U64" s="112" t="s">
        <v>40</v>
      </c>
      <c r="V64" s="112">
        <v>29.182474136352539</v>
      </c>
      <c r="W64" s="112">
        <v>8128.30517578125</v>
      </c>
      <c r="X64" s="112">
        <v>3.9100000007555122</v>
      </c>
      <c r="AA64" s="164">
        <v>59</v>
      </c>
      <c r="AB64" s="112" t="s">
        <v>37</v>
      </c>
      <c r="AC64" s="112">
        <v>25.5854</v>
      </c>
      <c r="AD64" s="165">
        <v>4281580</v>
      </c>
      <c r="AE64" s="166">
        <v>6.6316040630918813</v>
      </c>
      <c r="AF64" s="112" t="b">
        <v>1</v>
      </c>
      <c r="AG64" s="112">
        <v>25.506355285644531</v>
      </c>
      <c r="AH64" s="112">
        <v>107434.296875</v>
      </c>
      <c r="AI64" s="112">
        <v>5.0311429458496288</v>
      </c>
      <c r="AJ64" s="166" t="b">
        <v>1</v>
      </c>
      <c r="AK64" s="119">
        <v>18</v>
      </c>
      <c r="AM64">
        <v>87</v>
      </c>
      <c r="AN64" t="s">
        <v>37</v>
      </c>
      <c r="AO64">
        <v>33.034599999999998</v>
      </c>
      <c r="AP64">
        <v>20882.8</v>
      </c>
      <c r="AQ64">
        <v>4.3197887291493053</v>
      </c>
      <c r="AR64" t="b">
        <v>1</v>
      </c>
      <c r="AS64" t="s">
        <v>47</v>
      </c>
      <c r="AT64" t="s">
        <v>47</v>
      </c>
      <c r="AU64" t="s">
        <v>47</v>
      </c>
      <c r="AV64" t="s">
        <v>48</v>
      </c>
      <c r="AW64">
        <v>3</v>
      </c>
      <c r="AY64">
        <v>47</v>
      </c>
      <c r="AZ64" t="s">
        <v>37</v>
      </c>
      <c r="BA64">
        <v>29.2193</v>
      </c>
      <c r="BB64">
        <v>319049</v>
      </c>
      <c r="BC64">
        <v>5.5038573877449251</v>
      </c>
      <c r="BD64" t="b">
        <v>1</v>
      </c>
      <c r="BE64">
        <v>28.978496551513672</v>
      </c>
      <c r="BF64">
        <v>9656.349609375</v>
      </c>
      <c r="BG64">
        <v>3.984812981061308</v>
      </c>
      <c r="BH64" t="b">
        <v>1</v>
      </c>
      <c r="BI64">
        <v>28</v>
      </c>
      <c r="BL64" s="304">
        <v>16</v>
      </c>
      <c r="BM64" s="114">
        <v>7.4961835147411868</v>
      </c>
      <c r="BO64" t="s">
        <v>18</v>
      </c>
      <c r="BP64" t="s">
        <v>18</v>
      </c>
      <c r="BQ64" t="s">
        <v>18</v>
      </c>
      <c r="BR64" t="s">
        <v>18</v>
      </c>
      <c r="BS64" t="s">
        <v>18</v>
      </c>
      <c r="BT64" t="s">
        <v>18</v>
      </c>
      <c r="BU64" t="s">
        <v>18</v>
      </c>
      <c r="BV64" t="s">
        <v>18</v>
      </c>
      <c r="BY64" s="112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</row>
    <row r="65" spans="3:87" x14ac:dyDescent="0.25">
      <c r="C65">
        <v>60</v>
      </c>
      <c r="D65" t="s">
        <v>37</v>
      </c>
      <c r="E65" t="s">
        <v>39</v>
      </c>
      <c r="G65" s="109" t="s">
        <v>18</v>
      </c>
      <c r="H65" t="b">
        <v>0</v>
      </c>
      <c r="I65" t="s">
        <v>47</v>
      </c>
      <c r="J65" t="s">
        <v>47</v>
      </c>
      <c r="K65" t="s">
        <v>47</v>
      </c>
      <c r="L65" s="109" t="s">
        <v>48</v>
      </c>
      <c r="M65" s="109">
        <v>17</v>
      </c>
      <c r="T65" s="114"/>
      <c r="U65" s="114" t="s">
        <v>40</v>
      </c>
      <c r="V65" s="114">
        <v>29.497608184814453</v>
      </c>
      <c r="W65" s="114">
        <v>8128.30517578125</v>
      </c>
      <c r="X65" s="112">
        <v>3.9100000007555122</v>
      </c>
      <c r="AA65" s="161">
        <v>60</v>
      </c>
      <c r="AB65" s="114" t="s">
        <v>37</v>
      </c>
      <c r="AC65" s="114" t="s">
        <v>39</v>
      </c>
      <c r="AD65" s="114"/>
      <c r="AE65" s="162" t="s">
        <v>18</v>
      </c>
      <c r="AF65" s="114" t="b">
        <v>0</v>
      </c>
      <c r="AG65" s="114" t="s">
        <v>47</v>
      </c>
      <c r="AH65" s="114" t="s">
        <v>47</v>
      </c>
      <c r="AI65" s="114" t="s">
        <v>47</v>
      </c>
      <c r="AJ65" s="162" t="s">
        <v>48</v>
      </c>
      <c r="AK65" s="163">
        <v>17</v>
      </c>
      <c r="AM65">
        <v>88</v>
      </c>
      <c r="AN65" t="s">
        <v>37</v>
      </c>
      <c r="AO65">
        <v>21.2332</v>
      </c>
      <c r="AP65">
        <v>95999400</v>
      </c>
      <c r="AQ65">
        <v>7.9822685186905744</v>
      </c>
      <c r="AR65" t="b">
        <v>1</v>
      </c>
      <c r="AS65">
        <v>20.124691009521484</v>
      </c>
      <c r="AT65">
        <v>4496843</v>
      </c>
      <c r="AU65">
        <v>6.6529077251432334</v>
      </c>
      <c r="AV65" t="b">
        <v>1</v>
      </c>
      <c r="AW65">
        <v>24</v>
      </c>
      <c r="AY65">
        <v>82</v>
      </c>
      <c r="AZ65" t="s">
        <v>37</v>
      </c>
      <c r="BA65">
        <v>28.528500000000001</v>
      </c>
      <c r="BB65">
        <v>522662</v>
      </c>
      <c r="BC65">
        <v>5.7182209259821439</v>
      </c>
      <c r="BD65" t="b">
        <v>1</v>
      </c>
      <c r="BE65">
        <v>29.825271606445313</v>
      </c>
      <c r="BF65">
        <v>5365.8349609375</v>
      </c>
      <c r="BG65">
        <v>3.7296373107778868</v>
      </c>
      <c r="BH65" t="b">
        <v>1</v>
      </c>
      <c r="BI65">
        <v>28</v>
      </c>
      <c r="BL65" s="303">
        <v>16</v>
      </c>
      <c r="BM65" s="112">
        <v>8.1046100074548661</v>
      </c>
      <c r="BO65" t="s">
        <v>18</v>
      </c>
      <c r="BP65" t="s">
        <v>18</v>
      </c>
      <c r="BQ65" t="s">
        <v>18</v>
      </c>
      <c r="BR65" t="s">
        <v>18</v>
      </c>
      <c r="BS65" t="s">
        <v>18</v>
      </c>
      <c r="BT65" t="s">
        <v>18</v>
      </c>
      <c r="BU65" t="s">
        <v>18</v>
      </c>
      <c r="BV65" t="s">
        <v>18</v>
      </c>
      <c r="BY65" s="112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</row>
    <row r="66" spans="3:87" x14ac:dyDescent="0.25">
      <c r="C66">
        <v>81</v>
      </c>
      <c r="D66" t="s">
        <v>37</v>
      </c>
      <c r="E66">
        <v>28.0181</v>
      </c>
      <c r="F66" s="111">
        <v>752742</v>
      </c>
      <c r="G66" s="109">
        <v>5.876646148609483</v>
      </c>
      <c r="H66" t="b">
        <v>1</v>
      </c>
      <c r="I66" t="s">
        <v>47</v>
      </c>
      <c r="J66" t="s">
        <v>47</v>
      </c>
      <c r="K66" t="s">
        <v>47</v>
      </c>
      <c r="L66" s="109" t="s">
        <v>48</v>
      </c>
      <c r="M66" s="109">
        <v>3</v>
      </c>
      <c r="T66" s="112">
        <v>86</v>
      </c>
      <c r="U66" s="112" t="s">
        <v>38</v>
      </c>
      <c r="V66" s="112">
        <v>32.102989196777344</v>
      </c>
      <c r="W66" s="112">
        <v>1104.7066650390625</v>
      </c>
      <c r="X66" s="112">
        <v>3.0432469742501373</v>
      </c>
      <c r="AA66" s="164">
        <v>81</v>
      </c>
      <c r="AB66" s="112" t="s">
        <v>37</v>
      </c>
      <c r="AC66" s="112">
        <v>28.0181</v>
      </c>
      <c r="AD66" s="165">
        <v>752742</v>
      </c>
      <c r="AE66" s="166">
        <v>5.876646148609483</v>
      </c>
      <c r="AF66" s="112" t="b">
        <v>1</v>
      </c>
      <c r="AG66" s="112" t="s">
        <v>47</v>
      </c>
      <c r="AH66" s="112" t="s">
        <v>47</v>
      </c>
      <c r="AI66" s="112" t="s">
        <v>47</v>
      </c>
      <c r="AJ66" s="166" t="s">
        <v>48</v>
      </c>
      <c r="AK66" s="119">
        <v>3</v>
      </c>
      <c r="AM66">
        <v>90</v>
      </c>
      <c r="AN66" t="s">
        <v>37</v>
      </c>
      <c r="AO66">
        <v>31.729700000000001</v>
      </c>
      <c r="AP66">
        <v>53058.6</v>
      </c>
      <c r="AQ66">
        <v>4.7247557865378278</v>
      </c>
      <c r="AR66" t="b">
        <v>1</v>
      </c>
      <c r="AS66">
        <v>30.241476058959961</v>
      </c>
      <c r="AT66">
        <v>4019.888916015625</v>
      </c>
      <c r="AU66">
        <v>3.6042140521322308</v>
      </c>
      <c r="AV66" t="b">
        <v>1</v>
      </c>
      <c r="AW66">
        <v>21</v>
      </c>
      <c r="AY66">
        <v>93</v>
      </c>
      <c r="AZ66" t="s">
        <v>37</v>
      </c>
      <c r="BA66">
        <v>20.520900000000001</v>
      </c>
      <c r="BB66">
        <v>159704000</v>
      </c>
      <c r="BC66">
        <v>8.2033157937601011</v>
      </c>
      <c r="BD66" t="b">
        <v>1</v>
      </c>
      <c r="BE66">
        <v>20.810632705688477</v>
      </c>
      <c r="BF66">
        <v>2793824.75</v>
      </c>
      <c r="BG66">
        <v>6.4461991603697859</v>
      </c>
      <c r="BH66" t="b">
        <v>1</v>
      </c>
      <c r="BI66">
        <v>28</v>
      </c>
      <c r="BL66" s="304">
        <v>16</v>
      </c>
      <c r="BM66" s="114">
        <v>8.111830221140572</v>
      </c>
      <c r="BO66" t="s">
        <v>18</v>
      </c>
      <c r="BP66" t="s">
        <v>18</v>
      </c>
      <c r="BQ66" t="s">
        <v>18</v>
      </c>
      <c r="BR66" t="s">
        <v>18</v>
      </c>
      <c r="BS66" t="s">
        <v>18</v>
      </c>
      <c r="BT66" t="s">
        <v>18</v>
      </c>
      <c r="BU66" t="s">
        <v>18</v>
      </c>
      <c r="BV66" t="s">
        <v>18</v>
      </c>
      <c r="BY66" s="112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</row>
    <row r="67" spans="3:87" x14ac:dyDescent="0.25">
      <c r="C67">
        <v>82</v>
      </c>
      <c r="D67" t="s">
        <v>37</v>
      </c>
      <c r="E67">
        <v>28.528500000000001</v>
      </c>
      <c r="F67" s="111">
        <v>522662</v>
      </c>
      <c r="G67" s="109">
        <v>5.7182209259821439</v>
      </c>
      <c r="H67" t="b">
        <v>1</v>
      </c>
      <c r="I67">
        <v>29.825271606445313</v>
      </c>
      <c r="J67">
        <v>5365.8349609375</v>
      </c>
      <c r="K67">
        <v>3.7296373107778868</v>
      </c>
      <c r="L67" s="109" t="b">
        <v>1</v>
      </c>
      <c r="M67" s="109">
        <v>28</v>
      </c>
      <c r="T67" s="114">
        <v>88</v>
      </c>
      <c r="U67" s="114" t="s">
        <v>38</v>
      </c>
      <c r="V67" s="114">
        <v>20.124691009521484</v>
      </c>
      <c r="W67" s="114">
        <v>4496843</v>
      </c>
      <c r="X67" s="112">
        <v>6.6529077251432334</v>
      </c>
      <c r="AA67" s="161">
        <v>82</v>
      </c>
      <c r="AB67" s="114" t="s">
        <v>37</v>
      </c>
      <c r="AC67" s="114">
        <v>28.528500000000001</v>
      </c>
      <c r="AD67" s="167">
        <v>522662</v>
      </c>
      <c r="AE67" s="162">
        <v>5.7182209259821439</v>
      </c>
      <c r="AF67" s="114" t="b">
        <v>1</v>
      </c>
      <c r="AG67" s="114">
        <v>29.825271606445313</v>
      </c>
      <c r="AH67" s="114">
        <v>5365.8349609375</v>
      </c>
      <c r="AI67" s="114">
        <v>3.7296373107778868</v>
      </c>
      <c r="AJ67" s="162" t="b">
        <v>1</v>
      </c>
      <c r="AK67" s="163">
        <v>28</v>
      </c>
      <c r="AM67">
        <v>91</v>
      </c>
      <c r="AN67" t="s">
        <v>37</v>
      </c>
      <c r="AO67">
        <v>24.077400000000001</v>
      </c>
      <c r="AP67">
        <v>12577200</v>
      </c>
      <c r="AQ67">
        <v>7.0995839670315029</v>
      </c>
      <c r="AR67" t="b">
        <v>1</v>
      </c>
      <c r="AS67">
        <v>32.5377197265625</v>
      </c>
      <c r="AT67">
        <v>817.03546142578125</v>
      </c>
      <c r="AU67">
        <v>2.9122409064312129</v>
      </c>
      <c r="AV67" t="b">
        <v>1</v>
      </c>
      <c r="AW67">
        <v>17</v>
      </c>
      <c r="AY67">
        <v>104</v>
      </c>
      <c r="AZ67" t="s">
        <v>37</v>
      </c>
      <c r="BA67">
        <v>21.896100000000001</v>
      </c>
      <c r="BB67">
        <v>59777300</v>
      </c>
      <c r="BC67">
        <v>7.7765362950862924</v>
      </c>
      <c r="BD67" t="b">
        <v>1</v>
      </c>
      <c r="BE67">
        <v>23.042617797851563</v>
      </c>
      <c r="BF67">
        <v>593731.875</v>
      </c>
      <c r="BG67">
        <v>5.7735903650200688</v>
      </c>
      <c r="BH67" t="b">
        <v>1</v>
      </c>
      <c r="BI67">
        <v>28</v>
      </c>
      <c r="BL67" s="303">
        <v>17</v>
      </c>
      <c r="BM67" s="112">
        <v>5.7331972651065692</v>
      </c>
      <c r="BO67" t="s">
        <v>18</v>
      </c>
      <c r="BP67" t="s">
        <v>18</v>
      </c>
      <c r="BQ67" t="s">
        <v>18</v>
      </c>
      <c r="BR67" t="s">
        <v>18</v>
      </c>
      <c r="BS67" t="s">
        <v>18</v>
      </c>
      <c r="BT67" t="s">
        <v>18</v>
      </c>
      <c r="BU67" t="s">
        <v>18</v>
      </c>
      <c r="BV67" t="s">
        <v>18</v>
      </c>
      <c r="BY67" s="112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</row>
    <row r="68" spans="3:87" x14ac:dyDescent="0.25">
      <c r="C68">
        <v>83</v>
      </c>
      <c r="D68" t="s">
        <v>37</v>
      </c>
      <c r="E68">
        <v>28.383199999999999</v>
      </c>
      <c r="F68" s="111">
        <v>579879</v>
      </c>
      <c r="G68" s="109">
        <v>5.7633373812964841</v>
      </c>
      <c r="H68" t="b">
        <v>1</v>
      </c>
      <c r="I68">
        <v>28.01835823059082</v>
      </c>
      <c r="J68">
        <v>18799.69140625</v>
      </c>
      <c r="K68">
        <v>4.2741507204518321</v>
      </c>
      <c r="L68" s="109" t="b">
        <v>1</v>
      </c>
      <c r="M68" s="109">
        <v>14</v>
      </c>
      <c r="T68" s="112">
        <v>90</v>
      </c>
      <c r="U68" s="112" t="s">
        <v>38</v>
      </c>
      <c r="V68" s="112">
        <v>30.241476058959961</v>
      </c>
      <c r="W68" s="112">
        <v>4019.888916015625</v>
      </c>
      <c r="X68" s="112">
        <v>3.6042140521322308</v>
      </c>
      <c r="AA68" s="164">
        <v>83</v>
      </c>
      <c r="AB68" s="112" t="s">
        <v>37</v>
      </c>
      <c r="AC68" s="112">
        <v>28.383199999999999</v>
      </c>
      <c r="AD68" s="165">
        <v>579879</v>
      </c>
      <c r="AE68" s="166">
        <v>5.7633373812964841</v>
      </c>
      <c r="AF68" s="112" t="b">
        <v>1</v>
      </c>
      <c r="AG68" s="112">
        <v>28.01835823059082</v>
      </c>
      <c r="AH68" s="112">
        <v>18799.69140625</v>
      </c>
      <c r="AI68" s="112">
        <v>4.2741507204518321</v>
      </c>
      <c r="AJ68" s="166" t="b">
        <v>1</v>
      </c>
      <c r="AK68" s="119">
        <v>14</v>
      </c>
      <c r="AM68">
        <v>92</v>
      </c>
      <c r="AN68" t="s">
        <v>37</v>
      </c>
      <c r="AO68">
        <v>23.497800000000002</v>
      </c>
      <c r="AP68">
        <v>19031200</v>
      </c>
      <c r="AQ68">
        <v>7.279466173307906</v>
      </c>
      <c r="AR68" t="b">
        <v>1</v>
      </c>
      <c r="AS68">
        <v>35.227455139160156</v>
      </c>
      <c r="AT68">
        <v>126.38310241699219</v>
      </c>
      <c r="AU68">
        <v>2.1016890120980976</v>
      </c>
      <c r="AV68" t="b">
        <v>1</v>
      </c>
      <c r="AW68">
        <v>11</v>
      </c>
      <c r="AY68">
        <v>112</v>
      </c>
      <c r="AZ68" t="s">
        <v>37</v>
      </c>
      <c r="BA68">
        <v>21.017299999999999</v>
      </c>
      <c r="BB68">
        <v>328177000</v>
      </c>
      <c r="BC68">
        <v>8.5161081406320562</v>
      </c>
      <c r="BD68" t="b">
        <v>1</v>
      </c>
      <c r="BE68">
        <v>20.250991821289063</v>
      </c>
      <c r="BF68">
        <v>4119523.25</v>
      </c>
      <c r="BG68">
        <v>6.6148469582965648</v>
      </c>
      <c r="BH68" t="b">
        <v>1</v>
      </c>
      <c r="BI68">
        <v>28</v>
      </c>
      <c r="BL68" s="304">
        <v>17</v>
      </c>
      <c r="BM68" s="114">
        <v>7.6782970783075664</v>
      </c>
      <c r="BO68" t="s">
        <v>18</v>
      </c>
      <c r="BP68" t="s">
        <v>18</v>
      </c>
      <c r="BQ68" t="s">
        <v>18</v>
      </c>
      <c r="BR68" t="s">
        <v>18</v>
      </c>
      <c r="BS68" t="s">
        <v>18</v>
      </c>
      <c r="BT68" t="s">
        <v>18</v>
      </c>
      <c r="BU68" t="s">
        <v>18</v>
      </c>
      <c r="BV68" t="s">
        <v>18</v>
      </c>
      <c r="BY68" s="112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</row>
    <row r="69" spans="3:87" x14ac:dyDescent="0.25">
      <c r="C69">
        <v>84</v>
      </c>
      <c r="D69" t="s">
        <v>37</v>
      </c>
      <c r="E69">
        <v>30.251899999999999</v>
      </c>
      <c r="F69" s="111">
        <v>152538</v>
      </c>
      <c r="G69" s="109">
        <v>5.1833780478435827</v>
      </c>
      <c r="H69" t="b">
        <v>1</v>
      </c>
      <c r="I69">
        <v>28.982738494873047</v>
      </c>
      <c r="J69">
        <v>9627.96875</v>
      </c>
      <c r="K69">
        <v>3.983534671993044</v>
      </c>
      <c r="L69" s="109" t="b">
        <v>1</v>
      </c>
      <c r="M69" s="109">
        <v>21</v>
      </c>
      <c r="T69" s="114">
        <v>91</v>
      </c>
      <c r="U69" s="114" t="s">
        <v>38</v>
      </c>
      <c r="V69" s="114">
        <v>32.5377197265625</v>
      </c>
      <c r="W69" s="114">
        <v>817.03546142578125</v>
      </c>
      <c r="X69" s="112">
        <v>2.9122409064312129</v>
      </c>
      <c r="AA69" s="161">
        <v>84</v>
      </c>
      <c r="AB69" s="114" t="s">
        <v>37</v>
      </c>
      <c r="AC69" s="114">
        <v>30.251899999999999</v>
      </c>
      <c r="AD69" s="167">
        <v>152538</v>
      </c>
      <c r="AE69" s="162">
        <v>5.1833780478435827</v>
      </c>
      <c r="AF69" s="114" t="b">
        <v>1</v>
      </c>
      <c r="AG69" s="114">
        <v>28.982738494873047</v>
      </c>
      <c r="AH69" s="114">
        <v>9627.96875</v>
      </c>
      <c r="AI69" s="114">
        <v>3.983534671993044</v>
      </c>
      <c r="AJ69" s="162" t="b">
        <v>1</v>
      </c>
      <c r="AK69" s="163">
        <v>21</v>
      </c>
      <c r="AM69">
        <v>93</v>
      </c>
      <c r="AN69" t="s">
        <v>37</v>
      </c>
      <c r="AO69">
        <v>20.520900000000001</v>
      </c>
      <c r="AP69">
        <v>159704000</v>
      </c>
      <c r="AQ69">
        <v>8.2033157937601011</v>
      </c>
      <c r="AR69" t="b">
        <v>1</v>
      </c>
      <c r="AS69">
        <v>20.810632705688477</v>
      </c>
      <c r="AT69">
        <v>2793824.75</v>
      </c>
      <c r="AU69">
        <v>6.4461991603697859</v>
      </c>
      <c r="AV69" t="b">
        <v>1</v>
      </c>
      <c r="AW69">
        <v>28</v>
      </c>
      <c r="AY69">
        <v>27</v>
      </c>
      <c r="AZ69" t="s">
        <v>37</v>
      </c>
      <c r="BA69">
        <v>23.677199999999999</v>
      </c>
      <c r="BB69">
        <v>16741400</v>
      </c>
      <c r="BC69">
        <v>7.223791773062942</v>
      </c>
      <c r="BD69" t="b">
        <v>1</v>
      </c>
      <c r="BE69">
        <v>22.507892608642578</v>
      </c>
      <c r="BF69">
        <v>860458.25</v>
      </c>
      <c r="BG69">
        <v>5.9347298029209927</v>
      </c>
      <c r="BH69" t="b">
        <v>1</v>
      </c>
      <c r="BI69">
        <v>29</v>
      </c>
      <c r="BL69" s="303">
        <v>17</v>
      </c>
      <c r="BM69" s="112">
        <v>7.0995839670315029</v>
      </c>
      <c r="BO69" t="s">
        <v>18</v>
      </c>
      <c r="BP69" t="s">
        <v>18</v>
      </c>
      <c r="BQ69" t="s">
        <v>18</v>
      </c>
      <c r="BR69" t="s">
        <v>18</v>
      </c>
      <c r="BS69" t="s">
        <v>18</v>
      </c>
      <c r="BT69" t="s">
        <v>18</v>
      </c>
      <c r="BU69" t="s">
        <v>18</v>
      </c>
      <c r="BV69" t="s">
        <v>18</v>
      </c>
      <c r="BY69" s="112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</row>
    <row r="70" spans="3:87" x14ac:dyDescent="0.25">
      <c r="C70">
        <v>85</v>
      </c>
      <c r="D70" t="s">
        <v>37</v>
      </c>
      <c r="E70">
        <v>32.026899999999998</v>
      </c>
      <c r="F70" s="111">
        <v>42908.3</v>
      </c>
      <c r="G70" s="109">
        <v>4.6325413083978653</v>
      </c>
      <c r="H70" t="b">
        <v>1</v>
      </c>
      <c r="I70">
        <v>32.180202484130859</v>
      </c>
      <c r="J70">
        <v>1047.077392578125</v>
      </c>
      <c r="K70">
        <v>3.0199787828511813</v>
      </c>
      <c r="L70" s="109" t="b">
        <v>1</v>
      </c>
      <c r="M70" s="109">
        <v>18</v>
      </c>
      <c r="T70" s="112">
        <v>92</v>
      </c>
      <c r="U70" s="112" t="s">
        <v>38</v>
      </c>
      <c r="V70" s="112">
        <v>35.227455139160156</v>
      </c>
      <c r="W70" s="112">
        <v>126.38310241699219</v>
      </c>
      <c r="X70" s="112">
        <v>2.1016890120980976</v>
      </c>
      <c r="AA70" s="164">
        <v>85</v>
      </c>
      <c r="AB70" s="112" t="s">
        <v>37</v>
      </c>
      <c r="AC70" s="112">
        <v>32.026899999999998</v>
      </c>
      <c r="AD70" s="165">
        <v>42908.3</v>
      </c>
      <c r="AE70" s="166">
        <v>4.6325413083978653</v>
      </c>
      <c r="AF70" s="112" t="b">
        <v>1</v>
      </c>
      <c r="AG70" s="112">
        <v>32.180202484130859</v>
      </c>
      <c r="AH70" s="112">
        <v>1047.077392578125</v>
      </c>
      <c r="AI70" s="112">
        <v>3.0199787828511813</v>
      </c>
      <c r="AJ70" s="166" t="b">
        <v>1</v>
      </c>
      <c r="AK70" s="119">
        <v>18</v>
      </c>
      <c r="AM70">
        <v>94</v>
      </c>
      <c r="AN70" t="s">
        <v>37</v>
      </c>
      <c r="AO70">
        <v>22.177499999999998</v>
      </c>
      <c r="AP70">
        <v>48888300</v>
      </c>
      <c r="AQ70">
        <v>7.6892049357409142</v>
      </c>
      <c r="AR70" t="b">
        <v>1</v>
      </c>
      <c r="AS70">
        <v>22.510036468505859</v>
      </c>
      <c r="AT70">
        <v>859179.1875</v>
      </c>
      <c r="AU70">
        <v>5.9340837482630926</v>
      </c>
      <c r="AV70" t="b">
        <v>1</v>
      </c>
      <c r="AW70">
        <v>22</v>
      </c>
      <c r="AY70">
        <v>108</v>
      </c>
      <c r="AZ70" t="s">
        <v>37</v>
      </c>
      <c r="BA70">
        <v>22.1312</v>
      </c>
      <c r="BB70">
        <v>125936000</v>
      </c>
      <c r="BC70">
        <v>8.1001498950521515</v>
      </c>
      <c r="BD70" t="b">
        <v>1</v>
      </c>
      <c r="BE70">
        <v>22.91636848449707</v>
      </c>
      <c r="BF70">
        <v>648090.375</v>
      </c>
      <c r="BG70">
        <v>5.8116355716530768</v>
      </c>
      <c r="BH70" t="b">
        <v>1</v>
      </c>
      <c r="BI70">
        <v>29</v>
      </c>
      <c r="BL70" s="304">
        <v>17</v>
      </c>
      <c r="BM70" s="114">
        <v>7.2294207264933057</v>
      </c>
      <c r="BO70" t="s">
        <v>18</v>
      </c>
      <c r="BP70" t="s">
        <v>18</v>
      </c>
      <c r="BQ70" t="s">
        <v>18</v>
      </c>
      <c r="BR70" t="s">
        <v>18</v>
      </c>
      <c r="BS70" t="s">
        <v>18</v>
      </c>
      <c r="BT70" t="s">
        <v>18</v>
      </c>
      <c r="BU70" t="s">
        <v>18</v>
      </c>
      <c r="BV70" t="s">
        <v>18</v>
      </c>
      <c r="BY70" s="112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</row>
    <row r="71" spans="3:87" x14ac:dyDescent="0.25">
      <c r="C71">
        <v>86</v>
      </c>
      <c r="D71" t="s">
        <v>37</v>
      </c>
      <c r="E71">
        <v>38.974400000000003</v>
      </c>
      <c r="F71">
        <v>299.52100000000002</v>
      </c>
      <c r="G71" s="109">
        <v>2.4764272770238129</v>
      </c>
      <c r="H71" t="b">
        <v>1</v>
      </c>
      <c r="I71">
        <v>32.102989196777344</v>
      </c>
      <c r="J71">
        <v>1104.7066650390625</v>
      </c>
      <c r="K71">
        <v>3.0432469742501373</v>
      </c>
      <c r="L71" s="109" t="b">
        <v>1</v>
      </c>
      <c r="M71" s="109">
        <v>21</v>
      </c>
      <c r="T71" s="114">
        <v>93</v>
      </c>
      <c r="U71" s="114" t="s">
        <v>38</v>
      </c>
      <c r="V71" s="114">
        <v>20.810632705688477</v>
      </c>
      <c r="W71" s="114">
        <v>2793824.75</v>
      </c>
      <c r="X71" s="112">
        <v>6.4461991603697859</v>
      </c>
      <c r="AA71" s="161">
        <v>86</v>
      </c>
      <c r="AB71" s="114" t="s">
        <v>37</v>
      </c>
      <c r="AC71" s="114">
        <v>38.974400000000003</v>
      </c>
      <c r="AD71" s="114">
        <v>299.52100000000002</v>
      </c>
      <c r="AE71" s="162">
        <v>2.4764272770238129</v>
      </c>
      <c r="AF71" s="114" t="b">
        <v>1</v>
      </c>
      <c r="AG71" s="114">
        <v>32.102989196777344</v>
      </c>
      <c r="AH71" s="114">
        <v>1104.7066650390625</v>
      </c>
      <c r="AI71" s="114">
        <v>3.0432469742501373</v>
      </c>
      <c r="AJ71" s="162" t="b">
        <v>1</v>
      </c>
      <c r="AK71" s="163">
        <v>21</v>
      </c>
      <c r="AM71">
        <v>95</v>
      </c>
      <c r="AN71" t="s">
        <v>37</v>
      </c>
      <c r="AO71">
        <v>31.0639</v>
      </c>
      <c r="AP71">
        <v>85388.800000000003</v>
      </c>
      <c r="AQ71">
        <v>4.9314009103004519</v>
      </c>
      <c r="AR71" t="b">
        <v>1</v>
      </c>
      <c r="AS71">
        <v>33.706493377685547</v>
      </c>
      <c r="AT71">
        <v>363.10391235351563</v>
      </c>
      <c r="AU71">
        <v>2.5600309283521359</v>
      </c>
      <c r="AV71" t="b">
        <v>1</v>
      </c>
      <c r="AW71">
        <v>14</v>
      </c>
      <c r="AY71">
        <v>49</v>
      </c>
      <c r="AZ71" t="s">
        <v>37</v>
      </c>
      <c r="BA71">
        <v>21.237300000000001</v>
      </c>
      <c r="BB71">
        <v>95715700</v>
      </c>
      <c r="BC71">
        <v>7.9809831798262802</v>
      </c>
      <c r="BD71" t="b">
        <v>1</v>
      </c>
      <c r="BE71">
        <v>22.037452697753906</v>
      </c>
      <c r="BF71">
        <v>1192605.75</v>
      </c>
      <c r="BG71">
        <v>6.0764968989114907</v>
      </c>
      <c r="BH71" t="b">
        <v>1</v>
      </c>
      <c r="BI71">
        <v>32</v>
      </c>
      <c r="BL71" s="303">
        <v>17</v>
      </c>
      <c r="BM71" s="112">
        <v>7.9872545624192872</v>
      </c>
      <c r="BO71" t="s">
        <v>18</v>
      </c>
      <c r="BP71" t="s">
        <v>18</v>
      </c>
      <c r="BQ71" t="s">
        <v>18</v>
      </c>
      <c r="BR71" t="s">
        <v>18</v>
      </c>
      <c r="BS71" t="s">
        <v>18</v>
      </c>
      <c r="BT71" t="s">
        <v>18</v>
      </c>
      <c r="BU71" t="s">
        <v>18</v>
      </c>
      <c r="BV71" t="s">
        <v>18</v>
      </c>
      <c r="BY71" s="112"/>
      <c r="BZ71" s="164"/>
      <c r="CA71" s="164"/>
      <c r="CB71" s="164"/>
      <c r="CC71" s="164"/>
      <c r="CD71" s="164"/>
      <c r="CE71" s="164"/>
      <c r="CF71" s="164"/>
      <c r="CG71" s="164"/>
      <c r="CH71" s="164"/>
      <c r="CI71" s="164"/>
    </row>
    <row r="72" spans="3:87" x14ac:dyDescent="0.25">
      <c r="C72">
        <v>87</v>
      </c>
      <c r="D72" t="s">
        <v>37</v>
      </c>
      <c r="E72">
        <v>33.034599999999998</v>
      </c>
      <c r="F72" s="111">
        <v>20882.8</v>
      </c>
      <c r="G72" s="109">
        <v>4.3197887291493053</v>
      </c>
      <c r="H72" t="b">
        <v>1</v>
      </c>
      <c r="I72" t="s">
        <v>47</v>
      </c>
      <c r="J72" t="s">
        <v>47</v>
      </c>
      <c r="K72" t="s">
        <v>47</v>
      </c>
      <c r="L72" s="109" t="s">
        <v>48</v>
      </c>
      <c r="M72" s="109">
        <v>3</v>
      </c>
      <c r="T72" s="112">
        <v>94</v>
      </c>
      <c r="U72" s="112" t="s">
        <v>38</v>
      </c>
      <c r="V72" s="112">
        <v>22.510036468505859</v>
      </c>
      <c r="W72" s="112">
        <v>859179.1875</v>
      </c>
      <c r="X72" s="112">
        <v>5.9340837482630926</v>
      </c>
      <c r="AA72" s="164">
        <v>87</v>
      </c>
      <c r="AB72" s="112" t="s">
        <v>37</v>
      </c>
      <c r="AC72" s="112">
        <v>33.034599999999998</v>
      </c>
      <c r="AD72" s="165">
        <v>20882.8</v>
      </c>
      <c r="AE72" s="166">
        <v>4.3197887291493053</v>
      </c>
      <c r="AF72" s="112" t="b">
        <v>1</v>
      </c>
      <c r="AG72" s="112" t="s">
        <v>47</v>
      </c>
      <c r="AH72" s="112" t="s">
        <v>47</v>
      </c>
      <c r="AI72" s="112" t="s">
        <v>47</v>
      </c>
      <c r="AJ72" s="166" t="s">
        <v>48</v>
      </c>
      <c r="AK72" s="119">
        <v>3</v>
      </c>
      <c r="AM72">
        <v>96</v>
      </c>
      <c r="AN72" t="s">
        <v>37</v>
      </c>
      <c r="AO72">
        <v>24.571300000000001</v>
      </c>
      <c r="AP72">
        <v>8837440</v>
      </c>
      <c r="AQ72">
        <v>6.9463264782609819</v>
      </c>
      <c r="AR72" t="b">
        <v>1</v>
      </c>
      <c r="AS72">
        <v>23.386629104614258</v>
      </c>
      <c r="AT72">
        <v>467651.71875</v>
      </c>
      <c r="AU72">
        <v>5.6699225348372622</v>
      </c>
      <c r="AV72" t="b">
        <v>1</v>
      </c>
      <c r="AW72">
        <v>7</v>
      </c>
      <c r="AY72">
        <v>40</v>
      </c>
      <c r="AZ72" t="s">
        <v>37</v>
      </c>
      <c r="BA72">
        <v>24.564699999999998</v>
      </c>
      <c r="BB72">
        <v>8879020</v>
      </c>
      <c r="BC72">
        <v>6.9483650342381562</v>
      </c>
      <c r="BD72" t="b">
        <v>1</v>
      </c>
      <c r="BE72">
        <v>26.152759552001953</v>
      </c>
      <c r="BF72">
        <v>68603.9296875</v>
      </c>
      <c r="BG72">
        <v>4.8363489931516064</v>
      </c>
      <c r="BH72" t="b">
        <v>1</v>
      </c>
      <c r="BI72">
        <v>36</v>
      </c>
      <c r="BL72" s="304">
        <v>18</v>
      </c>
      <c r="BM72" s="114">
        <v>7.2759237731076478</v>
      </c>
      <c r="BO72" t="s">
        <v>18</v>
      </c>
      <c r="BP72" t="s">
        <v>18</v>
      </c>
      <c r="BQ72" t="s">
        <v>18</v>
      </c>
      <c r="BR72" t="s">
        <v>18</v>
      </c>
      <c r="BS72" t="s">
        <v>18</v>
      </c>
      <c r="BT72" t="s">
        <v>18</v>
      </c>
      <c r="BU72" t="s">
        <v>18</v>
      </c>
      <c r="BV72" t="s">
        <v>18</v>
      </c>
      <c r="BY72" s="112"/>
      <c r="BZ72" s="164"/>
      <c r="CA72" s="164"/>
      <c r="CB72" s="164"/>
      <c r="CC72" s="164"/>
      <c r="CD72" s="164"/>
      <c r="CE72" s="164"/>
      <c r="CF72" s="164"/>
      <c r="CG72" s="164"/>
      <c r="CH72" s="164"/>
      <c r="CI72" s="164"/>
    </row>
    <row r="73" spans="3:87" x14ac:dyDescent="0.25">
      <c r="C73">
        <v>88</v>
      </c>
      <c r="D73" t="s">
        <v>37</v>
      </c>
      <c r="E73">
        <v>21.2332</v>
      </c>
      <c r="F73" s="111">
        <v>95999400</v>
      </c>
      <c r="G73" s="109">
        <v>7.9822685186905744</v>
      </c>
      <c r="H73" t="b">
        <v>1</v>
      </c>
      <c r="I73">
        <v>20.124691009521484</v>
      </c>
      <c r="J73">
        <v>4496843</v>
      </c>
      <c r="K73">
        <v>6.6529077251432334</v>
      </c>
      <c r="L73" s="109" t="b">
        <v>1</v>
      </c>
      <c r="M73" s="109">
        <v>24</v>
      </c>
      <c r="T73" s="114">
        <v>95</v>
      </c>
      <c r="U73" s="114" t="s">
        <v>38</v>
      </c>
      <c r="V73" s="114">
        <v>33.706493377685547</v>
      </c>
      <c r="W73" s="114">
        <v>363.10391235351563</v>
      </c>
      <c r="X73" s="112">
        <v>2.5600309283521359</v>
      </c>
      <c r="AA73" s="161">
        <v>88</v>
      </c>
      <c r="AB73" s="114" t="s">
        <v>37</v>
      </c>
      <c r="AC73" s="114">
        <v>21.2332</v>
      </c>
      <c r="AD73" s="167">
        <v>95999400</v>
      </c>
      <c r="AE73" s="162">
        <v>7.9822685186905744</v>
      </c>
      <c r="AF73" s="114" t="b">
        <v>1</v>
      </c>
      <c r="AG73" s="114">
        <v>20.124691009521484</v>
      </c>
      <c r="AH73" s="114">
        <v>4496843</v>
      </c>
      <c r="AI73" s="114">
        <v>6.6529077251432334</v>
      </c>
      <c r="AJ73" s="162" t="b">
        <v>1</v>
      </c>
      <c r="AK73" s="163">
        <v>24</v>
      </c>
      <c r="AM73">
        <v>97</v>
      </c>
      <c r="AN73" t="s">
        <v>37</v>
      </c>
      <c r="AO73">
        <v>22.627099999999999</v>
      </c>
      <c r="AP73">
        <v>35456300</v>
      </c>
      <c r="AQ73">
        <v>7.5496934133454783</v>
      </c>
      <c r="AR73" t="b">
        <v>1</v>
      </c>
      <c r="AS73">
        <v>23.59135627746582</v>
      </c>
      <c r="AT73">
        <v>405721.46875</v>
      </c>
      <c r="AU73">
        <v>5.6082279890032432</v>
      </c>
      <c r="AV73" t="b">
        <v>1</v>
      </c>
      <c r="AW73">
        <v>14</v>
      </c>
      <c r="AY73">
        <v>50</v>
      </c>
      <c r="AZ73" t="s">
        <v>37</v>
      </c>
      <c r="BA73">
        <v>28.9773</v>
      </c>
      <c r="BB73">
        <v>379265</v>
      </c>
      <c r="BC73">
        <v>5.5789427662244995</v>
      </c>
      <c r="BD73" t="b">
        <v>1</v>
      </c>
      <c r="BE73">
        <v>26.57733154296875</v>
      </c>
      <c r="BF73">
        <v>51098.03515625</v>
      </c>
      <c r="BG73">
        <v>4.7084042007765063</v>
      </c>
      <c r="BH73" t="b">
        <v>1</v>
      </c>
      <c r="BI73">
        <v>36</v>
      </c>
      <c r="BL73" s="303">
        <v>18</v>
      </c>
      <c r="BM73" s="112">
        <v>7.96680557829667</v>
      </c>
      <c r="BO73" t="s">
        <v>18</v>
      </c>
      <c r="BP73" t="s">
        <v>18</v>
      </c>
      <c r="BQ73" t="s">
        <v>18</v>
      </c>
      <c r="BR73" t="s">
        <v>18</v>
      </c>
      <c r="BS73" t="s">
        <v>18</v>
      </c>
      <c r="BT73" t="s">
        <v>18</v>
      </c>
      <c r="BU73" t="s">
        <v>18</v>
      </c>
      <c r="BV73" t="s">
        <v>18</v>
      </c>
      <c r="BY73" s="112"/>
      <c r="BZ73" s="164"/>
      <c r="CA73" s="164"/>
      <c r="CB73" s="164"/>
      <c r="CC73" s="164"/>
      <c r="CD73" s="164"/>
      <c r="CE73" s="164"/>
      <c r="CF73" s="164"/>
      <c r="CG73" s="164"/>
      <c r="CH73" s="164"/>
      <c r="CI73" s="164"/>
    </row>
    <row r="74" spans="3:87" x14ac:dyDescent="0.25">
      <c r="C74">
        <v>89</v>
      </c>
      <c r="D74" t="s">
        <v>37</v>
      </c>
      <c r="E74" t="s">
        <v>39</v>
      </c>
      <c r="G74" s="109" t="s">
        <v>18</v>
      </c>
      <c r="H74" t="b">
        <v>0</v>
      </c>
      <c r="I74" t="s">
        <v>47</v>
      </c>
      <c r="J74" t="s">
        <v>47</v>
      </c>
      <c r="K74" t="s">
        <v>47</v>
      </c>
      <c r="L74" s="109" t="s">
        <v>48</v>
      </c>
      <c r="M74" s="109">
        <v>9</v>
      </c>
      <c r="T74" s="112">
        <v>96</v>
      </c>
      <c r="U74" s="112" t="s">
        <v>38</v>
      </c>
      <c r="V74" s="112">
        <v>23.386629104614258</v>
      </c>
      <c r="W74" s="112">
        <v>467651.71875</v>
      </c>
      <c r="X74" s="112">
        <v>5.6699225348372622</v>
      </c>
      <c r="AA74" s="164">
        <v>89</v>
      </c>
      <c r="AB74" s="112" t="s">
        <v>37</v>
      </c>
      <c r="AC74" s="112" t="s">
        <v>39</v>
      </c>
      <c r="AD74" s="112"/>
      <c r="AE74" s="166" t="s">
        <v>18</v>
      </c>
      <c r="AF74" s="112" t="b">
        <v>0</v>
      </c>
      <c r="AG74" s="112" t="s">
        <v>47</v>
      </c>
      <c r="AH74" s="112" t="s">
        <v>47</v>
      </c>
      <c r="AI74" s="112" t="s">
        <v>47</v>
      </c>
      <c r="AJ74" s="166" t="s">
        <v>48</v>
      </c>
      <c r="AK74" s="119">
        <v>9</v>
      </c>
      <c r="AM74">
        <v>98</v>
      </c>
      <c r="AN74" t="s">
        <v>37</v>
      </c>
      <c r="AO74">
        <v>20.584700000000002</v>
      </c>
      <c r="AP74">
        <v>152589000</v>
      </c>
      <c r="AQ74">
        <v>8.1835232268594247</v>
      </c>
      <c r="AR74" t="b">
        <v>1</v>
      </c>
      <c r="AS74">
        <v>19.919721603393555</v>
      </c>
      <c r="AT74">
        <v>5184122.5</v>
      </c>
      <c r="AU74">
        <v>6.7146752552941464</v>
      </c>
      <c r="AV74" t="b">
        <v>1</v>
      </c>
      <c r="AW74">
        <v>18</v>
      </c>
      <c r="AY74">
        <v>2</v>
      </c>
      <c r="AZ74" t="s">
        <v>37</v>
      </c>
      <c r="BA74">
        <v>0</v>
      </c>
      <c r="BB74">
        <v>55135836</v>
      </c>
      <c r="BC74">
        <v>7.7414339639730825</v>
      </c>
      <c r="BD74" t="b">
        <v>1</v>
      </c>
      <c r="BE74">
        <v>24.813081741333008</v>
      </c>
      <c r="BF74">
        <v>173804.46875</v>
      </c>
      <c r="BG74">
        <v>5.2400609385598056</v>
      </c>
      <c r="BH74" t="b">
        <v>1</v>
      </c>
      <c r="BI74">
        <v>37</v>
      </c>
      <c r="BL74" s="304">
        <v>18</v>
      </c>
      <c r="BM74" s="114">
        <v>5.7502931227494098</v>
      </c>
      <c r="BO74" t="s">
        <v>18</v>
      </c>
      <c r="BP74" t="s">
        <v>18</v>
      </c>
      <c r="BQ74" t="s">
        <v>18</v>
      </c>
      <c r="BR74" t="s">
        <v>18</v>
      </c>
      <c r="BS74" t="s">
        <v>18</v>
      </c>
      <c r="BT74" t="s">
        <v>18</v>
      </c>
      <c r="BU74" t="s">
        <v>18</v>
      </c>
      <c r="BV74" t="s">
        <v>18</v>
      </c>
      <c r="BY74" s="112"/>
      <c r="BZ74" s="164"/>
      <c r="CA74" s="164"/>
      <c r="CB74" s="164"/>
      <c r="CC74" s="164"/>
      <c r="CD74" s="164"/>
      <c r="CE74" s="164"/>
      <c r="CF74" s="164"/>
      <c r="CG74" s="164"/>
      <c r="CH74" s="164"/>
      <c r="CI74" s="164"/>
    </row>
    <row r="75" spans="3:87" x14ac:dyDescent="0.25">
      <c r="C75">
        <v>90</v>
      </c>
      <c r="D75" t="s">
        <v>37</v>
      </c>
      <c r="E75">
        <v>31.729700000000001</v>
      </c>
      <c r="F75" s="111">
        <v>53058.6</v>
      </c>
      <c r="G75" s="109">
        <v>4.7247557865378278</v>
      </c>
      <c r="H75" t="b">
        <v>1</v>
      </c>
      <c r="I75">
        <v>30.241476058959961</v>
      </c>
      <c r="J75">
        <v>4019.888916015625</v>
      </c>
      <c r="K75">
        <v>3.6042140521322308</v>
      </c>
      <c r="L75" s="109" t="b">
        <v>1</v>
      </c>
      <c r="M75" s="109">
        <v>21</v>
      </c>
      <c r="T75" s="114">
        <v>97</v>
      </c>
      <c r="U75" s="114" t="s">
        <v>38</v>
      </c>
      <c r="V75" s="114">
        <v>23.59135627746582</v>
      </c>
      <c r="W75" s="114">
        <v>405721.46875</v>
      </c>
      <c r="X75" s="112">
        <v>5.6082279890032432</v>
      </c>
      <c r="AA75" s="161">
        <v>90</v>
      </c>
      <c r="AB75" s="114" t="s">
        <v>37</v>
      </c>
      <c r="AC75" s="114">
        <v>31.729700000000001</v>
      </c>
      <c r="AD75" s="167">
        <v>53058.6</v>
      </c>
      <c r="AE75" s="162">
        <v>4.7247557865378278</v>
      </c>
      <c r="AF75" s="114" t="b">
        <v>1</v>
      </c>
      <c r="AG75" s="114">
        <v>30.241476058959961</v>
      </c>
      <c r="AH75" s="114">
        <v>4019.888916015625</v>
      </c>
      <c r="AI75" s="114">
        <v>3.6042140521322308</v>
      </c>
      <c r="AJ75" s="162" t="b">
        <v>1</v>
      </c>
      <c r="AK75" s="163">
        <v>21</v>
      </c>
      <c r="AM75">
        <v>99</v>
      </c>
      <c r="AN75" t="s">
        <v>37</v>
      </c>
      <c r="AO75">
        <v>22.720500000000001</v>
      </c>
      <c r="AP75">
        <v>33167500</v>
      </c>
      <c r="AQ75">
        <v>7.5207127378106371</v>
      </c>
      <c r="AR75" t="b">
        <v>1</v>
      </c>
      <c r="AS75">
        <v>19.897241592407227</v>
      </c>
      <c r="AT75">
        <v>5265621</v>
      </c>
      <c r="AU75">
        <v>6.7214495969781645</v>
      </c>
      <c r="AV75" t="b">
        <v>1</v>
      </c>
      <c r="AW75">
        <v>14</v>
      </c>
      <c r="AY75">
        <v>16</v>
      </c>
      <c r="AZ75" t="s">
        <v>37</v>
      </c>
      <c r="BA75">
        <v>0</v>
      </c>
      <c r="BB75">
        <v>21465378</v>
      </c>
      <c r="BC75">
        <v>7.3317385407012585</v>
      </c>
      <c r="BD75" t="b">
        <v>1</v>
      </c>
      <c r="BE75">
        <v>23.026762008666992</v>
      </c>
      <c r="BF75">
        <v>600300.1875</v>
      </c>
      <c r="BG75">
        <v>5.7783684790050538</v>
      </c>
      <c r="BH75" t="b">
        <v>1</v>
      </c>
      <c r="BI75">
        <v>39</v>
      </c>
      <c r="BL75" s="303">
        <v>18</v>
      </c>
      <c r="BM75" s="112">
        <v>6.6316040630918813</v>
      </c>
      <c r="BO75" t="s">
        <v>18</v>
      </c>
      <c r="BP75" t="s">
        <v>18</v>
      </c>
      <c r="BQ75" t="s">
        <v>18</v>
      </c>
      <c r="BR75" t="s">
        <v>18</v>
      </c>
      <c r="BS75" t="s">
        <v>18</v>
      </c>
      <c r="BT75" t="s">
        <v>18</v>
      </c>
      <c r="BU75" t="s">
        <v>18</v>
      </c>
      <c r="BV75" t="s">
        <v>18</v>
      </c>
      <c r="BY75" s="112"/>
      <c r="BZ75" s="164"/>
      <c r="CA75" s="164"/>
      <c r="CB75" s="164"/>
      <c r="CC75" s="164"/>
      <c r="CD75" s="164"/>
      <c r="CE75" s="164"/>
      <c r="CF75" s="164"/>
      <c r="CG75" s="164"/>
      <c r="CH75" s="164"/>
      <c r="CI75" s="164"/>
    </row>
    <row r="76" spans="3:87" x14ac:dyDescent="0.25">
      <c r="C76">
        <v>91</v>
      </c>
      <c r="D76" t="s">
        <v>37</v>
      </c>
      <c r="E76">
        <v>24.077400000000001</v>
      </c>
      <c r="F76" s="111">
        <v>12577200</v>
      </c>
      <c r="G76" s="109">
        <v>7.0995839670315029</v>
      </c>
      <c r="H76" t="b">
        <v>1</v>
      </c>
      <c r="I76">
        <v>32.5377197265625</v>
      </c>
      <c r="J76">
        <v>817.03546142578125</v>
      </c>
      <c r="K76">
        <v>2.9122409064312129</v>
      </c>
      <c r="L76" s="109" t="b">
        <v>1</v>
      </c>
      <c r="M76" s="109">
        <v>17</v>
      </c>
      <c r="T76" s="112"/>
      <c r="U76" s="112" t="s">
        <v>41</v>
      </c>
      <c r="V76" s="112" t="s">
        <v>39</v>
      </c>
      <c r="W76" s="112" t="s">
        <v>18</v>
      </c>
      <c r="X76" s="112" t="s">
        <v>18</v>
      </c>
      <c r="AA76" s="164">
        <v>91</v>
      </c>
      <c r="AB76" s="112" t="s">
        <v>37</v>
      </c>
      <c r="AC76" s="112">
        <v>24.077400000000001</v>
      </c>
      <c r="AD76" s="165">
        <v>12577200</v>
      </c>
      <c r="AE76" s="166">
        <v>7.0995839670315029</v>
      </c>
      <c r="AF76" s="112" t="b">
        <v>1</v>
      </c>
      <c r="AG76" s="112">
        <v>32.5377197265625</v>
      </c>
      <c r="AH76" s="112">
        <v>817.03546142578125</v>
      </c>
      <c r="AI76" s="112">
        <v>2.9122409064312129</v>
      </c>
      <c r="AJ76" s="166" t="b">
        <v>1</v>
      </c>
      <c r="AK76" s="119">
        <v>17</v>
      </c>
      <c r="AM76">
        <v>100</v>
      </c>
      <c r="AN76" t="s">
        <v>37</v>
      </c>
      <c r="AO76">
        <v>23.659099999999999</v>
      </c>
      <c r="AP76">
        <v>16959800</v>
      </c>
      <c r="AQ76">
        <v>7.2294207264933057</v>
      </c>
      <c r="AR76" t="b">
        <v>1</v>
      </c>
      <c r="AS76">
        <v>24.987758636474609</v>
      </c>
      <c r="AT76">
        <v>153965.015625</v>
      </c>
      <c r="AU76">
        <v>5.1874220504011221</v>
      </c>
      <c r="AV76" t="b">
        <v>1</v>
      </c>
      <c r="AW76">
        <v>17</v>
      </c>
      <c r="BL76" s="304">
        <v>18</v>
      </c>
      <c r="BM76" s="114">
        <v>4.6325413083978653</v>
      </c>
      <c r="BO76" t="s">
        <v>18</v>
      </c>
      <c r="BP76" t="s">
        <v>18</v>
      </c>
      <c r="BQ76" t="s">
        <v>18</v>
      </c>
      <c r="BR76" t="s">
        <v>18</v>
      </c>
      <c r="BS76" t="s">
        <v>18</v>
      </c>
      <c r="BT76" t="s">
        <v>18</v>
      </c>
      <c r="BU76" t="s">
        <v>18</v>
      </c>
      <c r="BV76" t="s">
        <v>18</v>
      </c>
      <c r="BY76" s="112"/>
      <c r="BZ76" s="164"/>
      <c r="CA76" s="164"/>
      <c r="CB76" s="164"/>
      <c r="CC76" s="164"/>
      <c r="CD76" s="164"/>
      <c r="CE76" s="164"/>
      <c r="CF76" s="164"/>
      <c r="CG76" s="164"/>
      <c r="CH76" s="164"/>
      <c r="CI76" s="164"/>
    </row>
    <row r="77" spans="3:87" x14ac:dyDescent="0.25">
      <c r="C77">
        <v>92</v>
      </c>
      <c r="D77" t="s">
        <v>37</v>
      </c>
      <c r="E77">
        <v>23.497800000000002</v>
      </c>
      <c r="F77" s="111">
        <v>19031200</v>
      </c>
      <c r="G77" s="109">
        <v>7.279466173307906</v>
      </c>
      <c r="H77" t="b">
        <v>1</v>
      </c>
      <c r="I77">
        <v>35.227455139160156</v>
      </c>
      <c r="J77">
        <v>126.38310241699219</v>
      </c>
      <c r="K77">
        <v>2.1016890120980976</v>
      </c>
      <c r="L77" s="109" t="b">
        <v>1</v>
      </c>
      <c r="M77" s="109">
        <v>11</v>
      </c>
      <c r="T77" s="114"/>
      <c r="U77" s="114" t="s">
        <v>41</v>
      </c>
      <c r="V77" s="114" t="s">
        <v>39</v>
      </c>
      <c r="W77" s="114" t="s">
        <v>18</v>
      </c>
      <c r="X77" s="112" t="s">
        <v>18</v>
      </c>
      <c r="AA77" s="161">
        <v>92</v>
      </c>
      <c r="AB77" s="114" t="s">
        <v>37</v>
      </c>
      <c r="AC77" s="114">
        <v>23.497800000000002</v>
      </c>
      <c r="AD77" s="167">
        <v>19031200</v>
      </c>
      <c r="AE77" s="162">
        <v>7.279466173307906</v>
      </c>
      <c r="AF77" s="114" t="b">
        <v>1</v>
      </c>
      <c r="AG77" s="114">
        <v>35.227455139160156</v>
      </c>
      <c r="AH77" s="114">
        <v>126.38310241699219</v>
      </c>
      <c r="AI77" s="114">
        <v>2.1016890120980976</v>
      </c>
      <c r="AJ77" s="162" t="b">
        <v>1</v>
      </c>
      <c r="AK77" s="163">
        <v>11</v>
      </c>
      <c r="AM77">
        <v>101</v>
      </c>
      <c r="AN77" t="s">
        <v>37</v>
      </c>
      <c r="AO77">
        <v>25.417100000000001</v>
      </c>
      <c r="AP77">
        <v>4828770</v>
      </c>
      <c r="AQ77">
        <v>6.6838365199355119</v>
      </c>
      <c r="AR77" t="b">
        <v>1</v>
      </c>
      <c r="AS77">
        <v>24.491718292236328</v>
      </c>
      <c r="AT77">
        <v>217222.015625</v>
      </c>
      <c r="AU77">
        <v>5.3369038392405477</v>
      </c>
      <c r="AV77" t="b">
        <v>1</v>
      </c>
      <c r="AW77">
        <v>14</v>
      </c>
      <c r="BL77" s="303">
        <v>18</v>
      </c>
      <c r="BM77" s="112">
        <v>8.1835232268594247</v>
      </c>
      <c r="BO77" t="s">
        <v>18</v>
      </c>
      <c r="BP77" t="s">
        <v>18</v>
      </c>
      <c r="BQ77" t="s">
        <v>18</v>
      </c>
      <c r="BR77" t="s">
        <v>18</v>
      </c>
      <c r="BS77" t="s">
        <v>18</v>
      </c>
      <c r="BT77" t="s">
        <v>18</v>
      </c>
      <c r="BU77" t="s">
        <v>18</v>
      </c>
      <c r="BV77" t="s">
        <v>18</v>
      </c>
      <c r="BY77" s="112"/>
      <c r="BZ77" s="164"/>
      <c r="CA77" s="164"/>
      <c r="CB77" s="164"/>
      <c r="CC77" s="164"/>
      <c r="CD77" s="164"/>
      <c r="CE77" s="164"/>
      <c r="CF77" s="164"/>
      <c r="CG77" s="164"/>
      <c r="CH77" s="164"/>
      <c r="CI77" s="164"/>
    </row>
    <row r="78" spans="3:87" x14ac:dyDescent="0.25">
      <c r="C78">
        <v>93</v>
      </c>
      <c r="D78" t="s">
        <v>37</v>
      </c>
      <c r="E78">
        <v>20.520900000000001</v>
      </c>
      <c r="F78" s="111">
        <v>159704000</v>
      </c>
      <c r="G78" s="109">
        <v>8.2033157937601011</v>
      </c>
      <c r="H78" t="b">
        <v>1</v>
      </c>
      <c r="I78">
        <v>20.810632705688477</v>
      </c>
      <c r="J78">
        <v>2793824.75</v>
      </c>
      <c r="K78">
        <v>6.4461991603697859</v>
      </c>
      <c r="L78" s="109" t="b">
        <v>1</v>
      </c>
      <c r="M78" s="109">
        <v>28</v>
      </c>
      <c r="T78" s="112">
        <v>98</v>
      </c>
      <c r="U78" s="112" t="s">
        <v>38</v>
      </c>
      <c r="V78" s="112">
        <v>19.919721603393555</v>
      </c>
      <c r="W78" s="112">
        <v>5184122.5</v>
      </c>
      <c r="X78" s="112">
        <v>6.7146752552941464</v>
      </c>
      <c r="AA78" s="164">
        <v>93</v>
      </c>
      <c r="AB78" s="112" t="s">
        <v>37</v>
      </c>
      <c r="AC78" s="112">
        <v>20.520900000000001</v>
      </c>
      <c r="AD78" s="165">
        <v>159704000</v>
      </c>
      <c r="AE78" s="166">
        <v>8.2033157937601011</v>
      </c>
      <c r="AF78" s="112" t="b">
        <v>1</v>
      </c>
      <c r="AG78" s="112">
        <v>20.810632705688477</v>
      </c>
      <c r="AH78" s="112">
        <v>2793824.75</v>
      </c>
      <c r="AI78" s="112">
        <v>6.4461991603697859</v>
      </c>
      <c r="AJ78" s="166" t="b">
        <v>1</v>
      </c>
      <c r="AK78" s="119">
        <v>28</v>
      </c>
      <c r="AM78">
        <v>102</v>
      </c>
      <c r="AN78" t="s">
        <v>37</v>
      </c>
      <c r="AO78">
        <v>22.1234</v>
      </c>
      <c r="AP78">
        <v>50815100</v>
      </c>
      <c r="AQ78">
        <v>7.7059927845718965</v>
      </c>
      <c r="AR78" t="b">
        <v>1</v>
      </c>
      <c r="AS78">
        <v>21.85960578918457</v>
      </c>
      <c r="AT78">
        <v>1349245.75</v>
      </c>
      <c r="AU78">
        <v>6.130091058751737</v>
      </c>
      <c r="AV78" t="b">
        <v>1</v>
      </c>
      <c r="AW78">
        <v>15</v>
      </c>
      <c r="BL78" s="304">
        <v>18</v>
      </c>
      <c r="BM78" s="114">
        <v>5.4196286660082098</v>
      </c>
      <c r="BO78" t="s">
        <v>18</v>
      </c>
      <c r="BP78" t="s">
        <v>18</v>
      </c>
      <c r="BQ78" t="s">
        <v>18</v>
      </c>
      <c r="BR78" t="s">
        <v>18</v>
      </c>
      <c r="BS78" t="s">
        <v>18</v>
      </c>
      <c r="BT78" t="s">
        <v>18</v>
      </c>
      <c r="BU78" t="s">
        <v>18</v>
      </c>
      <c r="BV78" t="s">
        <v>18</v>
      </c>
      <c r="BY78" s="112"/>
      <c r="BZ78" s="164"/>
      <c r="CA78" s="164"/>
      <c r="CB78" s="164"/>
      <c r="CC78" s="164"/>
      <c r="CD78" s="164"/>
      <c r="CE78" s="164"/>
      <c r="CF78" s="164"/>
      <c r="CG78" s="164"/>
      <c r="CH78" s="164"/>
      <c r="CI78" s="164"/>
    </row>
    <row r="79" spans="3:87" x14ac:dyDescent="0.25">
      <c r="C79">
        <v>94</v>
      </c>
      <c r="D79" t="s">
        <v>37</v>
      </c>
      <c r="E79">
        <v>22.177499999999998</v>
      </c>
      <c r="F79" s="111">
        <v>48888300</v>
      </c>
      <c r="G79" s="109">
        <v>7.6892049357409142</v>
      </c>
      <c r="H79" t="b">
        <v>1</v>
      </c>
      <c r="I79">
        <v>22.510036468505859</v>
      </c>
      <c r="J79">
        <v>859179.1875</v>
      </c>
      <c r="K79">
        <v>5.9340837482630926</v>
      </c>
      <c r="L79" s="109" t="b">
        <v>1</v>
      </c>
      <c r="M79" s="109">
        <v>22</v>
      </c>
      <c r="T79" s="114">
        <v>99</v>
      </c>
      <c r="U79" s="114" t="s">
        <v>38</v>
      </c>
      <c r="V79" s="114">
        <v>19.897241592407227</v>
      </c>
      <c r="W79" s="114">
        <v>5265621</v>
      </c>
      <c r="X79" s="112">
        <v>6.7214495969781645</v>
      </c>
      <c r="AA79" s="161">
        <v>94</v>
      </c>
      <c r="AB79" s="114" t="s">
        <v>37</v>
      </c>
      <c r="AC79" s="114">
        <v>22.177499999999998</v>
      </c>
      <c r="AD79" s="167">
        <v>48888300</v>
      </c>
      <c r="AE79" s="162">
        <v>7.6892049357409142</v>
      </c>
      <c r="AF79" s="114" t="b">
        <v>1</v>
      </c>
      <c r="AG79" s="114">
        <v>22.510036468505859</v>
      </c>
      <c r="AH79" s="114">
        <v>859179.1875</v>
      </c>
      <c r="AI79" s="114">
        <v>5.9340837482630926</v>
      </c>
      <c r="AJ79" s="162" t="b">
        <v>1</v>
      </c>
      <c r="AK79" s="163">
        <v>22</v>
      </c>
      <c r="AM79">
        <v>103</v>
      </c>
      <c r="AN79" t="s">
        <v>37</v>
      </c>
      <c r="AO79">
        <v>21.217099999999999</v>
      </c>
      <c r="AP79">
        <v>97107900</v>
      </c>
      <c r="AQ79">
        <v>7.9872545624192872</v>
      </c>
      <c r="AR79" t="b">
        <v>1</v>
      </c>
      <c r="AS79">
        <v>21.564455032348633</v>
      </c>
      <c r="AT79">
        <v>1655902.5</v>
      </c>
      <c r="AU79">
        <v>6.2190347618217077</v>
      </c>
      <c r="AV79" t="b">
        <v>1</v>
      </c>
      <c r="AW79">
        <v>17</v>
      </c>
      <c r="BL79" s="303">
        <v>21</v>
      </c>
      <c r="BM79" s="112">
        <v>7.7884808941081207</v>
      </c>
      <c r="BO79" t="s">
        <v>18</v>
      </c>
      <c r="BP79" t="s">
        <v>18</v>
      </c>
      <c r="BQ79" t="s">
        <v>18</v>
      </c>
      <c r="BR79" t="s">
        <v>18</v>
      </c>
      <c r="BS79" t="s">
        <v>18</v>
      </c>
      <c r="BT79" t="s">
        <v>18</v>
      </c>
      <c r="BU79" t="s">
        <v>18</v>
      </c>
      <c r="BV79" t="s">
        <v>18</v>
      </c>
      <c r="BY79" s="112"/>
      <c r="BZ79" s="164"/>
      <c r="CA79" s="164"/>
      <c r="CB79" s="164"/>
      <c r="CC79" s="164"/>
      <c r="CD79" s="164"/>
      <c r="CE79" s="164"/>
      <c r="CF79" s="164"/>
      <c r="CG79" s="164"/>
      <c r="CH79" s="164"/>
      <c r="CI79" s="164"/>
    </row>
    <row r="80" spans="3:87" x14ac:dyDescent="0.25">
      <c r="C80">
        <v>95</v>
      </c>
      <c r="D80" t="s">
        <v>37</v>
      </c>
      <c r="E80">
        <v>31.0639</v>
      </c>
      <c r="F80" s="111">
        <v>85388.800000000003</v>
      </c>
      <c r="G80" s="109">
        <v>4.9314009103004519</v>
      </c>
      <c r="H80" t="b">
        <v>1</v>
      </c>
      <c r="I80">
        <v>33.706493377685547</v>
      </c>
      <c r="J80">
        <v>363.10391235351563</v>
      </c>
      <c r="K80">
        <v>2.5600309283521359</v>
      </c>
      <c r="L80" s="109" t="b">
        <v>1</v>
      </c>
      <c r="M80" s="109">
        <v>14</v>
      </c>
      <c r="T80" s="112">
        <v>100</v>
      </c>
      <c r="U80" s="112" t="s">
        <v>38</v>
      </c>
      <c r="V80" s="112">
        <v>24.987758636474609</v>
      </c>
      <c r="W80" s="112">
        <v>153965.015625</v>
      </c>
      <c r="X80" s="112">
        <v>5.1874220504011221</v>
      </c>
      <c r="AA80" s="164">
        <v>95</v>
      </c>
      <c r="AB80" s="112" t="s">
        <v>37</v>
      </c>
      <c r="AC80" s="112">
        <v>31.0639</v>
      </c>
      <c r="AD80" s="165">
        <v>85388.800000000003</v>
      </c>
      <c r="AE80" s="166">
        <v>4.9314009103004519</v>
      </c>
      <c r="AF80" s="112" t="b">
        <v>1</v>
      </c>
      <c r="AG80" s="112">
        <v>33.706493377685547</v>
      </c>
      <c r="AH80" s="112">
        <v>363.10391235351563</v>
      </c>
      <c r="AI80" s="112">
        <v>2.5600309283521359</v>
      </c>
      <c r="AJ80" s="166" t="b">
        <v>1</v>
      </c>
      <c r="AK80" s="119">
        <v>14</v>
      </c>
      <c r="AM80">
        <v>104</v>
      </c>
      <c r="AN80" t="s">
        <v>37</v>
      </c>
      <c r="AO80">
        <v>21.896100000000001</v>
      </c>
      <c r="AP80">
        <v>59777300</v>
      </c>
      <c r="AQ80">
        <v>7.7765362950862924</v>
      </c>
      <c r="AR80" t="b">
        <v>1</v>
      </c>
      <c r="AS80">
        <v>23.042617797851563</v>
      </c>
      <c r="AT80">
        <v>593731.875</v>
      </c>
      <c r="AU80">
        <v>5.7735903650200688</v>
      </c>
      <c r="AV80" t="b">
        <v>1</v>
      </c>
      <c r="AW80">
        <v>28</v>
      </c>
      <c r="BL80" s="304">
        <v>21</v>
      </c>
      <c r="BM80" s="114">
        <v>7.5510936327336724</v>
      </c>
      <c r="BO80" t="s">
        <v>18</v>
      </c>
      <c r="BP80" t="s">
        <v>18</v>
      </c>
      <c r="BQ80" t="s">
        <v>18</v>
      </c>
      <c r="BR80" t="s">
        <v>18</v>
      </c>
      <c r="BS80" t="s">
        <v>18</v>
      </c>
      <c r="BT80" t="s">
        <v>18</v>
      </c>
      <c r="BU80" t="s">
        <v>18</v>
      </c>
      <c r="BV80" t="s">
        <v>18</v>
      </c>
      <c r="BY80" s="112"/>
      <c r="BZ80" s="164"/>
      <c r="CA80" s="164"/>
      <c r="CB80" s="164"/>
      <c r="CC80" s="164"/>
      <c r="CD80" s="164"/>
      <c r="CE80" s="164"/>
      <c r="CF80" s="164"/>
      <c r="CG80" s="164"/>
      <c r="CH80" s="164"/>
      <c r="CI80" s="164"/>
    </row>
    <row r="81" spans="3:87" x14ac:dyDescent="0.25">
      <c r="C81">
        <v>96</v>
      </c>
      <c r="D81" t="s">
        <v>37</v>
      </c>
      <c r="E81">
        <v>24.571300000000001</v>
      </c>
      <c r="F81" s="111">
        <v>8837440</v>
      </c>
      <c r="G81" s="109">
        <v>6.9463264782609819</v>
      </c>
      <c r="H81" t="b">
        <v>1</v>
      </c>
      <c r="I81">
        <v>23.386629104614258</v>
      </c>
      <c r="J81">
        <v>467651.71875</v>
      </c>
      <c r="K81">
        <v>5.6699225348372622</v>
      </c>
      <c r="L81" s="109" t="b">
        <v>1</v>
      </c>
      <c r="M81" s="109">
        <v>7</v>
      </c>
      <c r="T81" s="114">
        <v>101</v>
      </c>
      <c r="U81" s="114" t="s">
        <v>38</v>
      </c>
      <c r="V81" s="114">
        <v>24.491718292236328</v>
      </c>
      <c r="W81" s="114">
        <v>217222.015625</v>
      </c>
      <c r="X81" s="112">
        <v>5.3369038392405477</v>
      </c>
      <c r="AA81" s="161">
        <v>96</v>
      </c>
      <c r="AB81" s="114" t="s">
        <v>37</v>
      </c>
      <c r="AC81" s="114">
        <v>24.571300000000001</v>
      </c>
      <c r="AD81" s="167">
        <v>8837440</v>
      </c>
      <c r="AE81" s="162">
        <v>6.9463264782609819</v>
      </c>
      <c r="AF81" s="114" t="b">
        <v>1</v>
      </c>
      <c r="AG81" s="114">
        <v>23.386629104614258</v>
      </c>
      <c r="AH81" s="114">
        <v>467651.71875</v>
      </c>
      <c r="AI81" s="114">
        <v>5.6699225348372622</v>
      </c>
      <c r="AJ81" s="162" t="b">
        <v>1</v>
      </c>
      <c r="AK81" s="163">
        <v>7</v>
      </c>
      <c r="AM81">
        <v>106</v>
      </c>
      <c r="AN81" t="s">
        <v>37</v>
      </c>
      <c r="AO81">
        <v>30.081700000000001</v>
      </c>
      <c r="AP81">
        <v>135246</v>
      </c>
      <c r="AQ81">
        <v>5.1311244293895752</v>
      </c>
      <c r="AR81" t="b">
        <v>1</v>
      </c>
      <c r="AS81" t="s">
        <v>47</v>
      </c>
      <c r="AT81" t="s">
        <v>47</v>
      </c>
      <c r="AU81" t="s">
        <v>47</v>
      </c>
      <c r="AV81" t="s">
        <v>48</v>
      </c>
      <c r="AW81">
        <v>2</v>
      </c>
      <c r="BL81" s="303">
        <v>21</v>
      </c>
      <c r="BM81" s="112">
        <v>7.6820818688352643</v>
      </c>
      <c r="BO81" t="s">
        <v>18</v>
      </c>
      <c r="BP81" t="s">
        <v>18</v>
      </c>
      <c r="BQ81" t="s">
        <v>18</v>
      </c>
      <c r="BR81" t="s">
        <v>18</v>
      </c>
      <c r="BS81" t="s">
        <v>18</v>
      </c>
      <c r="BT81" t="s">
        <v>18</v>
      </c>
      <c r="BU81" t="s">
        <v>18</v>
      </c>
      <c r="BV81" t="s">
        <v>18</v>
      </c>
      <c r="BY81" s="112"/>
      <c r="BZ81" s="164"/>
      <c r="CA81" s="164"/>
      <c r="CB81" s="164"/>
      <c r="CC81" s="164"/>
      <c r="CD81" s="164"/>
      <c r="CE81" s="164"/>
      <c r="CF81" s="164"/>
      <c r="CG81" s="164"/>
      <c r="CH81" s="164"/>
      <c r="CI81" s="164"/>
    </row>
    <row r="82" spans="3:87" x14ac:dyDescent="0.25">
      <c r="C82">
        <v>97</v>
      </c>
      <c r="D82" t="s">
        <v>37</v>
      </c>
      <c r="E82">
        <v>22.627099999999999</v>
      </c>
      <c r="F82" s="111">
        <v>35456300</v>
      </c>
      <c r="G82" s="109">
        <v>7.5496934133454783</v>
      </c>
      <c r="H82" t="b">
        <v>1</v>
      </c>
      <c r="I82">
        <v>23.59135627746582</v>
      </c>
      <c r="J82">
        <v>405721.46875</v>
      </c>
      <c r="K82">
        <v>5.6082279890032432</v>
      </c>
      <c r="L82" s="109" t="b">
        <v>1</v>
      </c>
      <c r="M82" s="109">
        <v>14</v>
      </c>
      <c r="T82" s="112">
        <v>102</v>
      </c>
      <c r="U82" s="112" t="s">
        <v>38</v>
      </c>
      <c r="V82" s="112">
        <v>21.85960578918457</v>
      </c>
      <c r="W82" s="112">
        <v>1349245.75</v>
      </c>
      <c r="X82" s="112">
        <v>6.130091058751737</v>
      </c>
      <c r="AA82" s="164">
        <v>97</v>
      </c>
      <c r="AB82" s="112" t="s">
        <v>37</v>
      </c>
      <c r="AC82" s="112">
        <v>22.627099999999999</v>
      </c>
      <c r="AD82" s="165">
        <v>35456300</v>
      </c>
      <c r="AE82" s="166">
        <v>7.5496934133454783</v>
      </c>
      <c r="AF82" s="112" t="b">
        <v>1</v>
      </c>
      <c r="AG82" s="112">
        <v>23.59135627746582</v>
      </c>
      <c r="AH82" s="112">
        <v>405721.46875</v>
      </c>
      <c r="AI82" s="112">
        <v>5.6082279890032432</v>
      </c>
      <c r="AJ82" s="166" t="b">
        <v>1</v>
      </c>
      <c r="AK82" s="119">
        <v>14</v>
      </c>
      <c r="AM82">
        <v>107</v>
      </c>
      <c r="AN82" t="s">
        <v>37</v>
      </c>
      <c r="AO82">
        <v>34.234400000000001</v>
      </c>
      <c r="AP82">
        <v>3804.85</v>
      </c>
      <c r="AQ82">
        <v>3.5803375400930908</v>
      </c>
      <c r="AR82" t="b">
        <v>1</v>
      </c>
      <c r="AS82" t="s">
        <v>39</v>
      </c>
      <c r="AT82" t="s">
        <v>18</v>
      </c>
      <c r="AU82" t="s">
        <v>18</v>
      </c>
      <c r="AV82" t="b">
        <v>0</v>
      </c>
      <c r="AW82">
        <v>4</v>
      </c>
      <c r="BL82" s="304">
        <v>21</v>
      </c>
      <c r="BM82" s="114">
        <v>5.1833780478435827</v>
      </c>
      <c r="BO82" t="s">
        <v>18</v>
      </c>
      <c r="BP82" t="s">
        <v>18</v>
      </c>
      <c r="BQ82" t="s">
        <v>18</v>
      </c>
      <c r="BR82" t="s">
        <v>18</v>
      </c>
      <c r="BS82" t="s">
        <v>18</v>
      </c>
      <c r="BT82" t="s">
        <v>18</v>
      </c>
      <c r="BU82" t="s">
        <v>18</v>
      </c>
      <c r="BV82" t="s">
        <v>18</v>
      </c>
      <c r="BY82" s="112"/>
      <c r="BZ82" s="164"/>
      <c r="CA82" s="164"/>
      <c r="CB82" s="164"/>
      <c r="CC82" s="164"/>
      <c r="CD82" s="164"/>
      <c r="CE82" s="164"/>
      <c r="CF82" s="164"/>
      <c r="CG82" s="164"/>
      <c r="CH82" s="164"/>
      <c r="CI82" s="164"/>
    </row>
    <row r="83" spans="3:87" x14ac:dyDescent="0.25">
      <c r="C83">
        <v>98</v>
      </c>
      <c r="D83" t="s">
        <v>37</v>
      </c>
      <c r="E83">
        <v>20.584700000000002</v>
      </c>
      <c r="F83" s="111">
        <v>152589000</v>
      </c>
      <c r="G83" s="109">
        <v>8.1835232268594247</v>
      </c>
      <c r="H83" t="b">
        <v>1</v>
      </c>
      <c r="I83">
        <v>19.919721603393555</v>
      </c>
      <c r="J83">
        <v>5184122.5</v>
      </c>
      <c r="K83">
        <v>6.7146752552941464</v>
      </c>
      <c r="L83" s="109" t="b">
        <v>1</v>
      </c>
      <c r="M83" s="109">
        <v>18</v>
      </c>
      <c r="T83" s="114">
        <v>103</v>
      </c>
      <c r="U83" s="114" t="s">
        <v>38</v>
      </c>
      <c r="V83" s="114">
        <v>21.564455032348633</v>
      </c>
      <c r="W83" s="114">
        <v>1655902.5</v>
      </c>
      <c r="X83" s="112">
        <v>6.2190347618217077</v>
      </c>
      <c r="AA83" s="161">
        <v>98</v>
      </c>
      <c r="AB83" s="114" t="s">
        <v>37</v>
      </c>
      <c r="AC83" s="114">
        <v>20.584700000000002</v>
      </c>
      <c r="AD83" s="167">
        <v>152589000</v>
      </c>
      <c r="AE83" s="162">
        <v>8.1835232268594247</v>
      </c>
      <c r="AF83" s="114" t="b">
        <v>1</v>
      </c>
      <c r="AG83" s="114">
        <v>19.919721603393555</v>
      </c>
      <c r="AH83" s="114">
        <v>5184122.5</v>
      </c>
      <c r="AI83" s="114">
        <v>6.7146752552941464</v>
      </c>
      <c r="AJ83" s="162" t="b">
        <v>1</v>
      </c>
      <c r="AK83" s="163">
        <v>18</v>
      </c>
      <c r="AM83">
        <v>108</v>
      </c>
      <c r="AN83" t="s">
        <v>37</v>
      </c>
      <c r="AO83">
        <v>22.1312</v>
      </c>
      <c r="AP83">
        <v>125936000</v>
      </c>
      <c r="AQ83">
        <v>8.1001498950521515</v>
      </c>
      <c r="AR83" t="b">
        <v>1</v>
      </c>
      <c r="AS83">
        <v>22.91636848449707</v>
      </c>
      <c r="AT83">
        <v>648090.375</v>
      </c>
      <c r="AU83">
        <v>5.8116355716530768</v>
      </c>
      <c r="AV83" t="b">
        <v>1</v>
      </c>
      <c r="AW83">
        <v>29</v>
      </c>
      <c r="BL83" s="303">
        <v>21</v>
      </c>
      <c r="BM83" s="112">
        <v>2.4764272770238129</v>
      </c>
      <c r="BO83" t="s">
        <v>18</v>
      </c>
      <c r="BP83" t="s">
        <v>18</v>
      </c>
      <c r="BQ83" t="s">
        <v>18</v>
      </c>
      <c r="BR83" t="s">
        <v>18</v>
      </c>
      <c r="BS83" t="s">
        <v>18</v>
      </c>
      <c r="BT83" t="s">
        <v>18</v>
      </c>
      <c r="BU83" t="s">
        <v>18</v>
      </c>
      <c r="BV83" t="s">
        <v>18</v>
      </c>
      <c r="BY83" s="112"/>
      <c r="BZ83" s="164"/>
      <c r="CA83" s="164"/>
      <c r="CB83" s="164"/>
      <c r="CC83" s="164"/>
      <c r="CD83" s="164"/>
      <c r="CE83" s="164"/>
      <c r="CF83" s="164"/>
      <c r="CG83" s="164"/>
      <c r="CH83" s="164"/>
      <c r="CI83" s="164"/>
    </row>
    <row r="84" spans="3:87" x14ac:dyDescent="0.25">
      <c r="C84">
        <v>99</v>
      </c>
      <c r="D84" t="s">
        <v>37</v>
      </c>
      <c r="E84">
        <v>22.720500000000001</v>
      </c>
      <c r="F84" s="111">
        <v>33167500</v>
      </c>
      <c r="G84" s="109">
        <v>7.5207127378106371</v>
      </c>
      <c r="H84" t="b">
        <v>1</v>
      </c>
      <c r="I84">
        <v>19.897241592407227</v>
      </c>
      <c r="J84">
        <v>5265621</v>
      </c>
      <c r="K84">
        <v>6.7214495969781645</v>
      </c>
      <c r="L84" s="109" t="b">
        <v>1</v>
      </c>
      <c r="M84" s="109">
        <v>14</v>
      </c>
      <c r="T84" s="112">
        <v>104</v>
      </c>
      <c r="U84" s="112" t="s">
        <v>38</v>
      </c>
      <c r="V84" s="112">
        <v>23.042617797851563</v>
      </c>
      <c r="W84" s="112">
        <v>593731.875</v>
      </c>
      <c r="X84" s="112">
        <v>5.7735903650200688</v>
      </c>
      <c r="AA84" s="164">
        <v>99</v>
      </c>
      <c r="AB84" s="112" t="s">
        <v>37</v>
      </c>
      <c r="AC84" s="112">
        <v>22.720500000000001</v>
      </c>
      <c r="AD84" s="165">
        <v>33167500</v>
      </c>
      <c r="AE84" s="166">
        <v>7.5207127378106371</v>
      </c>
      <c r="AF84" s="112" t="b">
        <v>1</v>
      </c>
      <c r="AG84" s="112">
        <v>19.897241592407227</v>
      </c>
      <c r="AH84" s="112">
        <v>5265621</v>
      </c>
      <c r="AI84" s="112">
        <v>6.7214495969781645</v>
      </c>
      <c r="AJ84" s="166" t="b">
        <v>1</v>
      </c>
      <c r="AK84" s="119">
        <v>14</v>
      </c>
      <c r="AM84">
        <v>109</v>
      </c>
      <c r="AN84" t="s">
        <v>37</v>
      </c>
      <c r="AO84">
        <v>21.423999999999999</v>
      </c>
      <c r="AP84">
        <v>231328000</v>
      </c>
      <c r="AQ84">
        <v>8.364228203066876</v>
      </c>
      <c r="AR84" t="b">
        <v>1</v>
      </c>
      <c r="AS84">
        <v>21.054183959960938</v>
      </c>
      <c r="AT84">
        <v>2359418.5</v>
      </c>
      <c r="AU84">
        <v>6.3728049803602218</v>
      </c>
      <c r="AV84" t="b">
        <v>1</v>
      </c>
      <c r="AW84">
        <v>21</v>
      </c>
      <c r="BL84" s="304">
        <v>21</v>
      </c>
      <c r="BM84" s="114">
        <v>4.7247557865378278</v>
      </c>
      <c r="BO84" t="s">
        <v>18</v>
      </c>
      <c r="BP84" t="s">
        <v>18</v>
      </c>
      <c r="BQ84" t="s">
        <v>18</v>
      </c>
      <c r="BR84" t="s">
        <v>18</v>
      </c>
      <c r="BS84" t="s">
        <v>18</v>
      </c>
      <c r="BT84" t="s">
        <v>18</v>
      </c>
      <c r="BU84" t="s">
        <v>18</v>
      </c>
      <c r="BV84" t="s">
        <v>18</v>
      </c>
      <c r="BY84" s="112"/>
      <c r="BZ84" s="164"/>
      <c r="CA84" s="164"/>
      <c r="CB84" s="164"/>
      <c r="CC84" s="164"/>
      <c r="CD84" s="164"/>
      <c r="CE84" s="164"/>
      <c r="CF84" s="164"/>
      <c r="CG84" s="164"/>
      <c r="CH84" s="164"/>
      <c r="CI84" s="164"/>
    </row>
    <row r="85" spans="3:87" x14ac:dyDescent="0.25">
      <c r="C85">
        <v>100</v>
      </c>
      <c r="D85" t="s">
        <v>37</v>
      </c>
      <c r="E85">
        <v>23.659099999999999</v>
      </c>
      <c r="F85" s="111">
        <v>16959800</v>
      </c>
      <c r="G85" s="109">
        <v>7.2294207264933057</v>
      </c>
      <c r="H85" t="b">
        <v>1</v>
      </c>
      <c r="I85">
        <v>24.987758636474609</v>
      </c>
      <c r="J85">
        <v>153965.015625</v>
      </c>
      <c r="K85">
        <v>5.1874220504011221</v>
      </c>
      <c r="L85" s="109" t="b">
        <v>1</v>
      </c>
      <c r="M85" s="109">
        <v>17</v>
      </c>
      <c r="T85" s="114">
        <v>107</v>
      </c>
      <c r="U85" s="114" t="s">
        <v>38</v>
      </c>
      <c r="V85" s="114" t="s">
        <v>39</v>
      </c>
      <c r="W85" s="114" t="s">
        <v>18</v>
      </c>
      <c r="X85" s="112" t="s">
        <v>18</v>
      </c>
      <c r="AA85" s="161">
        <v>100</v>
      </c>
      <c r="AB85" s="114" t="s">
        <v>37</v>
      </c>
      <c r="AC85" s="114">
        <v>23.659099999999999</v>
      </c>
      <c r="AD85" s="167">
        <v>16959800</v>
      </c>
      <c r="AE85" s="162">
        <v>7.2294207264933057</v>
      </c>
      <c r="AF85" s="114" t="b">
        <v>1</v>
      </c>
      <c r="AG85" s="114">
        <v>24.987758636474609</v>
      </c>
      <c r="AH85" s="114">
        <v>153965.015625</v>
      </c>
      <c r="AI85" s="114">
        <v>5.1874220504011221</v>
      </c>
      <c r="AJ85" s="162" t="b">
        <v>1</v>
      </c>
      <c r="AK85" s="163">
        <v>17</v>
      </c>
      <c r="AM85">
        <v>111</v>
      </c>
      <c r="AN85" t="s">
        <v>37</v>
      </c>
      <c r="AO85">
        <v>28.707999999999998</v>
      </c>
      <c r="AP85">
        <v>440650</v>
      </c>
      <c r="AQ85">
        <v>5.6440937744581383</v>
      </c>
      <c r="AR85" t="b">
        <v>1</v>
      </c>
      <c r="AS85">
        <v>27.629173278808594</v>
      </c>
      <c r="AT85">
        <v>24628.140625</v>
      </c>
      <c r="AU85">
        <v>4.3914316247183383</v>
      </c>
      <c r="AV85" t="b">
        <v>1</v>
      </c>
      <c r="AW85">
        <v>21</v>
      </c>
      <c r="BL85" s="303">
        <v>21</v>
      </c>
      <c r="BM85" s="112">
        <v>8.364228203066876</v>
      </c>
      <c r="BO85" t="s">
        <v>18</v>
      </c>
      <c r="BP85" t="s">
        <v>18</v>
      </c>
      <c r="BQ85" t="s">
        <v>18</v>
      </c>
      <c r="BR85" t="s">
        <v>18</v>
      </c>
      <c r="BS85" t="s">
        <v>18</v>
      </c>
      <c r="BT85" t="s">
        <v>18</v>
      </c>
      <c r="BU85" t="s">
        <v>18</v>
      </c>
      <c r="BV85" t="s">
        <v>18</v>
      </c>
      <c r="BY85" s="112"/>
      <c r="BZ85" s="164"/>
      <c r="CA85" s="164"/>
      <c r="CB85" s="164"/>
      <c r="CC85" s="164"/>
      <c r="CD85" s="164"/>
      <c r="CE85" s="164"/>
      <c r="CF85" s="164"/>
      <c r="CG85" s="164"/>
      <c r="CH85" s="164"/>
      <c r="CI85" s="164"/>
    </row>
    <row r="86" spans="3:87" x14ac:dyDescent="0.25">
      <c r="C86">
        <v>101</v>
      </c>
      <c r="D86" t="s">
        <v>37</v>
      </c>
      <c r="E86">
        <v>25.417100000000001</v>
      </c>
      <c r="F86" s="111">
        <v>4828770</v>
      </c>
      <c r="G86" s="109">
        <v>6.6838365199355119</v>
      </c>
      <c r="H86" t="b">
        <v>1</v>
      </c>
      <c r="I86">
        <v>24.491718292236328</v>
      </c>
      <c r="J86">
        <v>217222.015625</v>
      </c>
      <c r="K86">
        <v>5.3369038392405477</v>
      </c>
      <c r="L86" s="109" t="b">
        <v>1</v>
      </c>
      <c r="M86" s="109">
        <v>14</v>
      </c>
      <c r="T86" s="112">
        <v>108</v>
      </c>
      <c r="U86" s="112" t="s">
        <v>38</v>
      </c>
      <c r="V86" s="112">
        <v>22.91636848449707</v>
      </c>
      <c r="W86" s="112">
        <v>648090.375</v>
      </c>
      <c r="X86" s="112">
        <v>5.8116355716530768</v>
      </c>
      <c r="AA86" s="164">
        <v>101</v>
      </c>
      <c r="AB86" s="112" t="s">
        <v>37</v>
      </c>
      <c r="AC86" s="112">
        <v>25.417100000000001</v>
      </c>
      <c r="AD86" s="165">
        <v>4828770</v>
      </c>
      <c r="AE86" s="166">
        <v>6.6838365199355119</v>
      </c>
      <c r="AF86" s="112" t="b">
        <v>1</v>
      </c>
      <c r="AG86" s="112">
        <v>24.491718292236328</v>
      </c>
      <c r="AH86" s="112">
        <v>217222.015625</v>
      </c>
      <c r="AI86" s="112">
        <v>5.3369038392405477</v>
      </c>
      <c r="AJ86" s="166" t="b">
        <v>1</v>
      </c>
      <c r="AK86" s="119">
        <v>14</v>
      </c>
      <c r="AM86">
        <v>112</v>
      </c>
      <c r="AN86" t="s">
        <v>37</v>
      </c>
      <c r="AO86">
        <v>21.017299999999999</v>
      </c>
      <c r="AP86">
        <v>328177000</v>
      </c>
      <c r="AQ86">
        <v>8.5161081406320562</v>
      </c>
      <c r="AR86" t="b">
        <v>1</v>
      </c>
      <c r="AS86">
        <v>20.250991821289063</v>
      </c>
      <c r="AT86">
        <v>4119523.25</v>
      </c>
      <c r="AU86">
        <v>6.6148469582965648</v>
      </c>
      <c r="AV86" t="b">
        <v>1</v>
      </c>
      <c r="AW86">
        <v>28</v>
      </c>
      <c r="BL86" s="304">
        <v>21</v>
      </c>
      <c r="BM86" s="114">
        <v>5.6440937744581383</v>
      </c>
      <c r="BO86" t="s">
        <v>18</v>
      </c>
      <c r="BP86" t="s">
        <v>18</v>
      </c>
      <c r="BQ86" t="s">
        <v>18</v>
      </c>
      <c r="BR86" t="s">
        <v>18</v>
      </c>
      <c r="BS86" t="s">
        <v>18</v>
      </c>
      <c r="BT86" t="s">
        <v>18</v>
      </c>
      <c r="BU86" t="s">
        <v>18</v>
      </c>
      <c r="BV86" t="s">
        <v>18</v>
      </c>
      <c r="BY86" s="112"/>
      <c r="BZ86" s="164"/>
      <c r="CA86" s="164"/>
      <c r="CB86" s="164"/>
      <c r="CC86" s="164"/>
      <c r="CD86" s="164"/>
      <c r="CE86" s="164"/>
      <c r="CF86" s="164"/>
      <c r="CG86" s="164"/>
      <c r="CH86" s="164"/>
      <c r="CI86" s="164"/>
    </row>
    <row r="87" spans="3:87" x14ac:dyDescent="0.25">
      <c r="C87">
        <v>102</v>
      </c>
      <c r="D87" t="s">
        <v>37</v>
      </c>
      <c r="E87">
        <v>22.1234</v>
      </c>
      <c r="F87" s="111">
        <v>50815100</v>
      </c>
      <c r="G87" s="109">
        <v>7.7059927845718965</v>
      </c>
      <c r="H87" t="b">
        <v>1</v>
      </c>
      <c r="I87">
        <v>21.85960578918457</v>
      </c>
      <c r="J87">
        <v>1349245.75</v>
      </c>
      <c r="K87">
        <v>6.130091058751737</v>
      </c>
      <c r="L87" s="109" t="b">
        <v>1</v>
      </c>
      <c r="M87" s="109">
        <v>15</v>
      </c>
      <c r="T87" s="114">
        <v>109</v>
      </c>
      <c r="U87" s="114" t="s">
        <v>38</v>
      </c>
      <c r="V87" s="114">
        <v>21.054183959960938</v>
      </c>
      <c r="W87" s="114">
        <v>2359418.5</v>
      </c>
      <c r="X87" s="112">
        <v>6.3728049803602218</v>
      </c>
      <c r="AA87" s="161">
        <v>102</v>
      </c>
      <c r="AB87" s="114" t="s">
        <v>37</v>
      </c>
      <c r="AC87" s="114">
        <v>22.1234</v>
      </c>
      <c r="AD87" s="167">
        <v>50815100</v>
      </c>
      <c r="AE87" s="162">
        <v>7.7059927845718965</v>
      </c>
      <c r="AF87" s="114" t="b">
        <v>1</v>
      </c>
      <c r="AG87" s="114">
        <v>21.85960578918457</v>
      </c>
      <c r="AH87" s="114">
        <v>1349245.75</v>
      </c>
      <c r="AI87" s="114">
        <v>6.130091058751737</v>
      </c>
      <c r="AJ87" s="162" t="b">
        <v>1</v>
      </c>
      <c r="AK87" s="163">
        <v>15</v>
      </c>
      <c r="AM87">
        <v>113</v>
      </c>
      <c r="AN87" t="s">
        <v>37</v>
      </c>
      <c r="AO87">
        <v>26.0701</v>
      </c>
      <c r="AP87">
        <v>4257860</v>
      </c>
      <c r="AQ87">
        <v>6.6291913775750517</v>
      </c>
      <c r="AR87" t="b">
        <v>1</v>
      </c>
      <c r="AS87">
        <v>26.777292251586914</v>
      </c>
      <c r="AT87">
        <v>44478.078125</v>
      </c>
      <c r="AU87">
        <v>4.6481460133370458</v>
      </c>
      <c r="AV87" t="b">
        <v>1</v>
      </c>
      <c r="AW87">
        <v>7</v>
      </c>
      <c r="BL87" s="303">
        <v>22</v>
      </c>
      <c r="BM87" s="112">
        <v>8.1695980291208983</v>
      </c>
      <c r="BO87" t="s">
        <v>18</v>
      </c>
      <c r="BP87" t="s">
        <v>18</v>
      </c>
      <c r="BQ87" t="s">
        <v>18</v>
      </c>
      <c r="BR87" t="s">
        <v>18</v>
      </c>
      <c r="BS87" t="s">
        <v>18</v>
      </c>
      <c r="BT87" t="s">
        <v>18</v>
      </c>
      <c r="BU87" t="s">
        <v>18</v>
      </c>
      <c r="BV87" t="s">
        <v>18</v>
      </c>
      <c r="BY87" s="112"/>
      <c r="BZ87" s="164"/>
      <c r="CA87" s="164"/>
      <c r="CB87" s="164"/>
      <c r="CC87" s="164"/>
      <c r="CD87" s="164"/>
      <c r="CE87" s="164"/>
      <c r="CF87" s="164"/>
      <c r="CG87" s="164"/>
      <c r="CH87" s="164"/>
      <c r="CI87" s="164"/>
    </row>
    <row r="88" spans="3:87" x14ac:dyDescent="0.25">
      <c r="C88">
        <v>103</v>
      </c>
      <c r="D88" t="s">
        <v>37</v>
      </c>
      <c r="E88">
        <v>21.217099999999999</v>
      </c>
      <c r="F88" s="111">
        <v>97107900</v>
      </c>
      <c r="G88" s="109">
        <v>7.9872545624192872</v>
      </c>
      <c r="H88" t="b">
        <v>1</v>
      </c>
      <c r="I88">
        <v>21.564455032348633</v>
      </c>
      <c r="J88">
        <v>1655902.5</v>
      </c>
      <c r="K88">
        <v>6.2190347618217077</v>
      </c>
      <c r="L88" s="109" t="b">
        <v>1</v>
      </c>
      <c r="M88" s="109">
        <v>17</v>
      </c>
      <c r="T88" s="112"/>
      <c r="U88" s="112" t="s">
        <v>41</v>
      </c>
      <c r="V88" s="112">
        <v>38.088367462158203</v>
      </c>
      <c r="W88" s="112" t="s">
        <v>18</v>
      </c>
      <c r="X88" s="112" t="s">
        <v>18</v>
      </c>
      <c r="AA88" s="164">
        <v>103</v>
      </c>
      <c r="AB88" s="112" t="s">
        <v>37</v>
      </c>
      <c r="AC88" s="112">
        <v>21.217099999999999</v>
      </c>
      <c r="AD88" s="165">
        <v>97107900</v>
      </c>
      <c r="AE88" s="166">
        <v>7.9872545624192872</v>
      </c>
      <c r="AF88" s="112" t="b">
        <v>1</v>
      </c>
      <c r="AG88" s="112">
        <v>21.564455032348633</v>
      </c>
      <c r="AH88" s="112">
        <v>1655902.5</v>
      </c>
      <c r="AI88" s="112">
        <v>6.2190347618217077</v>
      </c>
      <c r="AJ88" s="166" t="b">
        <v>1</v>
      </c>
      <c r="AK88" s="119">
        <v>17</v>
      </c>
      <c r="AM88">
        <v>114</v>
      </c>
      <c r="AN88" t="s">
        <v>37</v>
      </c>
      <c r="AO88">
        <v>23.9421</v>
      </c>
      <c r="AP88">
        <v>26538600</v>
      </c>
      <c r="AQ88">
        <v>7.4238780086447802</v>
      </c>
      <c r="AR88" t="b">
        <v>1</v>
      </c>
      <c r="AS88">
        <v>34.095207214355469</v>
      </c>
      <c r="AT88">
        <v>277.2630615234375</v>
      </c>
      <c r="AU88">
        <v>2.4428920143845474</v>
      </c>
      <c r="AV88" t="b">
        <v>1</v>
      </c>
      <c r="AW88">
        <v>7</v>
      </c>
      <c r="BL88" s="304">
        <v>22</v>
      </c>
      <c r="BM88" s="114">
        <v>7.6892049357409142</v>
      </c>
      <c r="BO88" t="s">
        <v>18</v>
      </c>
      <c r="BP88" t="s">
        <v>18</v>
      </c>
      <c r="BQ88" t="s">
        <v>18</v>
      </c>
      <c r="BR88" t="s">
        <v>18</v>
      </c>
      <c r="BS88" t="s">
        <v>18</v>
      </c>
      <c r="BT88" t="s">
        <v>18</v>
      </c>
      <c r="BU88" t="s">
        <v>18</v>
      </c>
      <c r="BV88" t="s">
        <v>18</v>
      </c>
      <c r="BY88" s="112"/>
      <c r="BZ88" s="164"/>
      <c r="CA88" s="164"/>
      <c r="CB88" s="164"/>
      <c r="CC88" s="164"/>
      <c r="CD88" s="164"/>
      <c r="CE88" s="164"/>
      <c r="CF88" s="164"/>
      <c r="CG88" s="164"/>
      <c r="CH88" s="164"/>
      <c r="CI88" s="164"/>
    </row>
    <row r="89" spans="3:87" x14ac:dyDescent="0.25">
      <c r="C89">
        <v>104</v>
      </c>
      <c r="D89" t="s">
        <v>37</v>
      </c>
      <c r="E89">
        <v>21.896100000000001</v>
      </c>
      <c r="F89" s="111">
        <v>59777300</v>
      </c>
      <c r="G89" s="109">
        <v>7.7765362950862924</v>
      </c>
      <c r="H89" t="b">
        <v>1</v>
      </c>
      <c r="I89">
        <v>23.042617797851563</v>
      </c>
      <c r="J89">
        <v>593731.875</v>
      </c>
      <c r="K89">
        <v>5.7735903650200688</v>
      </c>
      <c r="L89" s="109" t="b">
        <v>1</v>
      </c>
      <c r="M89" s="109">
        <v>28</v>
      </c>
      <c r="T89" s="114"/>
      <c r="U89" s="114" t="s">
        <v>41</v>
      </c>
      <c r="V89" s="114" t="s">
        <v>39</v>
      </c>
      <c r="W89" s="114" t="s">
        <v>18</v>
      </c>
      <c r="X89" s="112" t="s">
        <v>18</v>
      </c>
      <c r="AA89" s="161">
        <v>104</v>
      </c>
      <c r="AB89" s="114" t="s">
        <v>37</v>
      </c>
      <c r="AC89" s="114">
        <v>21.896100000000001</v>
      </c>
      <c r="AD89" s="167">
        <v>59777300</v>
      </c>
      <c r="AE89" s="162">
        <v>7.7765362950862924</v>
      </c>
      <c r="AF89" s="114" t="b">
        <v>1</v>
      </c>
      <c r="AG89" s="114">
        <v>23.042617797851563</v>
      </c>
      <c r="AH89" s="114">
        <v>593731.875</v>
      </c>
      <c r="AI89" s="114">
        <v>5.7735903650200688</v>
      </c>
      <c r="AJ89" s="162" t="b">
        <v>1</v>
      </c>
      <c r="AK89" s="163">
        <v>28</v>
      </c>
      <c r="AM89">
        <v>116</v>
      </c>
      <c r="AN89" t="s">
        <v>37</v>
      </c>
      <c r="AO89">
        <v>24.777100000000001</v>
      </c>
      <c r="AP89">
        <v>12944300</v>
      </c>
      <c r="AQ89">
        <v>7.112078569691155</v>
      </c>
      <c r="AR89" t="b">
        <v>1</v>
      </c>
      <c r="AS89">
        <v>24.516096115112305</v>
      </c>
      <c r="AT89">
        <v>213578.53125</v>
      </c>
      <c r="AU89">
        <v>5.3295575956025338</v>
      </c>
      <c r="AV89" t="b">
        <v>1</v>
      </c>
      <c r="AW89">
        <v>14</v>
      </c>
      <c r="BL89" s="303">
        <v>23</v>
      </c>
      <c r="BM89" s="112">
        <v>8.0274393119239598</v>
      </c>
      <c r="BO89" t="s">
        <v>18</v>
      </c>
      <c r="BP89" t="s">
        <v>18</v>
      </c>
      <c r="BQ89" t="s">
        <v>18</v>
      </c>
      <c r="BR89" t="s">
        <v>18</v>
      </c>
      <c r="BS89" t="s">
        <v>18</v>
      </c>
      <c r="BT89" t="s">
        <v>18</v>
      </c>
      <c r="BU89" t="s">
        <v>18</v>
      </c>
      <c r="BV89" t="s">
        <v>18</v>
      </c>
      <c r="BY89" s="112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</row>
    <row r="90" spans="3:87" x14ac:dyDescent="0.25">
      <c r="C90">
        <v>105</v>
      </c>
      <c r="D90" t="s">
        <v>37</v>
      </c>
      <c r="E90" t="s">
        <v>39</v>
      </c>
      <c r="G90" s="109" t="s">
        <v>18</v>
      </c>
      <c r="H90" t="b">
        <v>0</v>
      </c>
      <c r="I90" t="s">
        <v>47</v>
      </c>
      <c r="J90" t="s">
        <v>47</v>
      </c>
      <c r="K90" t="s">
        <v>47</v>
      </c>
      <c r="L90" s="109" t="s">
        <v>48</v>
      </c>
      <c r="M90" s="109">
        <v>1</v>
      </c>
      <c r="T90" s="112">
        <v>111</v>
      </c>
      <c r="U90" s="112" t="s">
        <v>38</v>
      </c>
      <c r="V90" s="112">
        <v>27.629173278808594</v>
      </c>
      <c r="W90" s="112">
        <v>24628.140625</v>
      </c>
      <c r="X90" s="112">
        <v>4.3914316247183383</v>
      </c>
      <c r="AA90" s="164">
        <v>105</v>
      </c>
      <c r="AB90" s="112" t="s">
        <v>37</v>
      </c>
      <c r="AC90" s="112" t="s">
        <v>39</v>
      </c>
      <c r="AD90" s="112"/>
      <c r="AE90" s="166" t="s">
        <v>18</v>
      </c>
      <c r="AF90" s="112" t="b">
        <v>0</v>
      </c>
      <c r="AG90" s="112" t="s">
        <v>47</v>
      </c>
      <c r="AH90" s="112" t="s">
        <v>47</v>
      </c>
      <c r="AI90" s="112" t="s">
        <v>47</v>
      </c>
      <c r="AJ90" s="166" t="s">
        <v>48</v>
      </c>
      <c r="AK90" s="119">
        <v>1</v>
      </c>
      <c r="AM90">
        <v>117</v>
      </c>
      <c r="AN90" t="s">
        <v>37</v>
      </c>
      <c r="AO90">
        <v>25.0366</v>
      </c>
      <c r="AP90">
        <v>10354700</v>
      </c>
      <c r="AQ90">
        <v>7.0151375208796951</v>
      </c>
      <c r="AR90" t="b">
        <v>1</v>
      </c>
      <c r="AS90">
        <v>36.183025360107422</v>
      </c>
      <c r="AT90">
        <v>65.122024536132813</v>
      </c>
      <c r="AU90">
        <v>1.813727893588817</v>
      </c>
      <c r="AV90" t="b">
        <v>0</v>
      </c>
      <c r="AW90">
        <v>7</v>
      </c>
      <c r="BL90" s="304">
        <v>23</v>
      </c>
      <c r="BM90" s="114">
        <v>7.8371804643525094</v>
      </c>
      <c r="BO90" t="s">
        <v>18</v>
      </c>
      <c r="BP90" t="s">
        <v>18</v>
      </c>
      <c r="BQ90" t="s">
        <v>18</v>
      </c>
      <c r="BR90" t="s">
        <v>18</v>
      </c>
      <c r="BS90" t="s">
        <v>18</v>
      </c>
      <c r="BT90" t="s">
        <v>18</v>
      </c>
      <c r="BU90" t="s">
        <v>18</v>
      </c>
      <c r="BV90" t="s">
        <v>18</v>
      </c>
      <c r="BY90" s="112"/>
      <c r="BZ90" s="164"/>
      <c r="CA90" s="164"/>
      <c r="CB90" s="164"/>
      <c r="CC90" s="164"/>
      <c r="CD90" s="164"/>
      <c r="CE90" s="164"/>
      <c r="CF90" s="164"/>
      <c r="CG90" s="164"/>
      <c r="CH90" s="164"/>
      <c r="CI90" s="164"/>
    </row>
    <row r="91" spans="3:87" x14ac:dyDescent="0.25">
      <c r="C91">
        <v>106</v>
      </c>
      <c r="D91" t="s">
        <v>37</v>
      </c>
      <c r="E91">
        <v>30.081700000000001</v>
      </c>
      <c r="F91" s="111">
        <v>135246</v>
      </c>
      <c r="G91" s="109">
        <v>5.1311244293895752</v>
      </c>
      <c r="H91" t="b">
        <v>1</v>
      </c>
      <c r="I91" t="s">
        <v>47</v>
      </c>
      <c r="J91" t="s">
        <v>47</v>
      </c>
      <c r="K91" t="s">
        <v>47</v>
      </c>
      <c r="L91" s="109" t="s">
        <v>48</v>
      </c>
      <c r="M91" s="109">
        <v>2</v>
      </c>
      <c r="T91" s="114">
        <v>112</v>
      </c>
      <c r="U91" s="114" t="s">
        <v>38</v>
      </c>
      <c r="V91" s="114">
        <v>20.250991821289063</v>
      </c>
      <c r="W91" s="114">
        <v>4119523.25</v>
      </c>
      <c r="X91" s="112">
        <v>6.6148469582965648</v>
      </c>
      <c r="AA91" s="161">
        <v>106</v>
      </c>
      <c r="AB91" s="114" t="s">
        <v>37</v>
      </c>
      <c r="AC91" s="114">
        <v>30.081700000000001</v>
      </c>
      <c r="AD91" s="167">
        <v>135246</v>
      </c>
      <c r="AE91" s="162">
        <v>5.1311244293895752</v>
      </c>
      <c r="AF91" s="114" t="b">
        <v>1</v>
      </c>
      <c r="AG91" s="114" t="s">
        <v>47</v>
      </c>
      <c r="AH91" s="114" t="s">
        <v>47</v>
      </c>
      <c r="AI91" s="114" t="s">
        <v>47</v>
      </c>
      <c r="AJ91" s="162" t="s">
        <v>48</v>
      </c>
      <c r="AK91" s="163">
        <v>2</v>
      </c>
      <c r="AM91">
        <v>118</v>
      </c>
      <c r="AN91" t="s">
        <v>37</v>
      </c>
      <c r="AO91">
        <v>37.9756</v>
      </c>
      <c r="AP91">
        <v>152.483</v>
      </c>
      <c r="AQ91">
        <v>2.1832214278288062</v>
      </c>
      <c r="AR91" t="b">
        <v>1</v>
      </c>
      <c r="AS91" t="s">
        <v>47</v>
      </c>
      <c r="AT91" t="s">
        <v>47</v>
      </c>
      <c r="AU91" t="s">
        <v>47</v>
      </c>
      <c r="AV91" t="s">
        <v>48</v>
      </c>
      <c r="AW91">
        <v>1</v>
      </c>
      <c r="BL91" s="303">
        <v>24</v>
      </c>
      <c r="BM91" s="112">
        <v>7.7844475351794333</v>
      </c>
      <c r="BO91" t="s">
        <v>18</v>
      </c>
      <c r="BP91" t="s">
        <v>18</v>
      </c>
      <c r="BQ91" t="s">
        <v>18</v>
      </c>
      <c r="BR91" t="s">
        <v>18</v>
      </c>
      <c r="BS91" t="s">
        <v>18</v>
      </c>
      <c r="BT91" t="s">
        <v>18</v>
      </c>
      <c r="BU91" t="s">
        <v>18</v>
      </c>
      <c r="BV91" t="s">
        <v>18</v>
      </c>
      <c r="BY91" s="112"/>
      <c r="BZ91" s="164"/>
      <c r="CA91" s="164"/>
      <c r="CB91" s="164"/>
      <c r="CC91" s="164"/>
      <c r="CD91" s="164"/>
      <c r="CE91" s="164"/>
      <c r="CF91" s="164"/>
      <c r="CG91" s="164"/>
      <c r="CH91" s="164"/>
      <c r="CI91" s="164"/>
    </row>
    <row r="92" spans="3:87" x14ac:dyDescent="0.25">
      <c r="C92">
        <v>107</v>
      </c>
      <c r="D92" t="s">
        <v>37</v>
      </c>
      <c r="E92">
        <v>34.234400000000001</v>
      </c>
      <c r="F92" s="111">
        <v>3804.85</v>
      </c>
      <c r="G92" s="109">
        <v>3.5803375400930908</v>
      </c>
      <c r="H92" t="b">
        <v>1</v>
      </c>
      <c r="I92" t="s">
        <v>39</v>
      </c>
      <c r="J92" t="s">
        <v>18</v>
      </c>
      <c r="K92" t="s">
        <v>18</v>
      </c>
      <c r="L92" s="109" t="b">
        <v>0</v>
      </c>
      <c r="M92" s="109">
        <v>4</v>
      </c>
      <c r="T92" s="112">
        <v>113</v>
      </c>
      <c r="U92" s="112" t="s">
        <v>38</v>
      </c>
      <c r="V92" s="112">
        <v>26.777292251586914</v>
      </c>
      <c r="W92" s="112">
        <v>44478.078125</v>
      </c>
      <c r="X92" s="112">
        <v>4.6481460133370458</v>
      </c>
      <c r="AA92" s="164">
        <v>107</v>
      </c>
      <c r="AB92" s="112" t="s">
        <v>37</v>
      </c>
      <c r="AC92" s="112">
        <v>34.234400000000001</v>
      </c>
      <c r="AD92" s="165">
        <v>3804.85</v>
      </c>
      <c r="AE92" s="166">
        <v>3.5803375400930908</v>
      </c>
      <c r="AF92" s="112" t="b">
        <v>1</v>
      </c>
      <c r="AG92" s="112" t="s">
        <v>39</v>
      </c>
      <c r="AH92" s="112" t="s">
        <v>18</v>
      </c>
      <c r="AI92" s="112" t="s">
        <v>18</v>
      </c>
      <c r="AJ92" s="166" t="b">
        <v>0</v>
      </c>
      <c r="AK92" s="119">
        <v>4</v>
      </c>
      <c r="AM92">
        <v>119</v>
      </c>
      <c r="AN92" t="s">
        <v>37</v>
      </c>
      <c r="AO92">
        <v>29.309100000000001</v>
      </c>
      <c r="AP92">
        <v>262802</v>
      </c>
      <c r="AQ92">
        <v>5.4196286660082098</v>
      </c>
      <c r="AR92" t="b">
        <v>1</v>
      </c>
      <c r="AS92">
        <v>32.747020721435547</v>
      </c>
      <c r="AT92">
        <v>706.5909423828125</v>
      </c>
      <c r="AU92">
        <v>2.8491680660193248</v>
      </c>
      <c r="AV92" t="b">
        <v>1</v>
      </c>
      <c r="AW92">
        <v>18</v>
      </c>
      <c r="BL92" s="304">
        <v>24</v>
      </c>
      <c r="BM92" s="114">
        <v>8.1571907304079723</v>
      </c>
      <c r="BO92" t="s">
        <v>18</v>
      </c>
      <c r="BP92" t="s">
        <v>156</v>
      </c>
      <c r="BQ92" t="s">
        <v>18</v>
      </c>
      <c r="BR92" t="s">
        <v>18</v>
      </c>
      <c r="BS92" t="s">
        <v>18</v>
      </c>
      <c r="BT92" t="s">
        <v>18</v>
      </c>
      <c r="BU92" t="s">
        <v>18</v>
      </c>
      <c r="BV92" t="s">
        <v>18</v>
      </c>
      <c r="BY92" s="112"/>
      <c r="BZ92" s="164"/>
      <c r="CA92" s="164"/>
      <c r="CB92" s="164"/>
      <c r="CC92" s="164"/>
      <c r="CD92" s="164"/>
      <c r="CE92" s="164"/>
      <c r="CF92" s="164"/>
      <c r="CG92" s="164"/>
      <c r="CH92" s="164"/>
      <c r="CI92" s="164"/>
    </row>
    <row r="93" spans="3:87" x14ac:dyDescent="0.25">
      <c r="C93">
        <v>108</v>
      </c>
      <c r="D93" t="s">
        <v>37</v>
      </c>
      <c r="E93">
        <v>22.1312</v>
      </c>
      <c r="F93" s="111">
        <v>125936000</v>
      </c>
      <c r="G93" s="109">
        <v>8.1001498950521515</v>
      </c>
      <c r="H93" t="b">
        <v>1</v>
      </c>
      <c r="I93">
        <v>22.91636848449707</v>
      </c>
      <c r="J93">
        <v>648090.375</v>
      </c>
      <c r="K93">
        <v>5.8116355716530768</v>
      </c>
      <c r="L93" s="109" t="b">
        <v>1</v>
      </c>
      <c r="M93" s="109">
        <v>29</v>
      </c>
      <c r="T93" s="115" t="s">
        <v>42</v>
      </c>
      <c r="U93" s="114" t="s">
        <v>38</v>
      </c>
      <c r="V93" s="114">
        <v>16.51252555847168</v>
      </c>
      <c r="W93" s="114">
        <v>55135836</v>
      </c>
      <c r="X93" s="112">
        <v>7.7414339639730825</v>
      </c>
      <c r="AA93" s="161">
        <v>108</v>
      </c>
      <c r="AB93" s="114" t="s">
        <v>37</v>
      </c>
      <c r="AC93" s="114">
        <v>22.1312</v>
      </c>
      <c r="AD93" s="167">
        <v>125936000</v>
      </c>
      <c r="AE93" s="162">
        <v>8.1001498950521515</v>
      </c>
      <c r="AF93" s="114" t="b">
        <v>1</v>
      </c>
      <c r="AG93" s="114">
        <v>22.91636848449707</v>
      </c>
      <c r="AH93" s="114">
        <v>648090.375</v>
      </c>
      <c r="AI93" s="114">
        <v>5.8116355716530768</v>
      </c>
      <c r="AJ93" s="162" t="b">
        <v>1</v>
      </c>
      <c r="AK93" s="163">
        <v>29</v>
      </c>
      <c r="BL93" s="303">
        <v>24</v>
      </c>
      <c r="BM93" s="112">
        <v>7.9822685186905744</v>
      </c>
      <c r="BO93" t="s">
        <v>18</v>
      </c>
      <c r="BP93" t="s">
        <v>18</v>
      </c>
      <c r="BQ93" t="s">
        <v>18</v>
      </c>
      <c r="BR93" t="s">
        <v>18</v>
      </c>
      <c r="BS93" t="s">
        <v>18</v>
      </c>
      <c r="BT93" t="s">
        <v>18</v>
      </c>
      <c r="BU93" t="s">
        <v>18</v>
      </c>
      <c r="BV93" t="s">
        <v>18</v>
      </c>
      <c r="BY93" s="112"/>
      <c r="BZ93" s="164"/>
      <c r="CA93" s="164"/>
      <c r="CB93" s="164"/>
      <c r="CC93" s="164"/>
      <c r="CD93" s="164"/>
      <c r="CE93" s="164"/>
      <c r="CF93" s="164"/>
      <c r="CG93" s="164"/>
      <c r="CH93" s="164"/>
      <c r="CI93" s="164"/>
    </row>
    <row r="94" spans="3:87" x14ac:dyDescent="0.25">
      <c r="C94">
        <v>109</v>
      </c>
      <c r="D94" t="s">
        <v>37</v>
      </c>
      <c r="E94">
        <v>21.423999999999999</v>
      </c>
      <c r="F94" s="111">
        <v>231328000</v>
      </c>
      <c r="G94" s="109">
        <v>8.364228203066876</v>
      </c>
      <c r="H94" t="b">
        <v>1</v>
      </c>
      <c r="I94">
        <v>21.054183959960938</v>
      </c>
      <c r="J94">
        <v>2359418.5</v>
      </c>
      <c r="K94">
        <v>6.3728049803602218</v>
      </c>
      <c r="L94" s="109" t="b">
        <v>1</v>
      </c>
      <c r="M94" s="109">
        <v>21</v>
      </c>
      <c r="T94" s="113" t="s">
        <v>43</v>
      </c>
      <c r="U94" s="112" t="s">
        <v>38</v>
      </c>
      <c r="V94" s="112">
        <v>24.813081741333008</v>
      </c>
      <c r="W94" s="112">
        <v>173804.46875</v>
      </c>
      <c r="X94" s="112">
        <v>5.2400609385598056</v>
      </c>
      <c r="AA94" s="164">
        <v>109</v>
      </c>
      <c r="AB94" s="112" t="s">
        <v>37</v>
      </c>
      <c r="AC94" s="112">
        <v>21.423999999999999</v>
      </c>
      <c r="AD94" s="165">
        <v>231328000</v>
      </c>
      <c r="AE94" s="166">
        <v>8.364228203066876</v>
      </c>
      <c r="AF94" s="112" t="b">
        <v>1</v>
      </c>
      <c r="AG94" s="112">
        <v>21.054183959960938</v>
      </c>
      <c r="AH94" s="112">
        <v>2359418.5</v>
      </c>
      <c r="AI94" s="112">
        <v>6.3728049803602218</v>
      </c>
      <c r="AJ94" s="166" t="b">
        <v>1</v>
      </c>
      <c r="AK94" s="119">
        <v>21</v>
      </c>
      <c r="BL94" s="304">
        <v>25</v>
      </c>
      <c r="BM94" s="114">
        <v>8.0157326860641405</v>
      </c>
      <c r="BO94" t="s">
        <v>18</v>
      </c>
      <c r="BP94" t="s">
        <v>18</v>
      </c>
      <c r="BQ94" t="s">
        <v>18</v>
      </c>
      <c r="BR94" t="s">
        <v>18</v>
      </c>
      <c r="BS94" t="s">
        <v>18</v>
      </c>
      <c r="BT94" t="s">
        <v>18</v>
      </c>
      <c r="BU94" t="s">
        <v>18</v>
      </c>
      <c r="BV94" t="s">
        <v>18</v>
      </c>
      <c r="BY94" s="112"/>
      <c r="BZ94" s="164"/>
      <c r="CA94" s="164"/>
      <c r="CB94" s="164"/>
      <c r="CC94" s="164"/>
      <c r="CD94" s="164"/>
      <c r="CE94" s="164"/>
      <c r="CF94" s="164"/>
      <c r="CG94" s="164"/>
      <c r="CH94" s="164"/>
      <c r="CI94" s="164"/>
    </row>
    <row r="95" spans="3:87" x14ac:dyDescent="0.25">
      <c r="C95">
        <v>110</v>
      </c>
      <c r="D95" t="s">
        <v>37</v>
      </c>
      <c r="E95" t="s">
        <v>39</v>
      </c>
      <c r="G95" s="109" t="s">
        <v>18</v>
      </c>
      <c r="H95" t="b">
        <v>0</v>
      </c>
      <c r="I95" t="s">
        <v>47</v>
      </c>
      <c r="J95" t="s">
        <v>47</v>
      </c>
      <c r="K95" t="s">
        <v>47</v>
      </c>
      <c r="L95" s="109" t="s">
        <v>48</v>
      </c>
      <c r="M95" s="109">
        <v>2</v>
      </c>
      <c r="T95" s="115" t="s">
        <v>44</v>
      </c>
      <c r="U95" s="114" t="s">
        <v>38</v>
      </c>
      <c r="V95" s="114">
        <v>17.872058868408203</v>
      </c>
      <c r="W95" s="114">
        <v>21465378</v>
      </c>
      <c r="X95" s="112">
        <v>7.3317385407012585</v>
      </c>
      <c r="AA95" s="161">
        <v>110</v>
      </c>
      <c r="AB95" s="114" t="s">
        <v>37</v>
      </c>
      <c r="AC95" s="114" t="s">
        <v>39</v>
      </c>
      <c r="AD95" s="114"/>
      <c r="AE95" s="162" t="s">
        <v>18</v>
      </c>
      <c r="AF95" s="114" t="b">
        <v>0</v>
      </c>
      <c r="AG95" s="114" t="s">
        <v>47</v>
      </c>
      <c r="AH95" s="114" t="s">
        <v>47</v>
      </c>
      <c r="AI95" s="114" t="s">
        <v>47</v>
      </c>
      <c r="AJ95" s="162" t="s">
        <v>48</v>
      </c>
      <c r="AK95" s="163">
        <v>2</v>
      </c>
      <c r="BL95" s="303">
        <v>28</v>
      </c>
      <c r="BM95" s="112">
        <v>5.8307252863743972</v>
      </c>
      <c r="BO95" t="s">
        <v>18</v>
      </c>
      <c r="BP95" t="s">
        <v>18</v>
      </c>
      <c r="BQ95" t="s">
        <v>18</v>
      </c>
      <c r="BR95" t="s">
        <v>18</v>
      </c>
      <c r="BS95" t="s">
        <v>18</v>
      </c>
      <c r="BT95" t="s">
        <v>18</v>
      </c>
      <c r="BU95" t="s">
        <v>18</v>
      </c>
      <c r="BV95" t="s">
        <v>18</v>
      </c>
      <c r="BY95" s="112"/>
      <c r="BZ95" s="164"/>
      <c r="CA95" s="164"/>
      <c r="CB95" s="164"/>
      <c r="CC95" s="164"/>
      <c r="CD95" s="164"/>
      <c r="CE95" s="164"/>
      <c r="CF95" s="164"/>
      <c r="CG95" s="164"/>
      <c r="CH95" s="164"/>
      <c r="CI95" s="164"/>
    </row>
    <row r="96" spans="3:87" x14ac:dyDescent="0.25">
      <c r="C96">
        <v>111</v>
      </c>
      <c r="D96" t="s">
        <v>37</v>
      </c>
      <c r="E96">
        <v>28.707999999999998</v>
      </c>
      <c r="F96" s="111">
        <v>440650</v>
      </c>
      <c r="G96" s="109">
        <v>5.6440937744581383</v>
      </c>
      <c r="H96" t="b">
        <v>1</v>
      </c>
      <c r="I96">
        <v>27.629173278808594</v>
      </c>
      <c r="J96">
        <v>24628.140625</v>
      </c>
      <c r="K96">
        <v>4.3914316247183383</v>
      </c>
      <c r="L96" s="109" t="b">
        <v>1</v>
      </c>
      <c r="M96" s="109">
        <v>21</v>
      </c>
      <c r="T96" s="113" t="s">
        <v>45</v>
      </c>
      <c r="U96" s="112" t="s">
        <v>38</v>
      </c>
      <c r="V96" s="112">
        <v>23.026762008666992</v>
      </c>
      <c r="W96" s="112">
        <v>600300.1875</v>
      </c>
      <c r="X96" s="112">
        <v>5.7783684790050538</v>
      </c>
      <c r="AA96" s="164">
        <v>111</v>
      </c>
      <c r="AB96" s="112" t="s">
        <v>37</v>
      </c>
      <c r="AC96" s="112">
        <v>28.707999999999998</v>
      </c>
      <c r="AD96" s="165">
        <v>440650</v>
      </c>
      <c r="AE96" s="166">
        <v>5.6440937744581383</v>
      </c>
      <c r="AF96" s="112" t="b">
        <v>1</v>
      </c>
      <c r="AG96" s="112">
        <v>27.629173278808594</v>
      </c>
      <c r="AH96" s="112">
        <v>24628.140625</v>
      </c>
      <c r="AI96" s="112">
        <v>4.3914316247183383</v>
      </c>
      <c r="AJ96" s="166" t="b">
        <v>1</v>
      </c>
      <c r="AK96" s="119">
        <v>21</v>
      </c>
      <c r="BL96" s="304">
        <v>28</v>
      </c>
      <c r="BM96" s="114">
        <v>7.8012095033496296</v>
      </c>
      <c r="BO96" t="s">
        <v>18</v>
      </c>
      <c r="BP96" t="s">
        <v>18</v>
      </c>
      <c r="BQ96" t="s">
        <v>18</v>
      </c>
      <c r="BR96" t="s">
        <v>18</v>
      </c>
      <c r="BS96" t="s">
        <v>18</v>
      </c>
      <c r="BT96" t="s">
        <v>18</v>
      </c>
      <c r="BU96" t="s">
        <v>18</v>
      </c>
      <c r="BV96" t="s">
        <v>18</v>
      </c>
      <c r="BY96" s="112"/>
      <c r="BZ96" s="164"/>
      <c r="CA96" s="164"/>
      <c r="CB96" s="164"/>
      <c r="CC96" s="164"/>
      <c r="CD96" s="164"/>
      <c r="CE96" s="164"/>
      <c r="CF96" s="164"/>
      <c r="CG96" s="164"/>
      <c r="CH96" s="164"/>
      <c r="CI96" s="164"/>
    </row>
    <row r="97" spans="3:87" x14ac:dyDescent="0.25">
      <c r="C97">
        <v>112</v>
      </c>
      <c r="D97" t="s">
        <v>37</v>
      </c>
      <c r="E97">
        <v>21.017299999999999</v>
      </c>
      <c r="F97" s="111">
        <v>328177000</v>
      </c>
      <c r="G97" s="109">
        <v>8.5161081406320562</v>
      </c>
      <c r="H97" t="b">
        <v>1</v>
      </c>
      <c r="I97">
        <v>20.250991821289063</v>
      </c>
      <c r="J97">
        <v>4119523.25</v>
      </c>
      <c r="K97">
        <v>6.6148469582965648</v>
      </c>
      <c r="L97" s="109" t="b">
        <v>1</v>
      </c>
      <c r="M97" s="109">
        <v>28</v>
      </c>
      <c r="T97" s="114">
        <v>114</v>
      </c>
      <c r="U97" s="114" t="s">
        <v>38</v>
      </c>
      <c r="V97" s="114">
        <v>34.095207214355469</v>
      </c>
      <c r="W97" s="114">
        <v>277.2630615234375</v>
      </c>
      <c r="X97" s="112">
        <v>2.4428920143845474</v>
      </c>
      <c r="AA97" s="161">
        <v>112</v>
      </c>
      <c r="AB97" s="114" t="s">
        <v>37</v>
      </c>
      <c r="AC97" s="114">
        <v>21.017299999999999</v>
      </c>
      <c r="AD97" s="167">
        <v>328177000</v>
      </c>
      <c r="AE97" s="162">
        <v>8.5161081406320562</v>
      </c>
      <c r="AF97" s="114" t="b">
        <v>1</v>
      </c>
      <c r="AG97" s="114">
        <v>20.250991821289063</v>
      </c>
      <c r="AH97" s="114">
        <v>4119523.25</v>
      </c>
      <c r="AI97" s="114">
        <v>6.6148469582965648</v>
      </c>
      <c r="AJ97" s="162" t="b">
        <v>1</v>
      </c>
      <c r="AK97" s="163">
        <v>28</v>
      </c>
      <c r="BL97" s="303">
        <v>28</v>
      </c>
      <c r="BM97" s="112">
        <v>5.5038573877449251</v>
      </c>
      <c r="BO97" t="s">
        <v>18</v>
      </c>
      <c r="BP97" t="s">
        <v>18</v>
      </c>
      <c r="BQ97" t="s">
        <v>18</v>
      </c>
      <c r="BR97" t="s">
        <v>18</v>
      </c>
      <c r="BS97" t="s">
        <v>18</v>
      </c>
      <c r="BT97" t="s">
        <v>18</v>
      </c>
      <c r="BU97" t="s">
        <v>18</v>
      </c>
      <c r="BV97" t="s">
        <v>18</v>
      </c>
      <c r="BY97" s="112"/>
      <c r="BZ97" s="164"/>
      <c r="CA97" s="164"/>
      <c r="CB97" s="164"/>
      <c r="CC97" s="164"/>
      <c r="CD97" s="164"/>
      <c r="CE97" s="164"/>
      <c r="CF97" s="164"/>
      <c r="CG97" s="164"/>
      <c r="CH97" s="164"/>
      <c r="CI97" s="164"/>
    </row>
    <row r="98" spans="3:87" x14ac:dyDescent="0.25">
      <c r="C98">
        <v>113</v>
      </c>
      <c r="D98" t="s">
        <v>37</v>
      </c>
      <c r="E98">
        <v>26.0701</v>
      </c>
      <c r="F98" s="111">
        <v>4257860</v>
      </c>
      <c r="G98" s="109">
        <v>6.6291913775750517</v>
      </c>
      <c r="H98" t="b">
        <v>1</v>
      </c>
      <c r="I98">
        <v>26.777292251586914</v>
      </c>
      <c r="J98">
        <v>44478.078125</v>
      </c>
      <c r="K98">
        <v>4.6481460133370458</v>
      </c>
      <c r="L98" s="109" t="b">
        <v>1</v>
      </c>
      <c r="M98" s="109">
        <v>7</v>
      </c>
      <c r="T98" s="112">
        <v>116</v>
      </c>
      <c r="U98" s="112" t="s">
        <v>38</v>
      </c>
      <c r="V98" s="112">
        <v>24.516096115112305</v>
      </c>
      <c r="W98" s="112">
        <v>213578.53125</v>
      </c>
      <c r="X98" s="112">
        <v>5.3295575956025338</v>
      </c>
      <c r="AA98" s="164">
        <v>113</v>
      </c>
      <c r="AB98" s="112" t="s">
        <v>37</v>
      </c>
      <c r="AC98" s="112">
        <v>26.0701</v>
      </c>
      <c r="AD98" s="165">
        <v>4257860</v>
      </c>
      <c r="AE98" s="166">
        <v>6.6291913775750517</v>
      </c>
      <c r="AF98" s="112" t="b">
        <v>1</v>
      </c>
      <c r="AG98" s="112">
        <v>26.777292251586914</v>
      </c>
      <c r="AH98" s="112">
        <v>44478.078125</v>
      </c>
      <c r="AI98" s="112">
        <v>4.6481460133370458</v>
      </c>
      <c r="AJ98" s="166" t="b">
        <v>1</v>
      </c>
      <c r="AK98" s="119">
        <v>7</v>
      </c>
      <c r="BL98" s="304">
        <v>28</v>
      </c>
      <c r="BM98" s="114">
        <v>5.7182209259821439</v>
      </c>
      <c r="BO98" t="s">
        <v>18</v>
      </c>
      <c r="BP98" t="s">
        <v>18</v>
      </c>
      <c r="BQ98" t="s">
        <v>18</v>
      </c>
      <c r="BR98" t="s">
        <v>18</v>
      </c>
      <c r="BS98" t="s">
        <v>18</v>
      </c>
      <c r="BT98" t="s">
        <v>18</v>
      </c>
      <c r="BU98" t="s">
        <v>18</v>
      </c>
      <c r="BV98" t="s">
        <v>18</v>
      </c>
      <c r="BY98" s="112"/>
      <c r="BZ98" s="164"/>
      <c r="CA98" s="164"/>
      <c r="CB98" s="164"/>
      <c r="CC98" s="164"/>
      <c r="CD98" s="164"/>
      <c r="CE98" s="164"/>
      <c r="CF98" s="164"/>
      <c r="CG98" s="164"/>
      <c r="CH98" s="164"/>
      <c r="CI98" s="164"/>
    </row>
    <row r="99" spans="3:87" x14ac:dyDescent="0.25">
      <c r="C99">
        <v>114</v>
      </c>
      <c r="D99" t="s">
        <v>37</v>
      </c>
      <c r="E99">
        <v>23.9421</v>
      </c>
      <c r="F99" s="111">
        <v>26538600</v>
      </c>
      <c r="G99" s="109">
        <v>7.4238780086447802</v>
      </c>
      <c r="H99" t="b">
        <v>1</v>
      </c>
      <c r="I99">
        <v>34.095207214355469</v>
      </c>
      <c r="J99">
        <v>277.2630615234375</v>
      </c>
      <c r="K99">
        <v>2.4428920143845474</v>
      </c>
      <c r="L99" s="109" t="b">
        <v>1</v>
      </c>
      <c r="M99" s="109">
        <v>7</v>
      </c>
      <c r="T99" s="114">
        <v>117</v>
      </c>
      <c r="U99" s="114" t="s">
        <v>38</v>
      </c>
      <c r="V99" s="114">
        <v>36.183025360107422</v>
      </c>
      <c r="W99" s="114">
        <v>65.122024536132813</v>
      </c>
      <c r="X99" s="112">
        <v>1.813727893588817</v>
      </c>
      <c r="AA99" s="161">
        <v>114</v>
      </c>
      <c r="AB99" s="114" t="s">
        <v>37</v>
      </c>
      <c r="AC99" s="114">
        <v>23.9421</v>
      </c>
      <c r="AD99" s="167">
        <v>26538600</v>
      </c>
      <c r="AE99" s="162">
        <v>7.4238780086447802</v>
      </c>
      <c r="AF99" s="114" t="b">
        <v>1</v>
      </c>
      <c r="AG99" s="114">
        <v>34.095207214355469</v>
      </c>
      <c r="AH99" s="114">
        <v>277.2630615234375</v>
      </c>
      <c r="AI99" s="114">
        <v>2.4428920143845474</v>
      </c>
      <c r="AJ99" s="162" t="b">
        <v>1</v>
      </c>
      <c r="AK99" s="163">
        <v>7</v>
      </c>
      <c r="BL99" s="303">
        <v>28</v>
      </c>
      <c r="BM99" s="112">
        <v>8.2033157937601011</v>
      </c>
      <c r="BO99" t="s">
        <v>18</v>
      </c>
      <c r="BP99" t="s">
        <v>18</v>
      </c>
      <c r="BQ99" t="s">
        <v>18</v>
      </c>
      <c r="BR99" t="s">
        <v>18</v>
      </c>
      <c r="BS99" t="s">
        <v>18</v>
      </c>
      <c r="BT99" t="s">
        <v>18</v>
      </c>
      <c r="BU99" t="s">
        <v>18</v>
      </c>
      <c r="BV99" t="s">
        <v>18</v>
      </c>
      <c r="BY99" s="112"/>
      <c r="BZ99" s="164"/>
      <c r="CA99" s="164"/>
      <c r="CB99" s="164"/>
      <c r="CC99" s="164"/>
      <c r="CD99" s="164"/>
      <c r="CE99" s="164"/>
      <c r="CF99" s="164"/>
      <c r="CG99" s="164"/>
      <c r="CH99" s="164"/>
      <c r="CI99" s="164"/>
    </row>
    <row r="100" spans="3:87" x14ac:dyDescent="0.25">
      <c r="C100">
        <v>115</v>
      </c>
      <c r="D100" t="s">
        <v>37</v>
      </c>
      <c r="E100" t="s">
        <v>39</v>
      </c>
      <c r="G100" s="109" t="s">
        <v>18</v>
      </c>
      <c r="H100" t="b">
        <v>0</v>
      </c>
      <c r="I100" t="s">
        <v>47</v>
      </c>
      <c r="J100" t="s">
        <v>47</v>
      </c>
      <c r="K100" t="s">
        <v>47</v>
      </c>
      <c r="L100" s="109" t="s">
        <v>48</v>
      </c>
      <c r="M100" s="109">
        <v>7</v>
      </c>
      <c r="T100" s="112">
        <v>119</v>
      </c>
      <c r="U100" s="112" t="s">
        <v>38</v>
      </c>
      <c r="V100" s="112">
        <v>32.747020721435547</v>
      </c>
      <c r="W100" s="112">
        <v>706.5909423828125</v>
      </c>
      <c r="X100" s="112">
        <v>2.8491680660193248</v>
      </c>
      <c r="AA100" s="164">
        <v>115</v>
      </c>
      <c r="AB100" s="112" t="s">
        <v>37</v>
      </c>
      <c r="AC100" s="112" t="s">
        <v>39</v>
      </c>
      <c r="AD100" s="112"/>
      <c r="AE100" s="166" t="s">
        <v>18</v>
      </c>
      <c r="AF100" s="112" t="b">
        <v>0</v>
      </c>
      <c r="AG100" s="112" t="s">
        <v>47</v>
      </c>
      <c r="AH100" s="112" t="s">
        <v>47</v>
      </c>
      <c r="AI100" s="112" t="s">
        <v>47</v>
      </c>
      <c r="AJ100" s="166" t="s">
        <v>48</v>
      </c>
      <c r="AK100" s="119">
        <v>7</v>
      </c>
      <c r="BL100" s="304">
        <v>28</v>
      </c>
      <c r="BM100" s="114">
        <v>7.7765362950862924</v>
      </c>
      <c r="BO100" t="s">
        <v>18</v>
      </c>
      <c r="BP100" t="s">
        <v>18</v>
      </c>
      <c r="BQ100" t="s">
        <v>18</v>
      </c>
      <c r="BR100" t="s">
        <v>18</v>
      </c>
      <c r="BS100" t="s">
        <v>18</v>
      </c>
      <c r="BT100" t="s">
        <v>18</v>
      </c>
      <c r="BU100" t="s">
        <v>18</v>
      </c>
      <c r="BV100" t="s">
        <v>18</v>
      </c>
      <c r="BY100" s="112"/>
      <c r="BZ100" s="164"/>
      <c r="CA100" s="164"/>
      <c r="CB100" s="164"/>
      <c r="CC100" s="164"/>
      <c r="CD100" s="164"/>
      <c r="CE100" s="164"/>
      <c r="CF100" s="164"/>
      <c r="CG100" s="164"/>
      <c r="CH100" s="164"/>
      <c r="CI100" s="164"/>
    </row>
    <row r="101" spans="3:87" x14ac:dyDescent="0.25">
      <c r="C101">
        <v>116</v>
      </c>
      <c r="D101" t="s">
        <v>37</v>
      </c>
      <c r="E101">
        <v>24.777100000000001</v>
      </c>
      <c r="F101" s="111">
        <v>12944300</v>
      </c>
      <c r="G101" s="109">
        <v>7.112078569691155</v>
      </c>
      <c r="H101" t="b">
        <v>1</v>
      </c>
      <c r="I101">
        <v>24.516096115112305</v>
      </c>
      <c r="J101">
        <v>213578.53125</v>
      </c>
      <c r="K101">
        <v>5.3295575956025338</v>
      </c>
      <c r="L101" s="109" t="b">
        <v>1</v>
      </c>
      <c r="M101" s="109">
        <v>14</v>
      </c>
      <c r="T101" s="114"/>
      <c r="U101" s="114" t="s">
        <v>41</v>
      </c>
      <c r="V101" s="114" t="s">
        <v>39</v>
      </c>
      <c r="W101" s="114" t="s">
        <v>18</v>
      </c>
      <c r="X101" s="112" t="s">
        <v>18</v>
      </c>
      <c r="AA101" s="161">
        <v>116</v>
      </c>
      <c r="AB101" s="114" t="s">
        <v>37</v>
      </c>
      <c r="AC101" s="114">
        <v>24.777100000000001</v>
      </c>
      <c r="AD101" s="167">
        <v>12944300</v>
      </c>
      <c r="AE101" s="162">
        <v>7.112078569691155</v>
      </c>
      <c r="AF101" s="114" t="b">
        <v>1</v>
      </c>
      <c r="AG101" s="114">
        <v>24.516096115112305</v>
      </c>
      <c r="AH101" s="114">
        <v>213578.53125</v>
      </c>
      <c r="AI101" s="114">
        <v>5.3295575956025338</v>
      </c>
      <c r="AJ101" s="162" t="b">
        <v>1</v>
      </c>
      <c r="AK101" s="163">
        <v>14</v>
      </c>
      <c r="BL101" s="303">
        <v>28</v>
      </c>
      <c r="BM101" s="112">
        <v>8.5161081406320562</v>
      </c>
      <c r="BO101" t="s">
        <v>18</v>
      </c>
      <c r="BP101" t="s">
        <v>18</v>
      </c>
      <c r="BQ101" t="s">
        <v>18</v>
      </c>
      <c r="BR101" t="s">
        <v>18</v>
      </c>
      <c r="BS101" t="s">
        <v>18</v>
      </c>
      <c r="BT101" t="s">
        <v>18</v>
      </c>
      <c r="BU101" t="s">
        <v>18</v>
      </c>
      <c r="BV101" t="s">
        <v>18</v>
      </c>
      <c r="BY101" s="112"/>
      <c r="BZ101" s="164"/>
      <c r="CA101" s="164"/>
      <c r="CB101" s="164"/>
      <c r="CC101" s="164"/>
      <c r="CD101" s="164"/>
      <c r="CE101" s="164"/>
      <c r="CF101" s="164"/>
      <c r="CG101" s="164"/>
      <c r="CH101" s="164"/>
      <c r="CI101" s="164"/>
    </row>
    <row r="102" spans="3:87" x14ac:dyDescent="0.25">
      <c r="C102">
        <v>117</v>
      </c>
      <c r="D102" t="s">
        <v>37</v>
      </c>
      <c r="E102">
        <v>25.0366</v>
      </c>
      <c r="F102" s="111">
        <v>10354700</v>
      </c>
      <c r="G102" s="109">
        <v>7.0151375208796951</v>
      </c>
      <c r="H102" t="b">
        <v>1</v>
      </c>
      <c r="I102">
        <v>36.183025360107422</v>
      </c>
      <c r="J102">
        <v>65.122024536132813</v>
      </c>
      <c r="K102">
        <v>1.813727893588817</v>
      </c>
      <c r="L102" s="109" t="b">
        <v>0</v>
      </c>
      <c r="M102" s="109">
        <v>7</v>
      </c>
      <c r="AA102" s="164">
        <v>117</v>
      </c>
      <c r="AB102" s="112" t="s">
        <v>37</v>
      </c>
      <c r="AC102" s="112">
        <v>25.0366</v>
      </c>
      <c r="AD102" s="165">
        <v>10354700</v>
      </c>
      <c r="AE102" s="166">
        <v>7.0151375208796951</v>
      </c>
      <c r="AF102" s="112" t="b">
        <v>1</v>
      </c>
      <c r="AG102" s="112">
        <v>36.183025360107422</v>
      </c>
      <c r="AH102" s="112">
        <v>65.122024536132813</v>
      </c>
      <c r="AI102" s="112">
        <v>1.813727893588817</v>
      </c>
      <c r="AJ102" s="166" t="b">
        <v>0</v>
      </c>
      <c r="AK102" s="119">
        <v>7</v>
      </c>
      <c r="BL102" s="304">
        <v>29</v>
      </c>
      <c r="BM102" s="114">
        <v>7.223791773062942</v>
      </c>
      <c r="BO102" t="s">
        <v>18</v>
      </c>
      <c r="BP102" t="s">
        <v>18</v>
      </c>
      <c r="BQ102" t="s">
        <v>18</v>
      </c>
      <c r="BR102" t="s">
        <v>18</v>
      </c>
      <c r="BS102" t="s">
        <v>18</v>
      </c>
      <c r="BT102" t="s">
        <v>18</v>
      </c>
      <c r="BU102" t="s">
        <v>18</v>
      </c>
      <c r="BV102" t="s">
        <v>18</v>
      </c>
      <c r="BY102" s="112"/>
      <c r="BZ102" s="164"/>
      <c r="CA102" s="164"/>
      <c r="CB102" s="164"/>
      <c r="CC102" s="164"/>
      <c r="CD102" s="164"/>
      <c r="CE102" s="164"/>
      <c r="CF102" s="164"/>
      <c r="CG102" s="164"/>
      <c r="CH102" s="164"/>
      <c r="CI102" s="164"/>
    </row>
    <row r="103" spans="3:87" x14ac:dyDescent="0.25">
      <c r="C103">
        <v>118</v>
      </c>
      <c r="D103" t="s">
        <v>37</v>
      </c>
      <c r="E103">
        <v>37.9756</v>
      </c>
      <c r="F103">
        <v>152.483</v>
      </c>
      <c r="G103" s="109">
        <v>2.1832214278288062</v>
      </c>
      <c r="H103" t="b">
        <v>1</v>
      </c>
      <c r="I103" t="s">
        <v>47</v>
      </c>
      <c r="J103" t="s">
        <v>47</v>
      </c>
      <c r="K103" t="s">
        <v>47</v>
      </c>
      <c r="L103" s="109" t="s">
        <v>48</v>
      </c>
      <c r="M103" s="109">
        <v>1</v>
      </c>
      <c r="AA103" s="161">
        <v>118</v>
      </c>
      <c r="AB103" s="114" t="s">
        <v>37</v>
      </c>
      <c r="AC103" s="114">
        <v>37.9756</v>
      </c>
      <c r="AD103" s="114">
        <v>152.483</v>
      </c>
      <c r="AE103" s="162">
        <v>2.1832214278288062</v>
      </c>
      <c r="AF103" s="114" t="b">
        <v>1</v>
      </c>
      <c r="AG103" s="114" t="s">
        <v>47</v>
      </c>
      <c r="AH103" s="114" t="s">
        <v>47</v>
      </c>
      <c r="AI103" s="114" t="s">
        <v>47</v>
      </c>
      <c r="AJ103" s="162" t="s">
        <v>48</v>
      </c>
      <c r="AK103" s="163">
        <v>1</v>
      </c>
      <c r="BL103" s="303">
        <v>29</v>
      </c>
      <c r="BM103" s="112">
        <v>8.1001498950521515</v>
      </c>
      <c r="BO103" t="s">
        <v>18</v>
      </c>
      <c r="BP103" t="s">
        <v>18</v>
      </c>
      <c r="BQ103" t="s">
        <v>18</v>
      </c>
      <c r="BR103" t="s">
        <v>18</v>
      </c>
      <c r="BS103" t="s">
        <v>18</v>
      </c>
      <c r="BT103" t="s">
        <v>18</v>
      </c>
      <c r="BU103" t="s">
        <v>18</v>
      </c>
      <c r="BV103" t="s">
        <v>18</v>
      </c>
      <c r="BY103" s="112"/>
      <c r="BZ103" s="164"/>
      <c r="CA103" s="164"/>
      <c r="CB103" s="164"/>
      <c r="CC103" s="164"/>
      <c r="CD103" s="164"/>
      <c r="CE103" s="164"/>
      <c r="CF103" s="164"/>
      <c r="CG103" s="164"/>
      <c r="CH103" s="164"/>
      <c r="CI103" s="164"/>
    </row>
    <row r="104" spans="3:87" x14ac:dyDescent="0.25">
      <c r="C104">
        <v>119</v>
      </c>
      <c r="D104" t="s">
        <v>37</v>
      </c>
      <c r="E104">
        <v>29.309100000000001</v>
      </c>
      <c r="F104" s="111">
        <v>262802</v>
      </c>
      <c r="G104" s="109">
        <v>5.4196286660082098</v>
      </c>
      <c r="H104" t="b">
        <v>1</v>
      </c>
      <c r="I104">
        <v>32.747020721435547</v>
      </c>
      <c r="J104">
        <v>706.5909423828125</v>
      </c>
      <c r="K104">
        <v>2.8491680660193248</v>
      </c>
      <c r="L104" s="109" t="b">
        <v>1</v>
      </c>
      <c r="M104" s="109">
        <v>18</v>
      </c>
      <c r="AA104" s="164">
        <v>119</v>
      </c>
      <c r="AB104" s="112" t="s">
        <v>37</v>
      </c>
      <c r="AC104" s="112">
        <v>29.309100000000001</v>
      </c>
      <c r="AD104" s="165">
        <v>262802</v>
      </c>
      <c r="AE104" s="166">
        <v>5.4196286660082098</v>
      </c>
      <c r="AF104" s="112" t="b">
        <v>1</v>
      </c>
      <c r="AG104" s="112">
        <v>32.747020721435547</v>
      </c>
      <c r="AH104" s="112">
        <v>706.5909423828125</v>
      </c>
      <c r="AI104" s="112">
        <v>2.8491680660193248</v>
      </c>
      <c r="AJ104" s="166" t="b">
        <v>1</v>
      </c>
      <c r="AK104" s="119">
        <v>18</v>
      </c>
      <c r="BL104" s="304">
        <v>32</v>
      </c>
      <c r="BM104" s="114">
        <v>7.9809831798262802</v>
      </c>
      <c r="BO104" t="s">
        <v>18</v>
      </c>
      <c r="BP104" t="s">
        <v>18</v>
      </c>
      <c r="BQ104" t="s">
        <v>18</v>
      </c>
      <c r="BR104" t="s">
        <v>18</v>
      </c>
      <c r="BS104" t="s">
        <v>18</v>
      </c>
      <c r="BT104" t="s">
        <v>18</v>
      </c>
      <c r="BU104" t="s">
        <v>18</v>
      </c>
      <c r="BV104" t="s">
        <v>18</v>
      </c>
      <c r="BY104" s="112"/>
      <c r="BZ104" s="164"/>
      <c r="CA104" s="164"/>
      <c r="CB104" s="164"/>
      <c r="CC104" s="164"/>
      <c r="CD104" s="164"/>
      <c r="CE104" s="164"/>
      <c r="CF104" s="164"/>
      <c r="CG104" s="164"/>
      <c r="CH104" s="164"/>
      <c r="CI104" s="164"/>
    </row>
    <row r="105" spans="3:87" x14ac:dyDescent="0.25">
      <c r="C105">
        <v>120</v>
      </c>
      <c r="D105" t="s">
        <v>37</v>
      </c>
      <c r="E105" t="s">
        <v>39</v>
      </c>
      <c r="G105" s="109" t="s">
        <v>18</v>
      </c>
      <c r="H105" t="b">
        <v>0</v>
      </c>
      <c r="I105" t="s">
        <v>47</v>
      </c>
      <c r="J105" t="s">
        <v>47</v>
      </c>
      <c r="K105" t="s">
        <v>47</v>
      </c>
      <c r="L105" s="109" t="s">
        <v>48</v>
      </c>
      <c r="M105" s="109">
        <v>7</v>
      </c>
      <c r="AA105" s="161">
        <v>120</v>
      </c>
      <c r="AB105" s="114" t="s">
        <v>37</v>
      </c>
      <c r="AC105" s="114" t="s">
        <v>39</v>
      </c>
      <c r="AD105" s="114"/>
      <c r="AE105" s="162" t="s">
        <v>18</v>
      </c>
      <c r="AF105" s="114" t="b">
        <v>0</v>
      </c>
      <c r="AG105" s="114" t="s">
        <v>47</v>
      </c>
      <c r="AH105" s="114" t="s">
        <v>47</v>
      </c>
      <c r="AI105" s="114" t="s">
        <v>47</v>
      </c>
      <c r="AJ105" s="162" t="s">
        <v>48</v>
      </c>
      <c r="AK105" s="163">
        <v>7</v>
      </c>
      <c r="BL105" s="303">
        <v>36</v>
      </c>
      <c r="BM105" s="112">
        <v>6.9483650342381562</v>
      </c>
      <c r="BO105" t="s">
        <v>18</v>
      </c>
      <c r="BP105" t="s">
        <v>18</v>
      </c>
      <c r="BQ105" t="s">
        <v>18</v>
      </c>
      <c r="BR105" t="s">
        <v>18</v>
      </c>
      <c r="BS105" t="s">
        <v>18</v>
      </c>
      <c r="BT105" t="s">
        <v>18</v>
      </c>
      <c r="BU105" t="s">
        <v>18</v>
      </c>
      <c r="BV105" t="s">
        <v>18</v>
      </c>
      <c r="BY105" s="214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</row>
    <row r="106" spans="3:87" x14ac:dyDescent="0.25">
      <c r="C106" t="s">
        <v>48</v>
      </c>
      <c r="E106" t="s">
        <v>50</v>
      </c>
      <c r="G106" s="109"/>
      <c r="H106" t="b">
        <v>1</v>
      </c>
      <c r="I106" t="s">
        <v>47</v>
      </c>
      <c r="L106" s="109"/>
      <c r="M106" s="109">
        <v>5</v>
      </c>
      <c r="BL106" s="304">
        <v>36</v>
      </c>
      <c r="BM106" s="114">
        <v>5.5789427662244995</v>
      </c>
      <c r="BY106" s="164"/>
      <c r="BZ106" s="164"/>
      <c r="CA106" s="164"/>
      <c r="CB106" s="164"/>
      <c r="CC106" s="164"/>
      <c r="CD106" s="164"/>
      <c r="CE106" s="164"/>
      <c r="CF106" s="164"/>
      <c r="CG106" s="164"/>
      <c r="CH106" s="164"/>
      <c r="CI106" s="164"/>
    </row>
    <row r="107" spans="3:87" x14ac:dyDescent="0.25">
      <c r="C107" t="s">
        <v>48</v>
      </c>
      <c r="D107" t="s">
        <v>46</v>
      </c>
      <c r="E107">
        <v>25.421399999999998</v>
      </c>
      <c r="F107" s="111">
        <v>3981070</v>
      </c>
      <c r="G107" s="109">
        <v>6.5999998139434197</v>
      </c>
      <c r="H107" t="s">
        <v>18</v>
      </c>
      <c r="I107" t="s">
        <v>47</v>
      </c>
      <c r="J107" t="s">
        <v>47</v>
      </c>
      <c r="K107" t="s">
        <v>47</v>
      </c>
      <c r="L107" s="109" t="s">
        <v>48</v>
      </c>
      <c r="M107" s="109" t="e">
        <v>#N/A</v>
      </c>
      <c r="BL107" s="303">
        <v>37</v>
      </c>
      <c r="BM107" s="112">
        <v>7.7414339639730825</v>
      </c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</row>
    <row r="108" spans="3:87" x14ac:dyDescent="0.25">
      <c r="C108" t="s">
        <v>48</v>
      </c>
      <c r="D108" t="s">
        <v>46</v>
      </c>
      <c r="E108">
        <v>26.575600000000001</v>
      </c>
      <c r="F108" s="111">
        <v>3981070</v>
      </c>
      <c r="G108" s="109">
        <v>6.5999998139434197</v>
      </c>
      <c r="H108" t="s">
        <v>18</v>
      </c>
      <c r="I108" t="s">
        <v>47</v>
      </c>
      <c r="J108" t="s">
        <v>47</v>
      </c>
      <c r="K108" t="s">
        <v>47</v>
      </c>
      <c r="L108" s="109" t="s">
        <v>48</v>
      </c>
      <c r="M108" s="109" t="e">
        <v>#N/A</v>
      </c>
      <c r="BL108" s="304">
        <v>39</v>
      </c>
      <c r="BM108" s="114">
        <v>7.3317385407012585</v>
      </c>
      <c r="BY108" s="164"/>
      <c r="BZ108" s="164"/>
      <c r="CA108" s="164"/>
      <c r="CB108" s="164"/>
      <c r="CC108" s="164"/>
      <c r="CD108" s="164"/>
      <c r="CE108" s="164"/>
      <c r="CF108" s="164"/>
      <c r="CG108" s="164"/>
      <c r="CH108" s="164"/>
      <c r="CI108" s="164"/>
    </row>
    <row r="109" spans="3:87" x14ac:dyDescent="0.25">
      <c r="C109" t="s">
        <v>48</v>
      </c>
      <c r="D109" t="s">
        <v>46</v>
      </c>
      <c r="E109">
        <v>28.795100000000001</v>
      </c>
      <c r="F109" s="111">
        <v>398107</v>
      </c>
      <c r="G109" s="109">
        <v>5.5999998139434197</v>
      </c>
      <c r="H109" t="s">
        <v>18</v>
      </c>
      <c r="I109" t="s">
        <v>47</v>
      </c>
      <c r="J109" t="s">
        <v>47</v>
      </c>
      <c r="K109" t="s">
        <v>47</v>
      </c>
      <c r="L109" s="109" t="s">
        <v>48</v>
      </c>
      <c r="M109" s="109" t="e">
        <v>#N/A</v>
      </c>
      <c r="BM109" s="112" t="s">
        <v>18</v>
      </c>
      <c r="BN109" s="303" t="s">
        <v>18</v>
      </c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</row>
    <row r="110" spans="3:87" x14ac:dyDescent="0.25">
      <c r="C110" t="s">
        <v>48</v>
      </c>
      <c r="D110" t="s">
        <v>46</v>
      </c>
      <c r="E110">
        <v>28.784700000000001</v>
      </c>
      <c r="F110" s="111">
        <v>398107</v>
      </c>
      <c r="G110" s="109">
        <v>5.5999998139434197</v>
      </c>
      <c r="H110" t="s">
        <v>18</v>
      </c>
      <c r="I110" t="s">
        <v>47</v>
      </c>
      <c r="J110" t="s">
        <v>47</v>
      </c>
      <c r="K110" t="s">
        <v>47</v>
      </c>
      <c r="L110" s="109" t="s">
        <v>48</v>
      </c>
      <c r="M110" s="109" t="e">
        <v>#N/A</v>
      </c>
      <c r="BM110" s="114" t="s">
        <v>18</v>
      </c>
      <c r="BN110" s="304" t="s">
        <v>18</v>
      </c>
      <c r="BY110" s="164"/>
      <c r="BZ110" s="164"/>
      <c r="CA110" s="164"/>
      <c r="CB110" s="164"/>
      <c r="CC110" s="164"/>
      <c r="CD110" s="164"/>
      <c r="CE110" s="164"/>
      <c r="CF110" s="164"/>
      <c r="CG110" s="164"/>
      <c r="CH110" s="164"/>
      <c r="CI110" s="164"/>
    </row>
    <row r="111" spans="3:87" x14ac:dyDescent="0.25">
      <c r="C111" t="s">
        <v>48</v>
      </c>
      <c r="D111" t="s">
        <v>46</v>
      </c>
      <c r="E111">
        <v>31.387</v>
      </c>
      <c r="F111" s="111">
        <v>39810.699999999997</v>
      </c>
      <c r="G111" s="109">
        <v>4.5999998139434197</v>
      </c>
      <c r="H111" t="s">
        <v>18</v>
      </c>
      <c r="I111" t="s">
        <v>47</v>
      </c>
      <c r="J111" t="s">
        <v>47</v>
      </c>
      <c r="K111" t="s">
        <v>47</v>
      </c>
      <c r="L111" s="109" t="s">
        <v>48</v>
      </c>
      <c r="M111" s="109" t="e">
        <v>#N/A</v>
      </c>
      <c r="BM111" s="114" t="s">
        <v>18</v>
      </c>
      <c r="BN111" s="304" t="s">
        <v>18</v>
      </c>
      <c r="BY111" s="164"/>
      <c r="BZ111" s="164"/>
      <c r="CA111" s="164"/>
      <c r="CB111" s="164"/>
      <c r="CC111" s="164"/>
      <c r="CD111" s="164"/>
      <c r="CE111" s="164"/>
      <c r="CF111" s="164"/>
      <c r="CG111" s="164"/>
      <c r="CH111" s="164"/>
      <c r="CI111" s="164"/>
    </row>
    <row r="112" spans="3:87" x14ac:dyDescent="0.25">
      <c r="C112" t="s">
        <v>48</v>
      </c>
      <c r="D112" t="s">
        <v>46</v>
      </c>
      <c r="E112">
        <v>32.139499999999998</v>
      </c>
      <c r="F112" s="111">
        <v>39810.699999999997</v>
      </c>
      <c r="G112" s="109">
        <v>4.5999998139434197</v>
      </c>
      <c r="H112" t="s">
        <v>18</v>
      </c>
      <c r="I112" t="s">
        <v>47</v>
      </c>
      <c r="J112" t="s">
        <v>47</v>
      </c>
      <c r="K112" t="s">
        <v>47</v>
      </c>
      <c r="L112" s="109" t="s">
        <v>48</v>
      </c>
      <c r="M112" s="109" t="e">
        <v>#N/A</v>
      </c>
      <c r="BM112" s="112" t="s">
        <v>18</v>
      </c>
      <c r="BN112" s="303" t="s">
        <v>18</v>
      </c>
      <c r="BY112" s="164"/>
      <c r="BZ112" s="164"/>
      <c r="CA112" s="164"/>
      <c r="CB112" s="164"/>
      <c r="CC112" s="164"/>
      <c r="CD112" s="164"/>
      <c r="CE112" s="164"/>
      <c r="CF112" s="164"/>
      <c r="CG112" s="164"/>
      <c r="CH112" s="164"/>
      <c r="CI112" s="164"/>
    </row>
    <row r="113" spans="3:87" x14ac:dyDescent="0.25">
      <c r="C113" t="s">
        <v>48</v>
      </c>
      <c r="D113" t="s">
        <v>46</v>
      </c>
      <c r="E113">
        <v>36.484699999999997</v>
      </c>
      <c r="F113" s="111">
        <v>3981.07</v>
      </c>
      <c r="G113" s="109">
        <v>3.5999998139434202</v>
      </c>
      <c r="H113" t="s">
        <v>18</v>
      </c>
      <c r="I113" t="s">
        <v>47</v>
      </c>
      <c r="J113" t="s">
        <v>47</v>
      </c>
      <c r="K113" t="s">
        <v>47</v>
      </c>
      <c r="L113" s="109" t="s">
        <v>48</v>
      </c>
      <c r="M113" s="109" t="e">
        <v>#N/A</v>
      </c>
      <c r="BM113" s="112" t="s">
        <v>18</v>
      </c>
      <c r="BN113" s="303" t="s">
        <v>18</v>
      </c>
      <c r="BY113" s="164"/>
      <c r="BZ113" s="164"/>
      <c r="CA113" s="164"/>
      <c r="CB113" s="164"/>
      <c r="CC113" s="164"/>
      <c r="CD113" s="164"/>
      <c r="CE113" s="164"/>
      <c r="CF113" s="164"/>
      <c r="CG113" s="164"/>
      <c r="CH113" s="164"/>
      <c r="CI113" s="164"/>
    </row>
    <row r="114" spans="3:87" x14ac:dyDescent="0.25">
      <c r="C114" t="s">
        <v>48</v>
      </c>
      <c r="D114" t="s">
        <v>46</v>
      </c>
      <c r="E114">
        <v>33.924799999999998</v>
      </c>
      <c r="F114" s="111">
        <v>3981.07</v>
      </c>
      <c r="G114" s="109">
        <v>3.5999998139434202</v>
      </c>
      <c r="H114" t="s">
        <v>18</v>
      </c>
      <c r="I114" t="s">
        <v>47</v>
      </c>
      <c r="J114" t="s">
        <v>47</v>
      </c>
      <c r="K114" t="s">
        <v>47</v>
      </c>
      <c r="L114" s="109" t="s">
        <v>48</v>
      </c>
      <c r="M114" s="109" t="e">
        <v>#N/A</v>
      </c>
      <c r="BM114" s="112" t="s">
        <v>18</v>
      </c>
      <c r="BN114" s="303" t="s">
        <v>18</v>
      </c>
      <c r="BY114" s="164"/>
      <c r="BZ114" s="164"/>
      <c r="CA114" s="164"/>
      <c r="CB114" s="164"/>
      <c r="CC114" s="164"/>
      <c r="CD114" s="164"/>
      <c r="CE114" s="164"/>
      <c r="CF114" s="164"/>
      <c r="CG114" s="164"/>
      <c r="CH114" s="164"/>
      <c r="CI114" s="164"/>
    </row>
    <row r="115" spans="3:87" x14ac:dyDescent="0.25">
      <c r="C115" t="s">
        <v>48</v>
      </c>
      <c r="D115" t="s">
        <v>46</v>
      </c>
      <c r="E115">
        <v>39.228400000000001</v>
      </c>
      <c r="F115">
        <v>398.10700000000003</v>
      </c>
      <c r="G115" s="109">
        <v>2.5999998139434202</v>
      </c>
      <c r="H115" t="s">
        <v>18</v>
      </c>
      <c r="I115" t="s">
        <v>47</v>
      </c>
      <c r="J115" t="s">
        <v>47</v>
      </c>
      <c r="K115" t="s">
        <v>47</v>
      </c>
      <c r="L115" s="109" t="s">
        <v>48</v>
      </c>
      <c r="M115" s="109" t="e">
        <v>#N/A</v>
      </c>
      <c r="BM115" s="112" t="s">
        <v>18</v>
      </c>
      <c r="BN115" s="303" t="s">
        <v>18</v>
      </c>
      <c r="BY115" s="164"/>
      <c r="BZ115" s="164"/>
      <c r="CA115" s="164"/>
      <c r="CB115" s="164"/>
      <c r="CC115" s="164"/>
      <c r="CD115" s="164"/>
      <c r="CE115" s="164"/>
      <c r="CF115" s="164"/>
      <c r="CG115" s="164"/>
      <c r="CH115" s="164"/>
      <c r="CI115" s="164"/>
    </row>
    <row r="116" spans="3:87" x14ac:dyDescent="0.25">
      <c r="C116" t="s">
        <v>48</v>
      </c>
      <c r="D116" t="s">
        <v>46</v>
      </c>
      <c r="E116" t="s">
        <v>39</v>
      </c>
      <c r="G116" s="109" t="s">
        <v>18</v>
      </c>
      <c r="H116" t="s">
        <v>18</v>
      </c>
      <c r="I116" t="s">
        <v>47</v>
      </c>
      <c r="J116" t="s">
        <v>47</v>
      </c>
      <c r="K116" t="s">
        <v>47</v>
      </c>
      <c r="L116" s="109" t="s">
        <v>48</v>
      </c>
      <c r="M116" s="109" t="e">
        <v>#N/A</v>
      </c>
      <c r="BM116" s="114" t="s">
        <v>18</v>
      </c>
      <c r="BN116" s="304" t="s">
        <v>18</v>
      </c>
    </row>
    <row r="117" spans="3:87" x14ac:dyDescent="0.25">
      <c r="C117" t="s">
        <v>48</v>
      </c>
      <c r="D117" t="s">
        <v>41</v>
      </c>
      <c r="E117" t="s">
        <v>39</v>
      </c>
      <c r="G117" s="109" t="s">
        <v>18</v>
      </c>
      <c r="H117" t="s">
        <v>18</v>
      </c>
      <c r="I117" t="s">
        <v>47</v>
      </c>
      <c r="J117" t="s">
        <v>47</v>
      </c>
      <c r="K117" t="s">
        <v>47</v>
      </c>
      <c r="L117" s="109" t="s">
        <v>48</v>
      </c>
      <c r="M117" s="109" t="e">
        <v>#N/A</v>
      </c>
      <c r="BM117" s="112" t="s">
        <v>18</v>
      </c>
      <c r="BN117" s="303" t="s">
        <v>18</v>
      </c>
    </row>
    <row r="118" spans="3:87" x14ac:dyDescent="0.25">
      <c r="C118" t="s">
        <v>48</v>
      </c>
      <c r="D118" t="s">
        <v>41</v>
      </c>
      <c r="E118" t="s">
        <v>39</v>
      </c>
      <c r="G118" s="109" t="s">
        <v>18</v>
      </c>
      <c r="H118" t="s">
        <v>18</v>
      </c>
      <c r="I118" t="s">
        <v>47</v>
      </c>
      <c r="J118" t="s">
        <v>47</v>
      </c>
      <c r="K118" t="s">
        <v>47</v>
      </c>
      <c r="L118" s="109" t="s">
        <v>48</v>
      </c>
      <c r="M118" s="109" t="e">
        <v>#N/A</v>
      </c>
      <c r="BM118" s="114" t="s">
        <v>18</v>
      </c>
      <c r="BN118" s="304" t="s">
        <v>18</v>
      </c>
    </row>
    <row r="119" spans="3:87" x14ac:dyDescent="0.25">
      <c r="C119" t="s">
        <v>48</v>
      </c>
      <c r="D119" t="s">
        <v>41</v>
      </c>
      <c r="E119" t="s">
        <v>39</v>
      </c>
      <c r="G119" s="109" t="s">
        <v>18</v>
      </c>
      <c r="H119" t="s">
        <v>18</v>
      </c>
      <c r="I119" t="s">
        <v>47</v>
      </c>
      <c r="J119" t="s">
        <v>47</v>
      </c>
      <c r="K119" t="s">
        <v>47</v>
      </c>
      <c r="L119" s="109" t="s">
        <v>48</v>
      </c>
      <c r="M119" s="109" t="e">
        <v>#N/A</v>
      </c>
      <c r="BM119" s="112" t="s">
        <v>18</v>
      </c>
      <c r="BN119" s="303" t="s">
        <v>18</v>
      </c>
    </row>
    <row r="120" spans="3:87" x14ac:dyDescent="0.25">
      <c r="C120" t="s">
        <v>48</v>
      </c>
      <c r="D120" t="s">
        <v>41</v>
      </c>
      <c r="E120" t="s">
        <v>39</v>
      </c>
      <c r="G120" s="109" t="s">
        <v>18</v>
      </c>
      <c r="H120" t="s">
        <v>18</v>
      </c>
      <c r="I120" t="s">
        <v>47</v>
      </c>
      <c r="J120" t="s">
        <v>47</v>
      </c>
      <c r="K120" t="s">
        <v>47</v>
      </c>
      <c r="L120" s="109" t="s">
        <v>48</v>
      </c>
      <c r="M120" s="109" t="e">
        <v>#N/A</v>
      </c>
      <c r="BM120" s="112" t="s">
        <v>18</v>
      </c>
      <c r="BN120" s="303" t="s">
        <v>18</v>
      </c>
    </row>
    <row r="121" spans="3:87" x14ac:dyDescent="0.25">
      <c r="C121" t="s">
        <v>48</v>
      </c>
      <c r="D121" t="s">
        <v>41</v>
      </c>
      <c r="E121" t="s">
        <v>39</v>
      </c>
      <c r="G121" s="109" t="s">
        <v>18</v>
      </c>
      <c r="H121" t="s">
        <v>18</v>
      </c>
      <c r="I121" t="s">
        <v>47</v>
      </c>
      <c r="J121" t="s">
        <v>47</v>
      </c>
      <c r="K121" t="s">
        <v>47</v>
      </c>
      <c r="L121" s="109" t="s">
        <v>48</v>
      </c>
      <c r="M121" s="109" t="e">
        <v>#N/A</v>
      </c>
      <c r="BM121" s="114" t="s">
        <v>18</v>
      </c>
      <c r="BN121" s="304" t="s">
        <v>18</v>
      </c>
    </row>
    <row r="122" spans="3:87" x14ac:dyDescent="0.25">
      <c r="C122" t="s">
        <v>48</v>
      </c>
      <c r="D122" t="s">
        <v>41</v>
      </c>
      <c r="E122" t="s">
        <v>39</v>
      </c>
      <c r="G122" s="109" t="s">
        <v>18</v>
      </c>
      <c r="H122" t="s">
        <v>18</v>
      </c>
      <c r="I122" t="s">
        <v>47</v>
      </c>
      <c r="J122" t="s">
        <v>47</v>
      </c>
      <c r="K122" t="s">
        <v>47</v>
      </c>
      <c r="L122" s="109" t="s">
        <v>48</v>
      </c>
      <c r="M122" s="109" t="e">
        <v>#N/A</v>
      </c>
    </row>
    <row r="123" spans="3:87" x14ac:dyDescent="0.25">
      <c r="C123" t="s">
        <v>48</v>
      </c>
      <c r="D123" t="s">
        <v>46</v>
      </c>
      <c r="E123">
        <v>25.671500000000002</v>
      </c>
      <c r="F123" s="111">
        <v>3981070</v>
      </c>
      <c r="G123" s="109">
        <v>6.5999998139434197</v>
      </c>
      <c r="H123" t="s">
        <v>18</v>
      </c>
      <c r="I123" t="s">
        <v>47</v>
      </c>
      <c r="J123" t="s">
        <v>47</v>
      </c>
      <c r="K123" t="s">
        <v>47</v>
      </c>
      <c r="L123" s="109" t="s">
        <v>48</v>
      </c>
      <c r="M123" s="109" t="e">
        <v>#N/A</v>
      </c>
    </row>
    <row r="124" spans="3:87" x14ac:dyDescent="0.25">
      <c r="C124" t="s">
        <v>48</v>
      </c>
      <c r="D124" t="s">
        <v>46</v>
      </c>
      <c r="E124">
        <v>25.6144</v>
      </c>
      <c r="F124" s="111">
        <v>3981070</v>
      </c>
      <c r="G124" s="109">
        <v>6.5999998139434197</v>
      </c>
      <c r="H124" t="s">
        <v>18</v>
      </c>
      <c r="I124" t="s">
        <v>47</v>
      </c>
      <c r="J124" t="s">
        <v>47</v>
      </c>
      <c r="K124" t="s">
        <v>47</v>
      </c>
      <c r="L124" s="109" t="s">
        <v>48</v>
      </c>
      <c r="M124" s="109" t="e">
        <v>#N/A</v>
      </c>
    </row>
    <row r="125" spans="3:87" x14ac:dyDescent="0.25">
      <c r="C125" t="s">
        <v>48</v>
      </c>
      <c r="D125" t="s">
        <v>41</v>
      </c>
      <c r="E125" t="s">
        <v>39</v>
      </c>
      <c r="G125" s="109" t="s">
        <v>18</v>
      </c>
      <c r="H125" t="s">
        <v>18</v>
      </c>
      <c r="I125" t="s">
        <v>47</v>
      </c>
      <c r="J125" t="s">
        <v>47</v>
      </c>
      <c r="K125" t="s">
        <v>47</v>
      </c>
      <c r="L125" s="109" t="s">
        <v>48</v>
      </c>
      <c r="M125" s="109" t="e">
        <v>#N/A</v>
      </c>
    </row>
    <row r="126" spans="3:87" x14ac:dyDescent="0.25">
      <c r="C126" t="s">
        <v>48</v>
      </c>
      <c r="D126" t="s">
        <v>41</v>
      </c>
      <c r="E126" t="s">
        <v>39</v>
      </c>
      <c r="G126" s="109" t="s">
        <v>18</v>
      </c>
      <c r="H126" t="s">
        <v>18</v>
      </c>
      <c r="I126" t="s">
        <v>47</v>
      </c>
      <c r="J126" t="s">
        <v>47</v>
      </c>
      <c r="K126" t="s">
        <v>47</v>
      </c>
      <c r="L126" s="109" t="s">
        <v>48</v>
      </c>
      <c r="M126" s="109" t="e">
        <v>#N/A</v>
      </c>
    </row>
    <row r="127" spans="3:87" x14ac:dyDescent="0.25">
      <c r="C127" t="s">
        <v>48</v>
      </c>
      <c r="D127" t="s">
        <v>41</v>
      </c>
      <c r="E127" t="s">
        <v>39</v>
      </c>
      <c r="G127" s="109" t="s">
        <v>18</v>
      </c>
      <c r="H127" t="s">
        <v>18</v>
      </c>
      <c r="I127" t="s">
        <v>47</v>
      </c>
      <c r="J127" t="s">
        <v>47</v>
      </c>
      <c r="K127" t="s">
        <v>47</v>
      </c>
      <c r="L127" s="109" t="s">
        <v>48</v>
      </c>
      <c r="M127" s="109" t="e">
        <v>#N/A</v>
      </c>
    </row>
    <row r="128" spans="3:87" x14ac:dyDescent="0.25">
      <c r="C128" t="s">
        <v>48</v>
      </c>
      <c r="D128" t="s">
        <v>41</v>
      </c>
      <c r="E128" t="s">
        <v>39</v>
      </c>
      <c r="G128" s="109" t="s">
        <v>18</v>
      </c>
      <c r="H128" t="s">
        <v>18</v>
      </c>
      <c r="I128" t="s">
        <v>47</v>
      </c>
      <c r="J128" t="s">
        <v>47</v>
      </c>
      <c r="K128" t="s">
        <v>47</v>
      </c>
      <c r="L128" s="109" t="s">
        <v>48</v>
      </c>
      <c r="M128" s="109" t="e">
        <v>#N/A</v>
      </c>
    </row>
    <row r="129" spans="3:13" x14ac:dyDescent="0.25">
      <c r="C129" t="s">
        <v>48</v>
      </c>
      <c r="D129" t="s">
        <v>46</v>
      </c>
      <c r="E129">
        <v>28.97</v>
      </c>
      <c r="F129" s="111">
        <v>398107</v>
      </c>
      <c r="G129" s="109">
        <v>5.5999998139434197</v>
      </c>
      <c r="H129" t="s">
        <v>18</v>
      </c>
      <c r="I129" t="s">
        <v>47</v>
      </c>
      <c r="J129" t="s">
        <v>47</v>
      </c>
      <c r="K129" t="s">
        <v>47</v>
      </c>
      <c r="L129" s="109" t="s">
        <v>48</v>
      </c>
      <c r="M129" s="109" t="e">
        <v>#N/A</v>
      </c>
    </row>
    <row r="130" spans="3:13" x14ac:dyDescent="0.25">
      <c r="C130" t="s">
        <v>48</v>
      </c>
      <c r="D130" t="s">
        <v>46</v>
      </c>
      <c r="E130">
        <v>29.060199999999998</v>
      </c>
      <c r="F130" s="111">
        <v>398107</v>
      </c>
      <c r="G130" s="109">
        <v>5.5999998139434197</v>
      </c>
      <c r="H130" t="s">
        <v>18</v>
      </c>
      <c r="I130" t="s">
        <v>47</v>
      </c>
      <c r="J130" t="s">
        <v>47</v>
      </c>
      <c r="K130" t="s">
        <v>47</v>
      </c>
      <c r="L130" s="109" t="s">
        <v>48</v>
      </c>
      <c r="M130" s="109" t="e">
        <v>#N/A</v>
      </c>
    </row>
    <row r="131" spans="3:13" x14ac:dyDescent="0.25">
      <c r="C131" t="s">
        <v>48</v>
      </c>
      <c r="D131" t="s">
        <v>41</v>
      </c>
      <c r="E131" t="s">
        <v>39</v>
      </c>
      <c r="G131" s="109" t="s">
        <v>18</v>
      </c>
      <c r="H131" t="s">
        <v>18</v>
      </c>
      <c r="I131" t="s">
        <v>47</v>
      </c>
      <c r="J131" t="s">
        <v>47</v>
      </c>
      <c r="K131" t="s">
        <v>47</v>
      </c>
      <c r="L131" s="109" t="s">
        <v>48</v>
      </c>
      <c r="M131" s="109" t="e">
        <v>#N/A</v>
      </c>
    </row>
    <row r="132" spans="3:13" x14ac:dyDescent="0.25">
      <c r="C132" t="s">
        <v>48</v>
      </c>
      <c r="D132" t="s">
        <v>41</v>
      </c>
      <c r="E132" t="s">
        <v>39</v>
      </c>
      <c r="G132" s="109" t="s">
        <v>18</v>
      </c>
      <c r="H132" t="s">
        <v>18</v>
      </c>
      <c r="I132" t="s">
        <v>47</v>
      </c>
      <c r="J132" t="s">
        <v>47</v>
      </c>
      <c r="K132" t="s">
        <v>47</v>
      </c>
      <c r="L132" s="109" t="s">
        <v>48</v>
      </c>
      <c r="M132" s="109" t="e">
        <v>#N/A</v>
      </c>
    </row>
    <row r="133" spans="3:13" x14ac:dyDescent="0.25">
      <c r="C133" t="s">
        <v>48</v>
      </c>
      <c r="D133" t="s">
        <v>41</v>
      </c>
      <c r="E133" t="s">
        <v>39</v>
      </c>
      <c r="G133" s="109" t="s">
        <v>18</v>
      </c>
      <c r="H133" t="s">
        <v>18</v>
      </c>
      <c r="I133" t="s">
        <v>47</v>
      </c>
      <c r="J133" t="s">
        <v>47</v>
      </c>
      <c r="K133" t="s">
        <v>47</v>
      </c>
      <c r="L133" s="109" t="s">
        <v>48</v>
      </c>
      <c r="M133" s="109" t="e">
        <v>#N/A</v>
      </c>
    </row>
    <row r="134" spans="3:13" x14ac:dyDescent="0.25">
      <c r="C134" t="s">
        <v>48</v>
      </c>
      <c r="D134" t="s">
        <v>41</v>
      </c>
      <c r="E134" t="s">
        <v>39</v>
      </c>
      <c r="G134" s="109" t="s">
        <v>18</v>
      </c>
      <c r="H134" t="s">
        <v>18</v>
      </c>
      <c r="I134" t="s">
        <v>47</v>
      </c>
      <c r="J134" t="s">
        <v>47</v>
      </c>
      <c r="K134" t="s">
        <v>47</v>
      </c>
      <c r="L134" s="109" t="s">
        <v>48</v>
      </c>
      <c r="M134" s="109" t="e">
        <v>#N/A</v>
      </c>
    </row>
    <row r="135" spans="3:13" x14ac:dyDescent="0.25">
      <c r="C135" t="s">
        <v>48</v>
      </c>
      <c r="D135" t="s">
        <v>41</v>
      </c>
      <c r="E135" t="s">
        <v>39</v>
      </c>
      <c r="G135" s="109" t="s">
        <v>18</v>
      </c>
      <c r="H135" t="s">
        <v>18</v>
      </c>
      <c r="I135" t="s">
        <v>47</v>
      </c>
      <c r="J135" t="s">
        <v>47</v>
      </c>
      <c r="K135" t="s">
        <v>47</v>
      </c>
      <c r="L135" s="109" t="s">
        <v>48</v>
      </c>
      <c r="M135" s="109" t="e">
        <v>#N/A</v>
      </c>
    </row>
    <row r="136" spans="3:13" x14ac:dyDescent="0.25">
      <c r="C136" t="s">
        <v>48</v>
      </c>
      <c r="D136" t="s">
        <v>41</v>
      </c>
      <c r="E136" t="s">
        <v>39</v>
      </c>
      <c r="G136" s="109" t="s">
        <v>18</v>
      </c>
      <c r="H136" t="s">
        <v>18</v>
      </c>
      <c r="I136" t="s">
        <v>47</v>
      </c>
      <c r="J136" t="s">
        <v>47</v>
      </c>
      <c r="K136" t="s">
        <v>47</v>
      </c>
      <c r="L136" s="109" t="s">
        <v>48</v>
      </c>
      <c r="M136" s="109" t="e">
        <v>#N/A</v>
      </c>
    </row>
    <row r="137" spans="3:13" x14ac:dyDescent="0.25">
      <c r="C137" t="s">
        <v>48</v>
      </c>
      <c r="D137" t="s">
        <v>41</v>
      </c>
      <c r="E137" t="s">
        <v>39</v>
      </c>
      <c r="G137" s="109" t="s">
        <v>18</v>
      </c>
      <c r="H137" t="s">
        <v>18</v>
      </c>
      <c r="I137" t="s">
        <v>47</v>
      </c>
      <c r="J137" t="s">
        <v>47</v>
      </c>
      <c r="K137" t="s">
        <v>47</v>
      </c>
      <c r="L137" s="109" t="s">
        <v>48</v>
      </c>
      <c r="M137" s="109" t="e">
        <v>#N/A</v>
      </c>
    </row>
    <row r="138" spans="3:13" x14ac:dyDescent="0.25">
      <c r="C138" t="s">
        <v>48</v>
      </c>
      <c r="D138" t="s">
        <v>41</v>
      </c>
      <c r="E138" t="s">
        <v>39</v>
      </c>
      <c r="G138" s="109" t="s">
        <v>18</v>
      </c>
      <c r="H138" t="s">
        <v>18</v>
      </c>
      <c r="I138" t="s">
        <v>47</v>
      </c>
      <c r="J138" t="s">
        <v>47</v>
      </c>
      <c r="K138" t="s">
        <v>47</v>
      </c>
      <c r="L138" s="109" t="s">
        <v>48</v>
      </c>
      <c r="M138" s="109" t="e">
        <v>#N/A</v>
      </c>
    </row>
    <row r="139" spans="3:13" x14ac:dyDescent="0.25">
      <c r="C139" t="s">
        <v>48</v>
      </c>
      <c r="D139" t="s">
        <v>41</v>
      </c>
      <c r="E139" t="s">
        <v>39</v>
      </c>
      <c r="G139" s="109" t="s">
        <v>18</v>
      </c>
      <c r="H139" t="s">
        <v>18</v>
      </c>
      <c r="I139" t="s">
        <v>47</v>
      </c>
      <c r="J139" t="s">
        <v>47</v>
      </c>
      <c r="K139" t="s">
        <v>47</v>
      </c>
      <c r="L139" s="109" t="s">
        <v>48</v>
      </c>
      <c r="M139" s="109" t="e">
        <v>#N/A</v>
      </c>
    </row>
    <row r="140" spans="3:13" x14ac:dyDescent="0.25">
      <c r="C140" t="s">
        <v>48</v>
      </c>
      <c r="D140" t="s">
        <v>41</v>
      </c>
      <c r="E140" t="s">
        <v>39</v>
      </c>
      <c r="G140" s="109" t="s">
        <v>18</v>
      </c>
      <c r="H140" t="s">
        <v>18</v>
      </c>
      <c r="I140" t="s">
        <v>47</v>
      </c>
      <c r="J140" t="s">
        <v>47</v>
      </c>
      <c r="K140" t="s">
        <v>47</v>
      </c>
      <c r="L140" s="109" t="s">
        <v>48</v>
      </c>
      <c r="M140" s="109" t="e">
        <v>#N/A</v>
      </c>
    </row>
    <row r="141" spans="3:13" x14ac:dyDescent="0.25">
      <c r="C141" t="s">
        <v>48</v>
      </c>
      <c r="D141" t="s">
        <v>46</v>
      </c>
      <c r="E141" t="s">
        <v>39</v>
      </c>
      <c r="G141" s="109" t="s">
        <v>18</v>
      </c>
      <c r="H141" t="s">
        <v>18</v>
      </c>
      <c r="I141" t="s">
        <v>47</v>
      </c>
      <c r="J141" t="s">
        <v>47</v>
      </c>
      <c r="K141" t="s">
        <v>47</v>
      </c>
      <c r="L141" s="109" t="s">
        <v>48</v>
      </c>
      <c r="M141" s="109" t="e">
        <v>#N/A</v>
      </c>
    </row>
    <row r="142" spans="3:13" x14ac:dyDescent="0.25">
      <c r="C142" t="s">
        <v>48</v>
      </c>
      <c r="D142" t="s">
        <v>46</v>
      </c>
      <c r="E142" t="s">
        <v>39</v>
      </c>
      <c r="G142" s="109" t="s">
        <v>18</v>
      </c>
      <c r="H142" t="s">
        <v>18</v>
      </c>
      <c r="I142" t="s">
        <v>47</v>
      </c>
      <c r="J142" t="s">
        <v>47</v>
      </c>
      <c r="K142" t="s">
        <v>47</v>
      </c>
      <c r="L142" s="109" t="s">
        <v>48</v>
      </c>
      <c r="M142" s="109" t="e">
        <v>#N/A</v>
      </c>
    </row>
    <row r="143" spans="3:13" x14ac:dyDescent="0.25">
      <c r="C143" t="s">
        <v>48</v>
      </c>
      <c r="D143" t="s">
        <v>41</v>
      </c>
      <c r="E143" t="s">
        <v>39</v>
      </c>
      <c r="G143" s="109" t="s">
        <v>18</v>
      </c>
      <c r="H143" t="s">
        <v>18</v>
      </c>
      <c r="I143" t="s">
        <v>47</v>
      </c>
      <c r="J143" t="s">
        <v>47</v>
      </c>
      <c r="K143" t="s">
        <v>47</v>
      </c>
      <c r="L143" s="109" t="s">
        <v>48</v>
      </c>
      <c r="M143" s="109" t="e">
        <v>#N/A</v>
      </c>
    </row>
    <row r="144" spans="3:13" x14ac:dyDescent="0.25">
      <c r="C144" t="s">
        <v>48</v>
      </c>
      <c r="D144" t="s">
        <v>41</v>
      </c>
      <c r="E144" t="s">
        <v>39</v>
      </c>
      <c r="G144" s="109" t="s">
        <v>18</v>
      </c>
      <c r="H144" t="s">
        <v>18</v>
      </c>
      <c r="I144" t="s">
        <v>47</v>
      </c>
      <c r="J144" t="s">
        <v>47</v>
      </c>
      <c r="K144" t="s">
        <v>47</v>
      </c>
      <c r="L144" s="109" t="s">
        <v>48</v>
      </c>
      <c r="M144" s="109" t="e">
        <v>#N/A</v>
      </c>
    </row>
    <row r="145" spans="3:13" x14ac:dyDescent="0.25">
      <c r="C145" t="s">
        <v>48</v>
      </c>
      <c r="D145" t="s">
        <v>41</v>
      </c>
      <c r="E145" t="s">
        <v>39</v>
      </c>
      <c r="G145" s="109" t="s">
        <v>18</v>
      </c>
      <c r="H145" t="s">
        <v>18</v>
      </c>
      <c r="I145" t="s">
        <v>47</v>
      </c>
      <c r="J145" t="s">
        <v>47</v>
      </c>
      <c r="K145" t="s">
        <v>47</v>
      </c>
      <c r="L145" s="109" t="s">
        <v>48</v>
      </c>
      <c r="M145" s="109" t="e">
        <v>#N/A</v>
      </c>
    </row>
    <row r="146" spans="3:13" x14ac:dyDescent="0.25">
      <c r="C146" t="s">
        <v>48</v>
      </c>
      <c r="D146" t="s">
        <v>41</v>
      </c>
      <c r="E146" t="s">
        <v>39</v>
      </c>
      <c r="G146" s="109" t="s">
        <v>18</v>
      </c>
      <c r="H146" t="s">
        <v>18</v>
      </c>
      <c r="I146" t="s">
        <v>47</v>
      </c>
      <c r="J146" t="s">
        <v>47</v>
      </c>
      <c r="K146" t="s">
        <v>47</v>
      </c>
      <c r="L146" s="109" t="s">
        <v>48</v>
      </c>
      <c r="M146" s="109" t="e">
        <v>#N/A</v>
      </c>
    </row>
    <row r="147" spans="3:13" x14ac:dyDescent="0.25">
      <c r="C147" t="s">
        <v>48</v>
      </c>
      <c r="D147" t="s">
        <v>41</v>
      </c>
      <c r="E147" t="s">
        <v>39</v>
      </c>
      <c r="G147" s="109" t="s">
        <v>18</v>
      </c>
      <c r="H147" t="s">
        <v>18</v>
      </c>
      <c r="I147" t="s">
        <v>47</v>
      </c>
      <c r="J147" t="s">
        <v>47</v>
      </c>
      <c r="K147" t="s">
        <v>47</v>
      </c>
      <c r="L147" s="109" t="s">
        <v>48</v>
      </c>
      <c r="M147" s="109" t="e">
        <v>#N/A</v>
      </c>
    </row>
    <row r="148" spans="3:13" x14ac:dyDescent="0.25">
      <c r="C148" t="s">
        <v>48</v>
      </c>
      <c r="D148" t="s">
        <v>41</v>
      </c>
      <c r="E148" t="s">
        <v>39</v>
      </c>
      <c r="G148" s="109" t="s">
        <v>18</v>
      </c>
      <c r="H148" t="s">
        <v>18</v>
      </c>
      <c r="I148" t="s">
        <v>47</v>
      </c>
      <c r="J148" t="s">
        <v>47</v>
      </c>
      <c r="K148" t="s">
        <v>47</v>
      </c>
      <c r="L148" s="109" t="s">
        <v>48</v>
      </c>
      <c r="M148" s="109" t="e">
        <v>#N/A</v>
      </c>
    </row>
    <row r="149" spans="3:13" x14ac:dyDescent="0.25">
      <c r="C149" t="s">
        <v>48</v>
      </c>
      <c r="D149" t="s">
        <v>41</v>
      </c>
      <c r="E149">
        <v>7.6775399999999996</v>
      </c>
      <c r="G149" s="109" t="s">
        <v>18</v>
      </c>
      <c r="H149" t="s">
        <v>18</v>
      </c>
      <c r="I149" t="s">
        <v>47</v>
      </c>
      <c r="J149" t="s">
        <v>47</v>
      </c>
      <c r="K149" t="s">
        <v>47</v>
      </c>
      <c r="L149" s="109" t="s">
        <v>48</v>
      </c>
      <c r="M149" s="109" t="e">
        <v>#N/A</v>
      </c>
    </row>
    <row r="150" spans="3:13" x14ac:dyDescent="0.25">
      <c r="C150" t="s">
        <v>48</v>
      </c>
      <c r="D150" t="s">
        <v>41</v>
      </c>
      <c r="E150">
        <v>11.252800000000001</v>
      </c>
      <c r="G150" s="109" t="s">
        <v>18</v>
      </c>
      <c r="H150" t="s">
        <v>18</v>
      </c>
      <c r="I150" t="s">
        <v>47</v>
      </c>
      <c r="J150" t="s">
        <v>47</v>
      </c>
      <c r="K150" t="s">
        <v>47</v>
      </c>
      <c r="L150" s="109" t="s">
        <v>48</v>
      </c>
      <c r="M150" s="109" t="e">
        <v>#N/A</v>
      </c>
    </row>
    <row r="151" spans="3:13" x14ac:dyDescent="0.25">
      <c r="C151" t="s">
        <v>48</v>
      </c>
      <c r="D151" t="s">
        <v>41</v>
      </c>
      <c r="E151" t="s">
        <v>39</v>
      </c>
      <c r="G151" s="109" t="s">
        <v>18</v>
      </c>
      <c r="H151" t="s">
        <v>18</v>
      </c>
      <c r="I151" t="s">
        <v>47</v>
      </c>
      <c r="J151" t="s">
        <v>47</v>
      </c>
      <c r="K151" t="s">
        <v>47</v>
      </c>
      <c r="L151" s="109" t="s">
        <v>48</v>
      </c>
      <c r="M151" s="109" t="e">
        <v>#N/A</v>
      </c>
    </row>
    <row r="152" spans="3:13" x14ac:dyDescent="0.25">
      <c r="C152" t="s">
        <v>48</v>
      </c>
      <c r="D152" t="s">
        <v>41</v>
      </c>
      <c r="E152" t="s">
        <v>39</v>
      </c>
      <c r="G152" s="109" t="s">
        <v>18</v>
      </c>
      <c r="H152" t="s">
        <v>18</v>
      </c>
      <c r="I152" t="s">
        <v>47</v>
      </c>
      <c r="J152" t="s">
        <v>47</v>
      </c>
      <c r="K152" t="s">
        <v>47</v>
      </c>
      <c r="L152" s="109" t="s">
        <v>48</v>
      </c>
      <c r="M152" s="109" t="e">
        <v>#N/A</v>
      </c>
    </row>
    <row r="153" spans="3:13" x14ac:dyDescent="0.25">
      <c r="C153" t="s">
        <v>48</v>
      </c>
      <c r="D153" t="s">
        <v>46</v>
      </c>
      <c r="E153">
        <v>35.626399999999997</v>
      </c>
      <c r="F153" s="111">
        <v>3981.07</v>
      </c>
      <c r="G153" s="109">
        <v>3.5999998139434202</v>
      </c>
      <c r="H153" t="s">
        <v>18</v>
      </c>
      <c r="I153" t="s">
        <v>47</v>
      </c>
      <c r="J153" t="s">
        <v>47</v>
      </c>
      <c r="K153" t="s">
        <v>47</v>
      </c>
      <c r="L153" s="109" t="s">
        <v>48</v>
      </c>
      <c r="M153" s="109" t="e">
        <v>#N/A</v>
      </c>
    </row>
    <row r="154" spans="3:13" x14ac:dyDescent="0.25">
      <c r="C154" t="s">
        <v>48</v>
      </c>
      <c r="D154" t="s">
        <v>46</v>
      </c>
      <c r="E154">
        <v>35.646000000000001</v>
      </c>
      <c r="F154" s="111">
        <v>3981.07</v>
      </c>
      <c r="G154" s="109">
        <v>3.5999998139434202</v>
      </c>
      <c r="H154" t="s">
        <v>18</v>
      </c>
      <c r="I154" t="s">
        <v>47</v>
      </c>
      <c r="J154" t="s">
        <v>47</v>
      </c>
      <c r="K154" t="s">
        <v>47</v>
      </c>
      <c r="L154" s="109" t="s">
        <v>48</v>
      </c>
      <c r="M154" s="109" t="e">
        <v>#N/A</v>
      </c>
    </row>
    <row r="155" spans="3:13" x14ac:dyDescent="0.25">
      <c r="C155" t="s">
        <v>48</v>
      </c>
      <c r="D155" t="s">
        <v>41</v>
      </c>
      <c r="E155" t="s">
        <v>39</v>
      </c>
      <c r="G155" s="109" t="s">
        <v>18</v>
      </c>
      <c r="H155" t="s">
        <v>18</v>
      </c>
      <c r="I155" t="s">
        <v>47</v>
      </c>
      <c r="J155" t="s">
        <v>47</v>
      </c>
      <c r="K155" t="s">
        <v>47</v>
      </c>
      <c r="L155" s="109" t="s">
        <v>48</v>
      </c>
      <c r="M155" s="109" t="e">
        <v>#N/A</v>
      </c>
    </row>
    <row r="156" spans="3:13" x14ac:dyDescent="0.25">
      <c r="C156" t="s">
        <v>48</v>
      </c>
      <c r="D156" t="s">
        <v>41</v>
      </c>
      <c r="E156">
        <v>15.304500000000001</v>
      </c>
      <c r="G156" s="109" t="s">
        <v>18</v>
      </c>
      <c r="H156" t="s">
        <v>18</v>
      </c>
      <c r="I156" t="s">
        <v>47</v>
      </c>
      <c r="J156" t="s">
        <v>47</v>
      </c>
      <c r="K156" t="s">
        <v>47</v>
      </c>
      <c r="L156" s="109" t="s">
        <v>48</v>
      </c>
      <c r="M156" s="109" t="e">
        <v>#N/A</v>
      </c>
    </row>
    <row r="157" spans="3:13" x14ac:dyDescent="0.25">
      <c r="C157" t="s">
        <v>48</v>
      </c>
      <c r="D157" t="s">
        <v>41</v>
      </c>
      <c r="E157">
        <v>24.731300000000001</v>
      </c>
      <c r="G157" s="109" t="s">
        <v>18</v>
      </c>
      <c r="H157" t="s">
        <v>18</v>
      </c>
      <c r="I157" t="s">
        <v>47</v>
      </c>
      <c r="J157" t="s">
        <v>47</v>
      </c>
      <c r="K157" t="s">
        <v>47</v>
      </c>
      <c r="L157" s="109" t="s">
        <v>48</v>
      </c>
      <c r="M157" s="109" t="e">
        <v>#N/A</v>
      </c>
    </row>
    <row r="158" spans="3:13" x14ac:dyDescent="0.25">
      <c r="C158" t="s">
        <v>48</v>
      </c>
      <c r="D158" t="s">
        <v>41</v>
      </c>
      <c r="E158">
        <v>33.893099999999997</v>
      </c>
      <c r="G158" s="109" t="s">
        <v>18</v>
      </c>
      <c r="H158" t="s">
        <v>18</v>
      </c>
      <c r="I158" t="s">
        <v>47</v>
      </c>
      <c r="J158" t="s">
        <v>47</v>
      </c>
      <c r="K158" t="s">
        <v>47</v>
      </c>
      <c r="L158" s="109" t="s">
        <v>48</v>
      </c>
      <c r="M158" s="109" t="e">
        <v>#N/A</v>
      </c>
    </row>
    <row r="159" spans="3:13" x14ac:dyDescent="0.25">
      <c r="C159" t="s">
        <v>48</v>
      </c>
      <c r="D159" t="s">
        <v>41</v>
      </c>
      <c r="E159">
        <v>17.723600000000001</v>
      </c>
      <c r="G159" s="109" t="s">
        <v>18</v>
      </c>
      <c r="H159" t="s">
        <v>18</v>
      </c>
      <c r="I159" t="s">
        <v>47</v>
      </c>
      <c r="J159" t="s">
        <v>47</v>
      </c>
      <c r="K159" t="s">
        <v>47</v>
      </c>
      <c r="L159" s="109" t="s">
        <v>48</v>
      </c>
      <c r="M159" s="109" t="e">
        <v>#N/A</v>
      </c>
    </row>
    <row r="160" spans="3:13" x14ac:dyDescent="0.25">
      <c r="C160" t="s">
        <v>48</v>
      </c>
      <c r="D160" t="s">
        <v>41</v>
      </c>
      <c r="E160">
        <v>38.794699999999999</v>
      </c>
      <c r="G160" s="109" t="s">
        <v>18</v>
      </c>
      <c r="H160" t="s">
        <v>18</v>
      </c>
      <c r="I160" t="s">
        <v>47</v>
      </c>
      <c r="J160" t="s">
        <v>47</v>
      </c>
      <c r="K160" t="s">
        <v>47</v>
      </c>
      <c r="L160" s="109" t="s">
        <v>48</v>
      </c>
      <c r="M160" s="109" t="e">
        <v>#N/A</v>
      </c>
    </row>
    <row r="161" spans="3:13" x14ac:dyDescent="0.25">
      <c r="C161" t="s">
        <v>48</v>
      </c>
      <c r="D161" t="s">
        <v>41</v>
      </c>
      <c r="E161" t="s">
        <v>39</v>
      </c>
      <c r="G161" s="109" t="s">
        <v>18</v>
      </c>
      <c r="H161" t="s">
        <v>18</v>
      </c>
      <c r="I161" t="s">
        <v>47</v>
      </c>
      <c r="J161" t="s">
        <v>47</v>
      </c>
      <c r="K161" t="s">
        <v>47</v>
      </c>
      <c r="L161" s="109" t="s">
        <v>48</v>
      </c>
      <c r="M161" s="109" t="e">
        <v>#N/A</v>
      </c>
    </row>
    <row r="162" spans="3:13" x14ac:dyDescent="0.25">
      <c r="C162" t="s">
        <v>48</v>
      </c>
      <c r="D162" t="s">
        <v>41</v>
      </c>
      <c r="E162">
        <v>20.192900000000002</v>
      </c>
      <c r="G162" s="109" t="s">
        <v>18</v>
      </c>
      <c r="H162" t="s">
        <v>18</v>
      </c>
      <c r="I162" t="s">
        <v>47</v>
      </c>
      <c r="J162" t="s">
        <v>47</v>
      </c>
      <c r="K162" t="s">
        <v>47</v>
      </c>
      <c r="L162" s="109" t="s">
        <v>48</v>
      </c>
      <c r="M162" s="109" t="e">
        <v>#N/A</v>
      </c>
    </row>
    <row r="163" spans="3:13" x14ac:dyDescent="0.25">
      <c r="C163" t="s">
        <v>48</v>
      </c>
      <c r="D163" t="s">
        <v>41</v>
      </c>
      <c r="E163" t="s">
        <v>39</v>
      </c>
      <c r="G163" s="109" t="s">
        <v>18</v>
      </c>
      <c r="H163" t="s">
        <v>18</v>
      </c>
      <c r="I163" t="s">
        <v>47</v>
      </c>
      <c r="J163" t="s">
        <v>47</v>
      </c>
      <c r="K163" t="s">
        <v>47</v>
      </c>
      <c r="L163" s="109" t="s">
        <v>48</v>
      </c>
      <c r="M163" s="109" t="e">
        <v>#N/A</v>
      </c>
    </row>
    <row r="164" spans="3:13" x14ac:dyDescent="0.25">
      <c r="C164" t="s">
        <v>48</v>
      </c>
      <c r="D164" t="s">
        <v>41</v>
      </c>
      <c r="E164" t="s">
        <v>39</v>
      </c>
      <c r="G164" s="109" t="s">
        <v>18</v>
      </c>
      <c r="H164" t="s">
        <v>18</v>
      </c>
      <c r="I164" t="s">
        <v>47</v>
      </c>
      <c r="J164" t="s">
        <v>47</v>
      </c>
      <c r="K164" t="s">
        <v>47</v>
      </c>
      <c r="L164" s="109" t="s">
        <v>48</v>
      </c>
      <c r="M164" s="109" t="e">
        <v>#N/A</v>
      </c>
    </row>
    <row r="165" spans="3:13" x14ac:dyDescent="0.25">
      <c r="C165" t="s">
        <v>48</v>
      </c>
      <c r="D165" t="s">
        <v>46</v>
      </c>
      <c r="E165">
        <v>35.554299999999998</v>
      </c>
      <c r="F165">
        <v>398.10700000000003</v>
      </c>
      <c r="G165" s="109">
        <v>2.5999998139434202</v>
      </c>
      <c r="H165" t="s">
        <v>18</v>
      </c>
      <c r="I165" t="s">
        <v>47</v>
      </c>
      <c r="J165" t="s">
        <v>47</v>
      </c>
      <c r="K165" t="s">
        <v>47</v>
      </c>
      <c r="L165" s="109" t="s">
        <v>48</v>
      </c>
      <c r="M165" s="109" t="e">
        <v>#N/A</v>
      </c>
    </row>
    <row r="166" spans="3:13" x14ac:dyDescent="0.25">
      <c r="C166" t="s">
        <v>48</v>
      </c>
      <c r="D166" t="s">
        <v>46</v>
      </c>
      <c r="E166">
        <v>35.888599999999997</v>
      </c>
      <c r="F166">
        <v>398.10700000000003</v>
      </c>
      <c r="G166" s="109">
        <v>2.5999998139434202</v>
      </c>
      <c r="H166" t="s">
        <v>18</v>
      </c>
      <c r="I166" t="s">
        <v>47</v>
      </c>
      <c r="J166" t="s">
        <v>47</v>
      </c>
      <c r="K166" t="s">
        <v>47</v>
      </c>
      <c r="L166" s="109" t="s">
        <v>48</v>
      </c>
      <c r="M166" s="109" t="e">
        <v>#N/A</v>
      </c>
    </row>
    <row r="167" spans="3:13" x14ac:dyDescent="0.25">
      <c r="C167" t="s">
        <v>48</v>
      </c>
      <c r="D167" t="s">
        <v>41</v>
      </c>
      <c r="E167" t="s">
        <v>39</v>
      </c>
      <c r="G167" s="109" t="s">
        <v>18</v>
      </c>
      <c r="H167" t="s">
        <v>18</v>
      </c>
      <c r="I167" t="s">
        <v>47</v>
      </c>
      <c r="J167" t="s">
        <v>47</v>
      </c>
      <c r="K167" t="s">
        <v>47</v>
      </c>
      <c r="L167" s="109" t="s">
        <v>48</v>
      </c>
      <c r="M167" s="109" t="e">
        <v>#N/A</v>
      </c>
    </row>
    <row r="168" spans="3:13" x14ac:dyDescent="0.25">
      <c r="C168" t="s">
        <v>48</v>
      </c>
      <c r="D168" t="s">
        <v>41</v>
      </c>
      <c r="E168">
        <v>16.688300000000002</v>
      </c>
      <c r="G168" s="109" t="s">
        <v>18</v>
      </c>
      <c r="H168" t="s">
        <v>18</v>
      </c>
      <c r="I168" t="s">
        <v>47</v>
      </c>
      <c r="J168" t="s">
        <v>47</v>
      </c>
      <c r="K168" t="s">
        <v>47</v>
      </c>
      <c r="L168" s="109" t="s">
        <v>48</v>
      </c>
      <c r="M168" s="109" t="e">
        <v>#N/A</v>
      </c>
    </row>
    <row r="169" spans="3:13" x14ac:dyDescent="0.25">
      <c r="C169" t="s">
        <v>48</v>
      </c>
      <c r="D169" t="s">
        <v>41</v>
      </c>
      <c r="E169">
        <v>21.184100000000001</v>
      </c>
      <c r="G169" s="109" t="s">
        <v>18</v>
      </c>
      <c r="H169" t="s">
        <v>18</v>
      </c>
      <c r="I169" t="s">
        <v>47</v>
      </c>
      <c r="J169" t="s">
        <v>47</v>
      </c>
      <c r="K169" t="s">
        <v>47</v>
      </c>
      <c r="L169" s="109" t="s">
        <v>48</v>
      </c>
      <c r="M169" s="109" t="e">
        <v>#N/A</v>
      </c>
    </row>
    <row r="170" spans="3:13" x14ac:dyDescent="0.25">
      <c r="C170" t="s">
        <v>48</v>
      </c>
      <c r="D170" t="s">
        <v>41</v>
      </c>
      <c r="E170">
        <v>35.6111</v>
      </c>
      <c r="G170" s="109" t="s">
        <v>18</v>
      </c>
      <c r="H170" t="s">
        <v>18</v>
      </c>
      <c r="I170" t="s">
        <v>47</v>
      </c>
      <c r="J170" t="s">
        <v>47</v>
      </c>
      <c r="K170" t="s">
        <v>47</v>
      </c>
      <c r="L170" s="109" t="s">
        <v>48</v>
      </c>
      <c r="M170" s="109" t="e">
        <v>#N/A</v>
      </c>
    </row>
    <row r="171" spans="3:13" x14ac:dyDescent="0.25">
      <c r="C171" t="s">
        <v>48</v>
      </c>
      <c r="D171" t="s">
        <v>41</v>
      </c>
      <c r="E171" t="s">
        <v>39</v>
      </c>
      <c r="G171" s="109" t="s">
        <v>18</v>
      </c>
      <c r="H171" t="s">
        <v>18</v>
      </c>
      <c r="I171" t="s">
        <v>47</v>
      </c>
      <c r="J171" t="s">
        <v>47</v>
      </c>
      <c r="K171" t="s">
        <v>47</v>
      </c>
      <c r="L171" s="109" t="s">
        <v>48</v>
      </c>
      <c r="M171" s="109" t="e">
        <v>#N/A</v>
      </c>
    </row>
    <row r="172" spans="3:13" x14ac:dyDescent="0.25">
      <c r="C172" t="s">
        <v>48</v>
      </c>
      <c r="D172" t="s">
        <v>41</v>
      </c>
      <c r="E172">
        <v>25.9894</v>
      </c>
      <c r="G172" s="109" t="s">
        <v>18</v>
      </c>
      <c r="H172" t="s">
        <v>18</v>
      </c>
      <c r="I172" t="s">
        <v>47</v>
      </c>
      <c r="J172" t="s">
        <v>47</v>
      </c>
      <c r="K172" t="s">
        <v>47</v>
      </c>
      <c r="L172" s="109" t="s">
        <v>48</v>
      </c>
      <c r="M172" s="109" t="e">
        <v>#N/A</v>
      </c>
    </row>
    <row r="173" spans="3:13" x14ac:dyDescent="0.25">
      <c r="C173" t="s">
        <v>48</v>
      </c>
      <c r="D173" t="s">
        <v>41</v>
      </c>
      <c r="E173">
        <v>34.586599999999997</v>
      </c>
      <c r="G173" s="109" t="s">
        <v>18</v>
      </c>
      <c r="H173" t="s">
        <v>18</v>
      </c>
      <c r="I173" t="s">
        <v>47</v>
      </c>
      <c r="J173" t="s">
        <v>47</v>
      </c>
      <c r="K173" t="s">
        <v>47</v>
      </c>
      <c r="L173" s="109" t="s">
        <v>48</v>
      </c>
      <c r="M173" s="109" t="e">
        <v>#N/A</v>
      </c>
    </row>
    <row r="174" spans="3:13" x14ac:dyDescent="0.25">
      <c r="C174" t="s">
        <v>48</v>
      </c>
      <c r="D174" t="s">
        <v>41</v>
      </c>
      <c r="E174">
        <v>34.391399999999997</v>
      </c>
      <c r="G174" s="109" t="s">
        <v>18</v>
      </c>
      <c r="H174" t="s">
        <v>18</v>
      </c>
      <c r="I174" t="s">
        <v>47</v>
      </c>
      <c r="J174" t="s">
        <v>47</v>
      </c>
      <c r="K174" t="s">
        <v>47</v>
      </c>
      <c r="L174" s="109" t="s">
        <v>48</v>
      </c>
      <c r="M174" s="109" t="e">
        <v>#N/A</v>
      </c>
    </row>
    <row r="175" spans="3:13" x14ac:dyDescent="0.25">
      <c r="C175" t="s">
        <v>48</v>
      </c>
      <c r="D175" t="s">
        <v>41</v>
      </c>
      <c r="E175" t="s">
        <v>39</v>
      </c>
      <c r="G175" s="109" t="s">
        <v>18</v>
      </c>
      <c r="H175" t="s">
        <v>18</v>
      </c>
      <c r="I175" t="s">
        <v>47</v>
      </c>
      <c r="J175" t="s">
        <v>47</v>
      </c>
      <c r="K175" t="s">
        <v>47</v>
      </c>
      <c r="L175" s="109" t="s">
        <v>48</v>
      </c>
      <c r="M175" s="109" t="e">
        <v>#N/A</v>
      </c>
    </row>
    <row r="176" spans="3:13" x14ac:dyDescent="0.25">
      <c r="C176" t="s">
        <v>48</v>
      </c>
      <c r="D176" t="s">
        <v>41</v>
      </c>
      <c r="E176" t="s">
        <v>39</v>
      </c>
      <c r="G176" s="109" t="s">
        <v>18</v>
      </c>
      <c r="H176" t="s">
        <v>18</v>
      </c>
      <c r="I176" t="s">
        <v>47</v>
      </c>
      <c r="J176" t="s">
        <v>47</v>
      </c>
      <c r="K176" t="s">
        <v>47</v>
      </c>
      <c r="L176" s="109" t="s">
        <v>48</v>
      </c>
      <c r="M176" s="109" t="e">
        <v>#N/A</v>
      </c>
    </row>
    <row r="177" spans="3:13" x14ac:dyDescent="0.25">
      <c r="C177" t="s">
        <v>48</v>
      </c>
      <c r="D177" t="s">
        <v>41</v>
      </c>
      <c r="E177">
        <v>38.935000000000002</v>
      </c>
      <c r="G177" s="109" t="s">
        <v>18</v>
      </c>
      <c r="H177" t="s">
        <v>18</v>
      </c>
      <c r="I177" t="s">
        <v>47</v>
      </c>
      <c r="J177" t="s">
        <v>47</v>
      </c>
      <c r="K177" t="s">
        <v>47</v>
      </c>
      <c r="L177" s="109" t="s">
        <v>48</v>
      </c>
      <c r="M177" s="109" t="e">
        <v>#N/A</v>
      </c>
    </row>
    <row r="178" spans="3:13" x14ac:dyDescent="0.25">
      <c r="C178" t="s">
        <v>48</v>
      </c>
      <c r="D178" t="s">
        <v>41</v>
      </c>
      <c r="E178">
        <v>39.319499999999998</v>
      </c>
      <c r="G178" s="109" t="s">
        <v>18</v>
      </c>
      <c r="H178" t="s">
        <v>18</v>
      </c>
      <c r="I178" t="s">
        <v>47</v>
      </c>
      <c r="J178" t="s">
        <v>47</v>
      </c>
      <c r="K178" t="s">
        <v>47</v>
      </c>
      <c r="L178" s="109" t="s">
        <v>48</v>
      </c>
      <c r="M178" s="109" t="e">
        <v>#N/A</v>
      </c>
    </row>
    <row r="179" spans="3:13" x14ac:dyDescent="0.25">
      <c r="C179" t="s">
        <v>48</v>
      </c>
      <c r="D179" t="s">
        <v>41</v>
      </c>
      <c r="E179" t="s">
        <v>39</v>
      </c>
      <c r="G179" s="109" t="s">
        <v>18</v>
      </c>
      <c r="H179" t="s">
        <v>18</v>
      </c>
      <c r="I179" t="s">
        <v>47</v>
      </c>
      <c r="J179" t="s">
        <v>47</v>
      </c>
      <c r="K179" t="s">
        <v>47</v>
      </c>
      <c r="L179" s="109" t="s">
        <v>48</v>
      </c>
      <c r="M179" s="109" t="e">
        <v>#N/A</v>
      </c>
    </row>
    <row r="180" spans="3:13" x14ac:dyDescent="0.25">
      <c r="C180" t="s">
        <v>48</v>
      </c>
      <c r="D180" t="s">
        <v>41</v>
      </c>
      <c r="E180">
        <v>23.514800000000001</v>
      </c>
      <c r="G180" s="109" t="s">
        <v>18</v>
      </c>
      <c r="H180" t="s">
        <v>18</v>
      </c>
      <c r="I180" t="s">
        <v>47</v>
      </c>
      <c r="J180" t="s">
        <v>47</v>
      </c>
      <c r="K180" t="s">
        <v>47</v>
      </c>
      <c r="L180" s="109" t="s">
        <v>48</v>
      </c>
      <c r="M180" s="109" t="e">
        <v>#N/A</v>
      </c>
    </row>
    <row r="181" spans="3:13" x14ac:dyDescent="0.25">
      <c r="C181" t="s">
        <v>48</v>
      </c>
      <c r="D181" t="s">
        <v>41</v>
      </c>
      <c r="E181" t="s">
        <v>39</v>
      </c>
      <c r="G181" s="109" t="s">
        <v>18</v>
      </c>
      <c r="H181" t="s">
        <v>18</v>
      </c>
      <c r="I181" t="s">
        <v>47</v>
      </c>
      <c r="J181" t="s">
        <v>47</v>
      </c>
      <c r="K181" t="s">
        <v>47</v>
      </c>
      <c r="L181" s="109" t="s">
        <v>48</v>
      </c>
      <c r="M181" s="109" t="e">
        <v>#N/A</v>
      </c>
    </row>
    <row r="182" spans="3:13" x14ac:dyDescent="0.25">
      <c r="C182" t="s">
        <v>48</v>
      </c>
      <c r="D182" t="s">
        <v>41</v>
      </c>
      <c r="E182" t="s">
        <v>39</v>
      </c>
      <c r="G182" s="109" t="s">
        <v>18</v>
      </c>
      <c r="H182" t="s">
        <v>18</v>
      </c>
      <c r="I182" t="s">
        <v>47</v>
      </c>
      <c r="J182" t="s">
        <v>47</v>
      </c>
      <c r="K182" t="s">
        <v>47</v>
      </c>
      <c r="L182" s="109" t="s">
        <v>48</v>
      </c>
      <c r="M182" s="109" t="e">
        <v>#N/A</v>
      </c>
    </row>
    <row r="183" spans="3:13" x14ac:dyDescent="0.25">
      <c r="C183" t="s">
        <v>48</v>
      </c>
      <c r="D183" t="s">
        <v>41</v>
      </c>
      <c r="E183" t="s">
        <v>39</v>
      </c>
      <c r="G183" s="109" t="s">
        <v>18</v>
      </c>
      <c r="H183" t="s">
        <v>18</v>
      </c>
      <c r="I183" t="s">
        <v>47</v>
      </c>
      <c r="J183" t="s">
        <v>47</v>
      </c>
      <c r="K183" t="s">
        <v>47</v>
      </c>
      <c r="L183" s="109" t="s">
        <v>48</v>
      </c>
      <c r="M183" s="109" t="e">
        <v>#N/A</v>
      </c>
    </row>
    <row r="184" spans="3:13" x14ac:dyDescent="0.25">
      <c r="C184" t="s">
        <v>48</v>
      </c>
      <c r="D184" t="s">
        <v>41</v>
      </c>
      <c r="E184" t="s">
        <v>39</v>
      </c>
      <c r="G184" s="109" t="s">
        <v>18</v>
      </c>
      <c r="H184" t="s">
        <v>18</v>
      </c>
      <c r="I184" t="s">
        <v>47</v>
      </c>
      <c r="J184" t="s">
        <v>47</v>
      </c>
      <c r="K184" t="s">
        <v>47</v>
      </c>
      <c r="L184" s="109" t="s">
        <v>48</v>
      </c>
      <c r="M184" s="109" t="e">
        <v>#N/A</v>
      </c>
    </row>
    <row r="185" spans="3:13" x14ac:dyDescent="0.25">
      <c r="C185" t="s">
        <v>48</v>
      </c>
      <c r="D185" t="s">
        <v>41</v>
      </c>
      <c r="E185">
        <v>34.889200000000002</v>
      </c>
      <c r="G185" s="109" t="s">
        <v>18</v>
      </c>
      <c r="H185" t="s">
        <v>18</v>
      </c>
      <c r="I185" t="s">
        <v>47</v>
      </c>
      <c r="J185" t="s">
        <v>47</v>
      </c>
      <c r="K185" t="s">
        <v>47</v>
      </c>
      <c r="L185" s="109" t="s">
        <v>48</v>
      </c>
      <c r="M185" s="109" t="e">
        <v>#N/A</v>
      </c>
    </row>
    <row r="186" spans="3:13" x14ac:dyDescent="0.25">
      <c r="C186" t="s">
        <v>48</v>
      </c>
      <c r="D186" t="s">
        <v>41</v>
      </c>
      <c r="E186" t="s">
        <v>39</v>
      </c>
      <c r="G186" s="109" t="s">
        <v>18</v>
      </c>
      <c r="H186" t="s">
        <v>18</v>
      </c>
      <c r="I186" t="s">
        <v>47</v>
      </c>
      <c r="J186" t="s">
        <v>47</v>
      </c>
      <c r="K186" t="s">
        <v>47</v>
      </c>
      <c r="L186" s="109" t="s">
        <v>48</v>
      </c>
      <c r="M186" s="109" t="e">
        <v>#N/A</v>
      </c>
    </row>
    <row r="187" spans="3:13" x14ac:dyDescent="0.25">
      <c r="C187" t="s">
        <v>48</v>
      </c>
      <c r="D187" t="s">
        <v>41</v>
      </c>
      <c r="E187" t="s">
        <v>39</v>
      </c>
      <c r="G187" s="109" t="s">
        <v>18</v>
      </c>
      <c r="H187" t="s">
        <v>18</v>
      </c>
      <c r="I187" t="s">
        <v>47</v>
      </c>
      <c r="J187" t="s">
        <v>47</v>
      </c>
      <c r="K187" t="s">
        <v>47</v>
      </c>
      <c r="L187" s="109" t="s">
        <v>48</v>
      </c>
      <c r="M187" s="109" t="e">
        <v>#N/A</v>
      </c>
    </row>
    <row r="188" spans="3:13" x14ac:dyDescent="0.25">
      <c r="C188" t="s">
        <v>48</v>
      </c>
      <c r="D188" t="s">
        <v>41</v>
      </c>
      <c r="E188" t="s">
        <v>39</v>
      </c>
      <c r="G188" s="109" t="s">
        <v>18</v>
      </c>
      <c r="H188" t="s">
        <v>18</v>
      </c>
      <c r="I188" t="s">
        <v>47</v>
      </c>
      <c r="J188" t="s">
        <v>47</v>
      </c>
      <c r="K188" t="s">
        <v>47</v>
      </c>
      <c r="L188" s="109" t="s">
        <v>48</v>
      </c>
      <c r="M188" s="109" t="e">
        <v>#N/A</v>
      </c>
    </row>
    <row r="189" spans="3:13" x14ac:dyDescent="0.25">
      <c r="C189" t="s">
        <v>48</v>
      </c>
      <c r="D189" t="s">
        <v>41</v>
      </c>
      <c r="E189" t="s">
        <v>39</v>
      </c>
      <c r="G189" s="109" t="s">
        <v>18</v>
      </c>
      <c r="H189" t="s">
        <v>18</v>
      </c>
      <c r="I189" t="s">
        <v>47</v>
      </c>
      <c r="J189" t="s">
        <v>47</v>
      </c>
      <c r="K189" t="s">
        <v>47</v>
      </c>
      <c r="L189" s="109" t="s">
        <v>48</v>
      </c>
      <c r="M189" s="109" t="e">
        <v>#N/A</v>
      </c>
    </row>
    <row r="190" spans="3:13" x14ac:dyDescent="0.25">
      <c r="C190" t="s">
        <v>48</v>
      </c>
      <c r="D190" t="s">
        <v>41</v>
      </c>
      <c r="E190" t="s">
        <v>39</v>
      </c>
      <c r="G190" s="109" t="s">
        <v>18</v>
      </c>
      <c r="H190" t="s">
        <v>18</v>
      </c>
      <c r="I190" t="s">
        <v>47</v>
      </c>
      <c r="J190" t="s">
        <v>47</v>
      </c>
      <c r="K190" t="s">
        <v>47</v>
      </c>
      <c r="L190" s="109" t="s">
        <v>48</v>
      </c>
      <c r="M190" s="109" t="e">
        <v>#N/A</v>
      </c>
    </row>
    <row r="191" spans="3:13" x14ac:dyDescent="0.25">
      <c r="C191" t="s">
        <v>48</v>
      </c>
      <c r="D191" t="s">
        <v>41</v>
      </c>
      <c r="E191" t="s">
        <v>39</v>
      </c>
      <c r="G191" s="109" t="s">
        <v>18</v>
      </c>
      <c r="H191" t="s">
        <v>18</v>
      </c>
      <c r="I191" t="s">
        <v>47</v>
      </c>
      <c r="J191" t="s">
        <v>47</v>
      </c>
      <c r="K191" t="s">
        <v>47</v>
      </c>
      <c r="L191" s="109" t="s">
        <v>48</v>
      </c>
      <c r="M191" s="109" t="e">
        <v>#N/A</v>
      </c>
    </row>
    <row r="192" spans="3:13" x14ac:dyDescent="0.25">
      <c r="C192" t="s">
        <v>48</v>
      </c>
      <c r="D192" t="s">
        <v>41</v>
      </c>
      <c r="E192" t="s">
        <v>39</v>
      </c>
      <c r="G192" s="109" t="s">
        <v>18</v>
      </c>
      <c r="H192" t="s">
        <v>18</v>
      </c>
      <c r="I192" t="s">
        <v>47</v>
      </c>
      <c r="J192" t="s">
        <v>47</v>
      </c>
      <c r="K192" t="s">
        <v>47</v>
      </c>
      <c r="L192" s="109" t="s">
        <v>48</v>
      </c>
      <c r="M192" s="109" t="e">
        <v>#N/A</v>
      </c>
    </row>
    <row r="193" spans="3:13" x14ac:dyDescent="0.25">
      <c r="C193" t="s">
        <v>48</v>
      </c>
      <c r="D193" t="s">
        <v>41</v>
      </c>
      <c r="E193" t="s">
        <v>39</v>
      </c>
      <c r="G193" s="109" t="s">
        <v>18</v>
      </c>
      <c r="H193" t="s">
        <v>18</v>
      </c>
      <c r="I193" t="s">
        <v>47</v>
      </c>
      <c r="J193" t="s">
        <v>47</v>
      </c>
      <c r="K193" t="s">
        <v>47</v>
      </c>
      <c r="L193" s="109" t="s">
        <v>48</v>
      </c>
      <c r="M193" s="109" t="e">
        <v>#N/A</v>
      </c>
    </row>
    <row r="194" spans="3:13" x14ac:dyDescent="0.25">
      <c r="C194" t="s">
        <v>48</v>
      </c>
      <c r="D194" t="s">
        <v>41</v>
      </c>
      <c r="E194" t="s">
        <v>39</v>
      </c>
      <c r="G194" s="109" t="s">
        <v>18</v>
      </c>
      <c r="H194" t="s">
        <v>18</v>
      </c>
      <c r="I194" t="s">
        <v>47</v>
      </c>
      <c r="J194" t="s">
        <v>47</v>
      </c>
      <c r="K194" t="s">
        <v>47</v>
      </c>
      <c r="L194" s="109" t="s">
        <v>48</v>
      </c>
      <c r="M194" s="109" t="e">
        <v>#N/A</v>
      </c>
    </row>
    <row r="195" spans="3:13" x14ac:dyDescent="0.25">
      <c r="C195" t="s">
        <v>48</v>
      </c>
      <c r="D195" t="s">
        <v>41</v>
      </c>
      <c r="E195" t="s">
        <v>39</v>
      </c>
      <c r="G195" s="109" t="s">
        <v>18</v>
      </c>
      <c r="H195" t="s">
        <v>18</v>
      </c>
      <c r="I195" t="s">
        <v>47</v>
      </c>
      <c r="J195" t="s">
        <v>47</v>
      </c>
      <c r="K195" t="s">
        <v>47</v>
      </c>
      <c r="L195" s="109" t="s">
        <v>48</v>
      </c>
      <c r="M195" s="109" t="e">
        <v>#N/A</v>
      </c>
    </row>
    <row r="196" spans="3:13" x14ac:dyDescent="0.25">
      <c r="C196" t="s">
        <v>48</v>
      </c>
      <c r="D196" t="s">
        <v>41</v>
      </c>
      <c r="E196" t="s">
        <v>39</v>
      </c>
      <c r="G196" s="109" t="s">
        <v>18</v>
      </c>
      <c r="H196" t="s">
        <v>18</v>
      </c>
      <c r="I196" t="s">
        <v>47</v>
      </c>
      <c r="J196" t="s">
        <v>47</v>
      </c>
      <c r="K196" t="s">
        <v>47</v>
      </c>
      <c r="L196" s="109" t="s">
        <v>48</v>
      </c>
      <c r="M196" s="109" t="e">
        <v>#N/A</v>
      </c>
    </row>
    <row r="197" spans="3:13" x14ac:dyDescent="0.25">
      <c r="C197" t="s">
        <v>48</v>
      </c>
      <c r="D197" t="s">
        <v>41</v>
      </c>
      <c r="E197" t="s">
        <v>39</v>
      </c>
      <c r="G197" s="109" t="s">
        <v>18</v>
      </c>
      <c r="H197" t="s">
        <v>18</v>
      </c>
      <c r="I197" t="s">
        <v>47</v>
      </c>
      <c r="J197" t="s">
        <v>47</v>
      </c>
      <c r="K197" t="s">
        <v>47</v>
      </c>
      <c r="L197" s="109" t="s">
        <v>48</v>
      </c>
      <c r="M197" s="109" t="e">
        <v>#N/A</v>
      </c>
    </row>
    <row r="198" spans="3:13" x14ac:dyDescent="0.25">
      <c r="C198" t="s">
        <v>48</v>
      </c>
      <c r="D198" t="s">
        <v>41</v>
      </c>
      <c r="E198">
        <v>24.049099999999999</v>
      </c>
      <c r="G198" s="109" t="s">
        <v>18</v>
      </c>
      <c r="H198" t="s">
        <v>18</v>
      </c>
      <c r="I198" t="s">
        <v>47</v>
      </c>
      <c r="J198" t="s">
        <v>47</v>
      </c>
      <c r="K198" t="s">
        <v>47</v>
      </c>
      <c r="L198" s="109" t="s">
        <v>48</v>
      </c>
      <c r="M198" s="109" t="e">
        <v>#N/A</v>
      </c>
    </row>
    <row r="199" spans="3:13" x14ac:dyDescent="0.25">
      <c r="C199" t="s">
        <v>48</v>
      </c>
      <c r="D199" t="s">
        <v>41</v>
      </c>
      <c r="E199" t="s">
        <v>39</v>
      </c>
      <c r="G199" s="109" t="s">
        <v>18</v>
      </c>
      <c r="H199" t="s">
        <v>18</v>
      </c>
      <c r="I199" t="s">
        <v>47</v>
      </c>
      <c r="J199" t="s">
        <v>47</v>
      </c>
      <c r="K199" t="s">
        <v>47</v>
      </c>
      <c r="L199" s="109" t="s">
        <v>48</v>
      </c>
      <c r="M199" s="109" t="e">
        <v>#N/A</v>
      </c>
    </row>
    <row r="200" spans="3:13" x14ac:dyDescent="0.25">
      <c r="C200" t="s">
        <v>48</v>
      </c>
      <c r="D200" t="s">
        <v>41</v>
      </c>
      <c r="E200">
        <v>18.384499999999999</v>
      </c>
      <c r="G200" s="109" t="s">
        <v>18</v>
      </c>
      <c r="H200" t="s">
        <v>18</v>
      </c>
      <c r="I200" t="s">
        <v>47</v>
      </c>
      <c r="J200" t="s">
        <v>47</v>
      </c>
      <c r="K200" t="s">
        <v>47</v>
      </c>
      <c r="L200" s="109" t="s">
        <v>48</v>
      </c>
      <c r="M200" s="109" t="e">
        <v>#N/A</v>
      </c>
    </row>
    <row r="201" spans="3:13" x14ac:dyDescent="0.25">
      <c r="C201" t="s">
        <v>48</v>
      </c>
      <c r="D201" t="s">
        <v>41</v>
      </c>
      <c r="E201" t="s">
        <v>39</v>
      </c>
      <c r="G201" s="109" t="s">
        <v>18</v>
      </c>
      <c r="H201" t="s">
        <v>18</v>
      </c>
      <c r="I201" t="s">
        <v>47</v>
      </c>
      <c r="J201" t="s">
        <v>47</v>
      </c>
      <c r="K201" t="s">
        <v>47</v>
      </c>
      <c r="L201" s="109" t="s">
        <v>48</v>
      </c>
      <c r="M201" s="109" t="e">
        <v>#N/A</v>
      </c>
    </row>
    <row r="202" spans="3:13" x14ac:dyDescent="0.25">
      <c r="C202" t="s">
        <v>48</v>
      </c>
      <c r="D202" t="s">
        <v>41</v>
      </c>
      <c r="E202" t="s">
        <v>39</v>
      </c>
      <c r="G202" s="109" t="s">
        <v>18</v>
      </c>
      <c r="H202" t="s">
        <v>18</v>
      </c>
      <c r="I202" t="s">
        <v>47</v>
      </c>
      <c r="J202" t="s">
        <v>47</v>
      </c>
      <c r="K202" t="s">
        <v>47</v>
      </c>
      <c r="L202" s="109" t="s">
        <v>48</v>
      </c>
      <c r="M202" s="109" t="e">
        <v>#N/A</v>
      </c>
    </row>
  </sheetData>
  <sortState ref="BM24:BN121">
    <sortCondition ref="BN24:BN121"/>
  </sortState>
  <mergeCells count="7">
    <mergeCell ref="CB3:CE3"/>
    <mergeCell ref="BL36:BM36"/>
    <mergeCell ref="D1:K2"/>
    <mergeCell ref="E4:G4"/>
    <mergeCell ref="I4:K4"/>
    <mergeCell ref="BB3:BF3"/>
    <mergeCell ref="BO3:BT3"/>
  </mergeCells>
  <conditionalFormatting sqref="E105:E199 E6:E103">
    <cfRule type="expression" dxfId="134" priority="10">
      <formula>AND(#REF!="Undetermined",$C6="Unknown")</formula>
    </cfRule>
  </conditionalFormatting>
  <conditionalFormatting sqref="F200:F201">
    <cfRule type="expression" dxfId="133" priority="11">
      <formula>AND(IF(#REF!="UNKNOWN",TRUE,FALSE),IF(#REF!="Undetermined",FALSE,TRUE))</formula>
    </cfRule>
  </conditionalFormatting>
  <conditionalFormatting sqref="T6:X101">
    <cfRule type="expression" dxfId="132" priority="9">
      <formula>AND(IF($E6="UNKNOWN",TRUE,FALSE),IF($H6="Undetermined",FALSE,TRUE))</formula>
    </cfRule>
  </conditionalFormatting>
  <conditionalFormatting sqref="H6:H202">
    <cfRule type="cellIs" dxfId="131" priority="8" operator="equal">
      <formula>FALSE</formula>
    </cfRule>
  </conditionalFormatting>
  <conditionalFormatting sqref="K6:K202">
    <cfRule type="cellIs" dxfId="130" priority="7" operator="lessThan">
      <formula>2</formula>
    </cfRule>
  </conditionalFormatting>
  <conditionalFormatting sqref="L6:L201">
    <cfRule type="cellIs" dxfId="129" priority="5" operator="equal">
      <formula>TRUE</formula>
    </cfRule>
  </conditionalFormatting>
  <conditionalFormatting sqref="AC105 AC6:AC103">
    <cfRule type="expression" dxfId="128" priority="4">
      <formula>AND(#REF!="Undetermined",$C6="Unknown")</formula>
    </cfRule>
  </conditionalFormatting>
  <conditionalFormatting sqref="AF6:AF105">
    <cfRule type="cellIs" dxfId="127" priority="3" operator="equal">
      <formula>FALSE</formula>
    </cfRule>
  </conditionalFormatting>
  <conditionalFormatting sqref="AI6:AI105">
    <cfRule type="cellIs" dxfId="126" priority="2" operator="lessThan">
      <formula>2</formula>
    </cfRule>
  </conditionalFormatting>
  <conditionalFormatting sqref="AJ6:AJ105">
    <cfRule type="cellIs" dxfId="125" priority="1" operator="equal">
      <formula>TRUE</formula>
    </cfRule>
  </conditionalFormatting>
  <pageMargins left="0.7" right="0.7" top="0.75" bottom="0.75" header="0.3" footer="0.3"/>
  <pageSetup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132"/>
  <sheetViews>
    <sheetView workbookViewId="0"/>
  </sheetViews>
  <sheetFormatPr defaultRowHeight="15" x14ac:dyDescent="0.25"/>
  <cols>
    <col min="3" max="3" width="15.42578125" customWidth="1"/>
    <col min="4" max="4" width="14.140625" bestFit="1" customWidth="1"/>
    <col min="5" max="5" width="9" bestFit="1" customWidth="1"/>
    <col min="6" max="6" width="13.5703125" customWidth="1"/>
    <col min="7" max="8" width="12" customWidth="1"/>
    <col min="10" max="10" width="10.5703125" customWidth="1"/>
    <col min="11" max="12" width="12.5703125" customWidth="1"/>
    <col min="14" max="14" width="11.28515625" customWidth="1"/>
    <col min="17" max="17" width="15.42578125" customWidth="1"/>
    <col min="21" max="21" width="10.28515625" customWidth="1"/>
    <col min="25" max="25" width="15.28515625" customWidth="1"/>
    <col min="26" max="26" width="13.5703125" customWidth="1"/>
    <col min="29" max="29" width="15.42578125" customWidth="1"/>
    <col min="33" max="33" width="10.28515625" customWidth="1"/>
    <col min="37" max="37" width="15.28515625" customWidth="1"/>
    <col min="38" max="38" width="13.5703125" customWidth="1"/>
  </cols>
  <sheetData>
    <row r="1" spans="3:50" x14ac:dyDescent="0.25">
      <c r="D1" s="359" t="s">
        <v>57</v>
      </c>
      <c r="E1" s="359"/>
      <c r="F1" s="359"/>
      <c r="G1" s="359"/>
      <c r="H1" s="359"/>
      <c r="I1" s="359"/>
      <c r="J1" s="359"/>
      <c r="K1" s="359"/>
      <c r="R1" s="119" t="s">
        <v>58</v>
      </c>
    </row>
    <row r="2" spans="3:50" x14ac:dyDescent="0.25">
      <c r="D2" s="359"/>
      <c r="E2" s="359"/>
      <c r="F2" s="359"/>
      <c r="G2" s="359"/>
      <c r="H2" s="359"/>
      <c r="I2" s="359"/>
      <c r="J2" s="359"/>
      <c r="K2" s="359"/>
    </row>
    <row r="3" spans="3:50" x14ac:dyDescent="0.25">
      <c r="T3" s="358" t="s">
        <v>29</v>
      </c>
      <c r="U3" s="358"/>
      <c r="V3" s="358"/>
      <c r="W3" s="358"/>
      <c r="AF3" s="358" t="s">
        <v>33</v>
      </c>
      <c r="AG3" s="358"/>
      <c r="AH3" s="358"/>
      <c r="AI3" s="358"/>
      <c r="AQ3" t="s">
        <v>146</v>
      </c>
    </row>
    <row r="4" spans="3:50" x14ac:dyDescent="0.25">
      <c r="D4" s="358" t="s">
        <v>22</v>
      </c>
      <c r="E4" s="358"/>
      <c r="F4" s="358"/>
      <c r="G4" s="106"/>
      <c r="H4" s="358" t="s">
        <v>23</v>
      </c>
      <c r="I4" s="358"/>
      <c r="J4" s="358"/>
      <c r="L4" s="122"/>
    </row>
    <row r="5" spans="3:50" x14ac:dyDescent="0.25"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N5" t="s">
        <v>79</v>
      </c>
      <c r="O5">
        <f>COUNTIF(Table3[Positive],FALSE)</f>
        <v>26</v>
      </c>
      <c r="Q5" s="175" t="s">
        <v>24</v>
      </c>
      <c r="R5" s="176" t="s">
        <v>26</v>
      </c>
      <c r="S5" s="176" t="s">
        <v>27</v>
      </c>
      <c r="T5" s="176" t="s">
        <v>28</v>
      </c>
      <c r="U5" s="176" t="s">
        <v>29</v>
      </c>
      <c r="V5" s="176" t="s">
        <v>30</v>
      </c>
      <c r="W5" s="176" t="s">
        <v>31</v>
      </c>
      <c r="X5" s="176" t="s">
        <v>32</v>
      </c>
      <c r="Y5" s="176" t="s">
        <v>33</v>
      </c>
      <c r="Z5" s="185" t="s">
        <v>34</v>
      </c>
      <c r="AC5" s="175" t="s">
        <v>24</v>
      </c>
      <c r="AD5" s="176" t="s">
        <v>26</v>
      </c>
      <c r="AE5" s="176" t="s">
        <v>27</v>
      </c>
      <c r="AF5" s="176" t="s">
        <v>28</v>
      </c>
      <c r="AG5" s="176" t="s">
        <v>29</v>
      </c>
      <c r="AH5" s="176" t="s">
        <v>30</v>
      </c>
      <c r="AI5" s="176" t="s">
        <v>31</v>
      </c>
      <c r="AJ5" s="176" t="s">
        <v>32</v>
      </c>
      <c r="AK5" s="176" t="s">
        <v>33</v>
      </c>
      <c r="AL5" s="185" t="s">
        <v>34</v>
      </c>
      <c r="AO5" s="168" t="s">
        <v>24</v>
      </c>
      <c r="AP5" s="110" t="s">
        <v>26</v>
      </c>
      <c r="AQ5" s="110" t="s">
        <v>27</v>
      </c>
      <c r="AR5" s="110" t="s">
        <v>28</v>
      </c>
      <c r="AS5" s="110" t="s">
        <v>29</v>
      </c>
      <c r="AT5" s="110" t="s">
        <v>30</v>
      </c>
      <c r="AU5" s="110" t="s">
        <v>31</v>
      </c>
      <c r="AV5" s="110" t="s">
        <v>32</v>
      </c>
      <c r="AW5" s="110" t="s">
        <v>33</v>
      </c>
      <c r="AX5" s="306" t="s">
        <v>34</v>
      </c>
    </row>
    <row r="6" spans="3:50" x14ac:dyDescent="0.25">
      <c r="C6">
        <v>1</v>
      </c>
      <c r="D6">
        <v>19.469899999999999</v>
      </c>
      <c r="E6">
        <v>16100000</v>
      </c>
      <c r="F6">
        <v>7.20682587603185</v>
      </c>
      <c r="G6" t="b">
        <v>1</v>
      </c>
      <c r="H6">
        <v>27</v>
      </c>
      <c r="I6">
        <v>166000</v>
      </c>
      <c r="J6">
        <v>5.220108088040055</v>
      </c>
      <c r="K6" t="b">
        <v>1</v>
      </c>
      <c r="L6">
        <v>9</v>
      </c>
      <c r="N6" t="s">
        <v>54</v>
      </c>
      <c r="O6">
        <f>COUNTIF(Table3[Positive],TRUE)</f>
        <v>94</v>
      </c>
      <c r="Q6">
        <v>11</v>
      </c>
      <c r="R6">
        <v>19.658100000000001</v>
      </c>
      <c r="S6">
        <v>14300000</v>
      </c>
      <c r="T6">
        <v>7.1553360374650614</v>
      </c>
      <c r="U6" t="b">
        <v>1</v>
      </c>
      <c r="V6">
        <v>30.6433</v>
      </c>
      <c r="W6">
        <v>17700</v>
      </c>
      <c r="X6">
        <v>4.2479732663618064</v>
      </c>
      <c r="Y6" t="b">
        <v>1</v>
      </c>
      <c r="Z6">
        <v>7</v>
      </c>
      <c r="AC6">
        <v>11</v>
      </c>
      <c r="AD6">
        <v>19.658100000000001</v>
      </c>
      <c r="AE6">
        <v>14300000</v>
      </c>
      <c r="AF6">
        <v>7.1553360374650614</v>
      </c>
      <c r="AG6" t="b">
        <v>1</v>
      </c>
      <c r="AH6">
        <v>30.6433</v>
      </c>
      <c r="AI6">
        <v>17700</v>
      </c>
      <c r="AJ6">
        <v>4.2479732663618064</v>
      </c>
      <c r="AK6" t="b">
        <v>1</v>
      </c>
      <c r="AL6">
        <v>7</v>
      </c>
      <c r="AO6">
        <v>5</v>
      </c>
      <c r="AP6">
        <v>34.362299999999998</v>
      </c>
      <c r="AQ6">
        <v>1270</v>
      </c>
      <c r="AR6">
        <v>3.1038037209559568</v>
      </c>
      <c r="AS6" t="b">
        <v>1</v>
      </c>
      <c r="AT6" t="s">
        <v>39</v>
      </c>
      <c r="AU6">
        <v>0</v>
      </c>
      <c r="AV6" t="s">
        <v>18</v>
      </c>
      <c r="AW6" t="b">
        <v>0</v>
      </c>
      <c r="AX6">
        <v>14</v>
      </c>
    </row>
    <row r="7" spans="3:50" x14ac:dyDescent="0.25">
      <c r="C7">
        <v>2</v>
      </c>
      <c r="D7" t="s">
        <v>39</v>
      </c>
      <c r="E7">
        <v>0</v>
      </c>
      <c r="F7" t="s">
        <v>18</v>
      </c>
      <c r="G7" t="b">
        <v>0</v>
      </c>
      <c r="H7" t="s">
        <v>47</v>
      </c>
      <c r="I7" t="s">
        <v>47</v>
      </c>
      <c r="J7" t="s">
        <v>18</v>
      </c>
      <c r="K7" t="s">
        <v>48</v>
      </c>
      <c r="L7">
        <v>22</v>
      </c>
      <c r="N7" t="s">
        <v>33</v>
      </c>
      <c r="O7">
        <f>COUNTIF(Table3[Disseminated],TRUE)</f>
        <v>68</v>
      </c>
      <c r="Q7">
        <v>27</v>
      </c>
      <c r="R7">
        <v>27.752800000000001</v>
      </c>
      <c r="S7">
        <v>83900</v>
      </c>
      <c r="T7">
        <v>4.9237619608287</v>
      </c>
      <c r="U7" t="b">
        <v>1</v>
      </c>
      <c r="V7">
        <v>38.5167</v>
      </c>
      <c r="W7">
        <v>140.69300000000001</v>
      </c>
      <c r="X7">
        <v>2.1482724902066059</v>
      </c>
      <c r="Y7" t="b">
        <v>1</v>
      </c>
      <c r="Z7">
        <v>7</v>
      </c>
      <c r="AC7">
        <v>27</v>
      </c>
      <c r="AD7">
        <v>27.752800000000001</v>
      </c>
      <c r="AE7">
        <v>83900</v>
      </c>
      <c r="AF7">
        <v>4.9237619608287</v>
      </c>
      <c r="AG7" t="b">
        <v>1</v>
      </c>
      <c r="AH7">
        <v>38.5167</v>
      </c>
      <c r="AI7">
        <v>140.69300000000001</v>
      </c>
      <c r="AJ7">
        <v>2.1482724902066059</v>
      </c>
      <c r="AK7" t="b">
        <v>1</v>
      </c>
      <c r="AL7">
        <v>7</v>
      </c>
      <c r="AO7">
        <v>6</v>
      </c>
      <c r="AP7">
        <v>22.988600000000002</v>
      </c>
      <c r="AQ7">
        <v>1720000</v>
      </c>
      <c r="AR7">
        <v>6.2355284469075487</v>
      </c>
      <c r="AS7" t="b">
        <v>1</v>
      </c>
      <c r="AT7" t="s">
        <v>39</v>
      </c>
      <c r="AU7">
        <v>0</v>
      </c>
      <c r="AV7" t="s">
        <v>18</v>
      </c>
      <c r="AW7" t="b">
        <v>0</v>
      </c>
      <c r="AX7">
        <v>8</v>
      </c>
    </row>
    <row r="8" spans="3:50" x14ac:dyDescent="0.25">
      <c r="C8">
        <v>3</v>
      </c>
      <c r="D8" t="s">
        <v>39</v>
      </c>
      <c r="E8">
        <v>0</v>
      </c>
      <c r="F8" t="s">
        <v>18</v>
      </c>
      <c r="G8" t="b">
        <v>0</v>
      </c>
      <c r="H8" t="s">
        <v>47</v>
      </c>
      <c r="I8" t="s">
        <v>47</v>
      </c>
      <c r="J8" t="s">
        <v>18</v>
      </c>
      <c r="K8" t="s">
        <v>48</v>
      </c>
      <c r="L8">
        <v>14</v>
      </c>
      <c r="Q8">
        <v>34</v>
      </c>
      <c r="R8">
        <v>20.150400000000001</v>
      </c>
      <c r="S8">
        <v>10400000</v>
      </c>
      <c r="T8">
        <v>7.0170333392987807</v>
      </c>
      <c r="U8" t="b">
        <v>1</v>
      </c>
      <c r="V8">
        <v>24.2394</v>
      </c>
      <c r="W8">
        <v>906000</v>
      </c>
      <c r="X8">
        <v>5.9571281976768127</v>
      </c>
      <c r="Y8" t="b">
        <v>1</v>
      </c>
      <c r="Z8">
        <v>7</v>
      </c>
      <c r="AC8">
        <v>34</v>
      </c>
      <c r="AD8">
        <v>20.150400000000001</v>
      </c>
      <c r="AE8">
        <v>10400000</v>
      </c>
      <c r="AF8">
        <v>7.0170333392987807</v>
      </c>
      <c r="AG8" t="b">
        <v>1</v>
      </c>
      <c r="AH8">
        <v>24.2394</v>
      </c>
      <c r="AI8">
        <v>906000</v>
      </c>
      <c r="AJ8">
        <v>5.9571281976768127</v>
      </c>
      <c r="AK8" t="b">
        <v>1</v>
      </c>
      <c r="AL8">
        <v>7</v>
      </c>
      <c r="AO8">
        <v>10</v>
      </c>
      <c r="AP8">
        <v>28.159500000000001</v>
      </c>
      <c r="AQ8">
        <v>64800</v>
      </c>
      <c r="AR8">
        <v>4.8115750058705933</v>
      </c>
      <c r="AS8" t="b">
        <v>1</v>
      </c>
      <c r="AT8" t="s">
        <v>39</v>
      </c>
      <c r="AU8">
        <v>0</v>
      </c>
      <c r="AV8" t="s">
        <v>18</v>
      </c>
      <c r="AW8" t="b">
        <v>0</v>
      </c>
      <c r="AX8">
        <v>8</v>
      </c>
    </row>
    <row r="9" spans="3:50" x14ac:dyDescent="0.25">
      <c r="C9">
        <v>4</v>
      </c>
      <c r="D9">
        <v>23.281099999999999</v>
      </c>
      <c r="E9">
        <v>1430000</v>
      </c>
      <c r="F9">
        <v>6.1553360374650614</v>
      </c>
      <c r="G9" t="b">
        <v>1</v>
      </c>
      <c r="H9">
        <v>37.418300000000002</v>
      </c>
      <c r="I9">
        <v>276.25599999999997</v>
      </c>
      <c r="J9">
        <v>2.4413117192310634</v>
      </c>
      <c r="K9" t="b">
        <v>1</v>
      </c>
      <c r="L9">
        <v>9</v>
      </c>
      <c r="Q9">
        <v>36</v>
      </c>
      <c r="R9">
        <v>20.485099999999999</v>
      </c>
      <c r="S9">
        <v>8430000</v>
      </c>
      <c r="T9">
        <v>6.9258275746247424</v>
      </c>
      <c r="U9" t="b">
        <v>1</v>
      </c>
      <c r="V9">
        <v>33.555199999999999</v>
      </c>
      <c r="W9">
        <v>2960</v>
      </c>
      <c r="X9">
        <v>3.4712917110589387</v>
      </c>
      <c r="Y9" t="b">
        <v>1</v>
      </c>
      <c r="Z9">
        <v>7</v>
      </c>
      <c r="AC9">
        <v>36</v>
      </c>
      <c r="AD9">
        <v>20.485099999999999</v>
      </c>
      <c r="AE9">
        <v>8430000</v>
      </c>
      <c r="AF9">
        <v>6.9258275746247424</v>
      </c>
      <c r="AG9" t="b">
        <v>1</v>
      </c>
      <c r="AH9">
        <v>33.555199999999999</v>
      </c>
      <c r="AI9">
        <v>2960</v>
      </c>
      <c r="AJ9">
        <v>3.4712917110589387</v>
      </c>
      <c r="AK9" t="b">
        <v>1</v>
      </c>
      <c r="AL9">
        <v>7</v>
      </c>
      <c r="AO9">
        <v>12</v>
      </c>
      <c r="AP9">
        <v>24.562200000000001</v>
      </c>
      <c r="AQ9">
        <v>635000</v>
      </c>
      <c r="AR9">
        <v>5.802773725291976</v>
      </c>
      <c r="AS9" t="b">
        <v>1</v>
      </c>
      <c r="AT9" t="s">
        <v>39</v>
      </c>
      <c r="AU9">
        <v>0</v>
      </c>
      <c r="AV9" t="s">
        <v>18</v>
      </c>
      <c r="AW9" t="b">
        <v>0</v>
      </c>
      <c r="AX9">
        <v>10</v>
      </c>
    </row>
    <row r="10" spans="3:50" x14ac:dyDescent="0.25">
      <c r="C10">
        <v>5</v>
      </c>
      <c r="D10">
        <v>34.362299999999998</v>
      </c>
      <c r="E10">
        <v>1270</v>
      </c>
      <c r="F10">
        <v>3.1038037209559568</v>
      </c>
      <c r="G10" t="b">
        <v>1</v>
      </c>
      <c r="H10" t="s">
        <v>39</v>
      </c>
      <c r="I10">
        <v>0</v>
      </c>
      <c r="J10" t="s">
        <v>18</v>
      </c>
      <c r="K10" t="b">
        <v>0</v>
      </c>
      <c r="L10">
        <v>14</v>
      </c>
      <c r="Q10">
        <v>45</v>
      </c>
      <c r="R10">
        <v>21.621099999999998</v>
      </c>
      <c r="S10">
        <v>4100000</v>
      </c>
      <c r="T10">
        <v>6.6127838567197355</v>
      </c>
      <c r="U10" t="b">
        <v>1</v>
      </c>
      <c r="V10">
        <v>31.875599999999999</v>
      </c>
      <c r="W10">
        <v>8320</v>
      </c>
      <c r="X10">
        <v>3.920123326290724</v>
      </c>
      <c r="Y10" t="b">
        <v>1</v>
      </c>
      <c r="Z10">
        <v>7</v>
      </c>
      <c r="AC10">
        <v>45</v>
      </c>
      <c r="AD10">
        <v>21.621099999999998</v>
      </c>
      <c r="AE10">
        <v>4100000</v>
      </c>
      <c r="AF10">
        <v>6.6127838567197355</v>
      </c>
      <c r="AG10" t="b">
        <v>1</v>
      </c>
      <c r="AH10">
        <v>31.875599999999999</v>
      </c>
      <c r="AI10">
        <v>8320</v>
      </c>
      <c r="AJ10">
        <v>3.920123326290724</v>
      </c>
      <c r="AK10" t="b">
        <v>1</v>
      </c>
      <c r="AL10">
        <v>7</v>
      </c>
      <c r="AO10">
        <v>17</v>
      </c>
      <c r="AP10">
        <v>23.017399999999999</v>
      </c>
      <c r="AQ10">
        <v>1690000</v>
      </c>
      <c r="AR10">
        <v>6.2278867046136739</v>
      </c>
      <c r="AS10" t="b">
        <v>1</v>
      </c>
      <c r="AT10" t="s">
        <v>39</v>
      </c>
      <c r="AU10">
        <v>0</v>
      </c>
      <c r="AV10" t="s">
        <v>18</v>
      </c>
      <c r="AW10" t="b">
        <v>0</v>
      </c>
      <c r="AX10">
        <v>10</v>
      </c>
    </row>
    <row r="11" spans="3:50" x14ac:dyDescent="0.25">
      <c r="C11">
        <v>6</v>
      </c>
      <c r="D11">
        <v>22.988600000000002</v>
      </c>
      <c r="E11">
        <v>1720000</v>
      </c>
      <c r="F11">
        <v>6.2355284469075487</v>
      </c>
      <c r="G11" t="b">
        <v>1</v>
      </c>
      <c r="H11" t="s">
        <v>39</v>
      </c>
      <c r="I11">
        <v>0</v>
      </c>
      <c r="J11" t="s">
        <v>18</v>
      </c>
      <c r="K11" t="b">
        <v>0</v>
      </c>
      <c r="L11">
        <v>8</v>
      </c>
      <c r="Q11">
        <v>59</v>
      </c>
      <c r="R11">
        <v>34.386200000000002</v>
      </c>
      <c r="S11">
        <v>1250</v>
      </c>
      <c r="T11">
        <v>3.0969100130080562</v>
      </c>
      <c r="U11" t="b">
        <v>1</v>
      </c>
      <c r="V11">
        <v>38.987699999999997</v>
      </c>
      <c r="W11">
        <v>105.345</v>
      </c>
      <c r="X11">
        <v>2.0226139274719679</v>
      </c>
      <c r="Y11" t="b">
        <v>1</v>
      </c>
      <c r="Z11">
        <v>7</v>
      </c>
      <c r="AC11">
        <v>59</v>
      </c>
      <c r="AD11">
        <v>34.386200000000002</v>
      </c>
      <c r="AE11">
        <v>1250</v>
      </c>
      <c r="AF11">
        <v>3.0969100130080562</v>
      </c>
      <c r="AG11" t="b">
        <v>1</v>
      </c>
      <c r="AH11">
        <v>38.987699999999997</v>
      </c>
      <c r="AI11">
        <v>105.345</v>
      </c>
      <c r="AJ11">
        <v>2.0226139274719679</v>
      </c>
      <c r="AK11" t="b">
        <v>1</v>
      </c>
      <c r="AL11">
        <v>7</v>
      </c>
      <c r="AO11">
        <v>22</v>
      </c>
      <c r="AP11">
        <v>23.5124</v>
      </c>
      <c r="AQ11">
        <v>1240000</v>
      </c>
      <c r="AR11">
        <v>6.0934216851622347</v>
      </c>
      <c r="AS11" t="b">
        <v>1</v>
      </c>
      <c r="AT11" t="s">
        <v>39</v>
      </c>
      <c r="AU11">
        <v>0</v>
      </c>
      <c r="AV11" t="s">
        <v>18</v>
      </c>
      <c r="AW11" t="b">
        <v>0</v>
      </c>
      <c r="AX11">
        <v>7</v>
      </c>
    </row>
    <row r="12" spans="3:50" x14ac:dyDescent="0.25">
      <c r="C12">
        <v>7</v>
      </c>
      <c r="D12">
        <v>18.364599999999999</v>
      </c>
      <c r="E12">
        <v>32400000</v>
      </c>
      <c r="F12">
        <v>7.510545010206612</v>
      </c>
      <c r="G12" t="b">
        <v>1</v>
      </c>
      <c r="H12">
        <v>23.230499999999999</v>
      </c>
      <c r="I12">
        <v>1680000</v>
      </c>
      <c r="J12">
        <v>6.2253092817258633</v>
      </c>
      <c r="K12" t="b">
        <v>1</v>
      </c>
      <c r="L12">
        <v>11</v>
      </c>
      <c r="Q12">
        <v>62</v>
      </c>
      <c r="R12">
        <v>22.916899999999998</v>
      </c>
      <c r="S12">
        <v>1800000</v>
      </c>
      <c r="T12">
        <v>6.2552725051033065</v>
      </c>
      <c r="U12" t="b">
        <v>1</v>
      </c>
      <c r="V12">
        <v>32.122799999999998</v>
      </c>
      <c r="W12">
        <v>7150</v>
      </c>
      <c r="X12">
        <v>3.8543060418010806</v>
      </c>
      <c r="Y12" t="b">
        <v>1</v>
      </c>
      <c r="Z12">
        <v>7</v>
      </c>
      <c r="AC12">
        <v>62</v>
      </c>
      <c r="AD12">
        <v>22.916899999999998</v>
      </c>
      <c r="AE12">
        <v>1800000</v>
      </c>
      <c r="AF12">
        <v>6.2552725051033065</v>
      </c>
      <c r="AG12" t="b">
        <v>1</v>
      </c>
      <c r="AH12">
        <v>32.122799999999998</v>
      </c>
      <c r="AI12">
        <v>7150</v>
      </c>
      <c r="AJ12">
        <v>3.8543060418010806</v>
      </c>
      <c r="AK12" t="b">
        <v>1</v>
      </c>
      <c r="AL12">
        <v>7</v>
      </c>
      <c r="AO12">
        <v>28</v>
      </c>
      <c r="AP12">
        <v>22.319600000000001</v>
      </c>
      <c r="AQ12">
        <v>2630000</v>
      </c>
      <c r="AR12">
        <v>6.419955748489758</v>
      </c>
      <c r="AS12" t="b">
        <v>1</v>
      </c>
      <c r="AT12">
        <v>39.529800000000002</v>
      </c>
      <c r="AU12">
        <v>75.507199999999997</v>
      </c>
      <c r="AV12">
        <v>1.877988365817016</v>
      </c>
      <c r="AW12" t="b">
        <v>0</v>
      </c>
      <c r="AX12">
        <v>8</v>
      </c>
    </row>
    <row r="13" spans="3:50" x14ac:dyDescent="0.25">
      <c r="C13">
        <v>8</v>
      </c>
      <c r="D13" t="s">
        <v>39</v>
      </c>
      <c r="E13">
        <v>0</v>
      </c>
      <c r="F13" t="s">
        <v>18</v>
      </c>
      <c r="G13" t="b">
        <v>0</v>
      </c>
      <c r="H13" t="s">
        <v>47</v>
      </c>
      <c r="I13" t="s">
        <v>47</v>
      </c>
      <c r="J13" t="s">
        <v>18</v>
      </c>
      <c r="K13" t="s">
        <v>48</v>
      </c>
      <c r="L13">
        <v>10</v>
      </c>
      <c r="Q13">
        <v>82</v>
      </c>
      <c r="R13">
        <v>21.0076</v>
      </c>
      <c r="S13">
        <v>6050000</v>
      </c>
      <c r="T13">
        <v>6.7817553746524686</v>
      </c>
      <c r="U13" t="b">
        <v>1</v>
      </c>
      <c r="V13">
        <v>30.43</v>
      </c>
      <c r="W13">
        <v>20200</v>
      </c>
      <c r="X13">
        <v>4.3053513694466234</v>
      </c>
      <c r="Y13" t="b">
        <v>1</v>
      </c>
      <c r="Z13">
        <v>7</v>
      </c>
      <c r="AC13">
        <v>82</v>
      </c>
      <c r="AD13">
        <v>21.0076</v>
      </c>
      <c r="AE13">
        <v>6050000</v>
      </c>
      <c r="AF13">
        <v>6.7817553746524686</v>
      </c>
      <c r="AG13" t="b">
        <v>1</v>
      </c>
      <c r="AH13">
        <v>30.43</v>
      </c>
      <c r="AI13">
        <v>20200</v>
      </c>
      <c r="AJ13">
        <v>4.3053513694466234</v>
      </c>
      <c r="AK13" t="b">
        <v>1</v>
      </c>
      <c r="AL13">
        <v>7</v>
      </c>
      <c r="AO13">
        <v>33</v>
      </c>
      <c r="AP13">
        <v>30.563800000000001</v>
      </c>
      <c r="AQ13">
        <v>14100</v>
      </c>
      <c r="AR13">
        <v>4.1492191126553797</v>
      </c>
      <c r="AS13" t="b">
        <v>1</v>
      </c>
      <c r="AT13" t="s">
        <v>39</v>
      </c>
      <c r="AU13">
        <v>0</v>
      </c>
      <c r="AV13" t="s">
        <v>18</v>
      </c>
      <c r="AW13" t="b">
        <v>0</v>
      </c>
      <c r="AX13">
        <v>7</v>
      </c>
    </row>
    <row r="14" spans="3:50" x14ac:dyDescent="0.25">
      <c r="C14">
        <v>9</v>
      </c>
      <c r="D14">
        <v>39.024299999999997</v>
      </c>
      <c r="E14">
        <v>65.748599999999996</v>
      </c>
      <c r="F14">
        <v>1.8178865097283674</v>
      </c>
      <c r="G14" t="b">
        <v>0</v>
      </c>
      <c r="H14" t="s">
        <v>47</v>
      </c>
      <c r="I14" t="s">
        <v>47</v>
      </c>
      <c r="J14" t="s">
        <v>18</v>
      </c>
      <c r="K14" t="s">
        <v>48</v>
      </c>
      <c r="L14">
        <v>9</v>
      </c>
      <c r="Q14">
        <v>84</v>
      </c>
      <c r="R14">
        <v>24</v>
      </c>
      <c r="S14">
        <v>907000</v>
      </c>
      <c r="T14">
        <v>5.9576072870600951</v>
      </c>
      <c r="U14" t="b">
        <v>1</v>
      </c>
      <c r="V14">
        <v>39.002699999999997</v>
      </c>
      <c r="W14">
        <v>104.381</v>
      </c>
      <c r="X14">
        <v>2.0186214532054119</v>
      </c>
      <c r="Y14" t="b">
        <v>1</v>
      </c>
      <c r="Z14">
        <v>7</v>
      </c>
      <c r="AC14">
        <v>84</v>
      </c>
      <c r="AD14">
        <v>24</v>
      </c>
      <c r="AE14">
        <v>907000</v>
      </c>
      <c r="AF14">
        <v>5.9576072870600951</v>
      </c>
      <c r="AG14" t="b">
        <v>1</v>
      </c>
      <c r="AH14">
        <v>39.002699999999997</v>
      </c>
      <c r="AI14">
        <v>104.381</v>
      </c>
      <c r="AJ14">
        <v>2.0186214532054119</v>
      </c>
      <c r="AK14" t="b">
        <v>1</v>
      </c>
      <c r="AL14">
        <v>7</v>
      </c>
      <c r="AO14">
        <v>35</v>
      </c>
      <c r="AP14">
        <v>29.400500000000001</v>
      </c>
      <c r="AQ14">
        <v>29500</v>
      </c>
      <c r="AR14">
        <v>4.4698220159781634</v>
      </c>
      <c r="AS14" t="b">
        <v>1</v>
      </c>
      <c r="AT14">
        <v>39.314100000000003</v>
      </c>
      <c r="AU14">
        <v>86.204400000000007</v>
      </c>
      <c r="AV14">
        <v>1.9355294334227646</v>
      </c>
      <c r="AW14" t="b">
        <v>0</v>
      </c>
      <c r="AX14">
        <v>4</v>
      </c>
    </row>
    <row r="15" spans="3:50" x14ac:dyDescent="0.25">
      <c r="C15">
        <v>10</v>
      </c>
      <c r="D15">
        <v>28.159500000000001</v>
      </c>
      <c r="E15">
        <v>64800</v>
      </c>
      <c r="F15">
        <v>4.8115750058705933</v>
      </c>
      <c r="G15" t="b">
        <v>1</v>
      </c>
      <c r="H15" t="s">
        <v>39</v>
      </c>
      <c r="I15">
        <v>0</v>
      </c>
      <c r="J15" t="s">
        <v>18</v>
      </c>
      <c r="K15" t="b">
        <v>0</v>
      </c>
      <c r="L15">
        <v>8</v>
      </c>
      <c r="Q15">
        <v>86</v>
      </c>
      <c r="R15">
        <v>25.150700000000001</v>
      </c>
      <c r="S15">
        <v>437000</v>
      </c>
      <c r="T15">
        <v>5.6404814369704219</v>
      </c>
      <c r="U15" t="b">
        <v>1</v>
      </c>
      <c r="V15">
        <v>32.596600000000002</v>
      </c>
      <c r="W15">
        <v>5340</v>
      </c>
      <c r="X15">
        <v>3.7275412570285562</v>
      </c>
      <c r="Y15" t="b">
        <v>1</v>
      </c>
      <c r="Z15">
        <v>7</v>
      </c>
      <c r="AC15">
        <v>86</v>
      </c>
      <c r="AD15">
        <v>25.150700000000001</v>
      </c>
      <c r="AE15">
        <v>437000</v>
      </c>
      <c r="AF15">
        <v>5.6404814369704219</v>
      </c>
      <c r="AG15" t="b">
        <v>1</v>
      </c>
      <c r="AH15">
        <v>32.596600000000002</v>
      </c>
      <c r="AI15">
        <v>5340</v>
      </c>
      <c r="AJ15">
        <v>3.7275412570285562</v>
      </c>
      <c r="AK15" t="b">
        <v>1</v>
      </c>
      <c r="AL15">
        <v>7</v>
      </c>
      <c r="AO15">
        <v>68</v>
      </c>
      <c r="AP15">
        <v>36.5839</v>
      </c>
      <c r="AQ15">
        <v>927.23800000000006</v>
      </c>
      <c r="AR15">
        <v>2.9671912215449932</v>
      </c>
      <c r="AS15" t="b">
        <v>1</v>
      </c>
      <c r="AT15" t="s">
        <v>39</v>
      </c>
      <c r="AU15">
        <v>0</v>
      </c>
      <c r="AV15" t="s">
        <v>18</v>
      </c>
      <c r="AW15" t="b">
        <v>0</v>
      </c>
      <c r="AX15">
        <v>15</v>
      </c>
    </row>
    <row r="16" spans="3:50" x14ac:dyDescent="0.25">
      <c r="C16">
        <v>11</v>
      </c>
      <c r="D16">
        <v>19.658100000000001</v>
      </c>
      <c r="E16">
        <v>14300000</v>
      </c>
      <c r="F16">
        <v>7.1553360374650614</v>
      </c>
      <c r="G16" t="b">
        <v>1</v>
      </c>
      <c r="H16">
        <v>30.6433</v>
      </c>
      <c r="I16">
        <v>17700</v>
      </c>
      <c r="J16">
        <v>4.2479732663618064</v>
      </c>
      <c r="K16" t="b">
        <v>1</v>
      </c>
      <c r="L16">
        <v>7</v>
      </c>
      <c r="Q16">
        <v>94</v>
      </c>
      <c r="R16">
        <v>21.315200000000001</v>
      </c>
      <c r="S16">
        <v>4980000</v>
      </c>
      <c r="T16">
        <v>6.6972293427597176</v>
      </c>
      <c r="U16" t="b">
        <v>1</v>
      </c>
      <c r="V16">
        <v>37.075699999999998</v>
      </c>
      <c r="W16">
        <v>340.976</v>
      </c>
      <c r="X16">
        <v>2.5327238117362598</v>
      </c>
      <c r="Y16" t="b">
        <v>1</v>
      </c>
      <c r="Z16">
        <v>7</v>
      </c>
      <c r="AC16">
        <v>94</v>
      </c>
      <c r="AD16">
        <v>21.315200000000001</v>
      </c>
      <c r="AE16">
        <v>4980000</v>
      </c>
      <c r="AF16">
        <v>6.6972293427597176</v>
      </c>
      <c r="AG16" t="b">
        <v>1</v>
      </c>
      <c r="AH16">
        <v>37.075699999999998</v>
      </c>
      <c r="AI16">
        <v>340.976</v>
      </c>
      <c r="AJ16">
        <v>2.5327238117362598</v>
      </c>
      <c r="AK16" t="b">
        <v>1</v>
      </c>
      <c r="AL16">
        <v>7</v>
      </c>
      <c r="AO16">
        <v>75</v>
      </c>
      <c r="AP16">
        <v>22.2681</v>
      </c>
      <c r="AQ16">
        <v>2720000</v>
      </c>
      <c r="AR16">
        <v>6.4345689040341991</v>
      </c>
      <c r="AS16" t="b">
        <v>1</v>
      </c>
      <c r="AT16">
        <v>39.081499999999998</v>
      </c>
      <c r="AU16">
        <v>99.447299999999998</v>
      </c>
      <c r="AV16">
        <v>1.9975929964999817</v>
      </c>
      <c r="AW16" t="b">
        <v>0</v>
      </c>
      <c r="AX16">
        <v>1</v>
      </c>
    </row>
    <row r="17" spans="3:50" x14ac:dyDescent="0.25">
      <c r="C17">
        <v>12</v>
      </c>
      <c r="D17">
        <v>24.562200000000001</v>
      </c>
      <c r="E17">
        <v>635000</v>
      </c>
      <c r="F17">
        <v>5.802773725291976</v>
      </c>
      <c r="G17" t="b">
        <v>1</v>
      </c>
      <c r="H17" t="s">
        <v>39</v>
      </c>
      <c r="I17">
        <v>0</v>
      </c>
      <c r="J17" t="s">
        <v>18</v>
      </c>
      <c r="K17" t="b">
        <v>0</v>
      </c>
      <c r="L17">
        <v>10</v>
      </c>
      <c r="Q17">
        <v>29</v>
      </c>
      <c r="R17">
        <v>20.167000000000002</v>
      </c>
      <c r="S17">
        <v>10300000</v>
      </c>
      <c r="T17">
        <v>7.012837224705172</v>
      </c>
      <c r="U17" t="b">
        <v>1</v>
      </c>
      <c r="V17">
        <v>28.145099999999999</v>
      </c>
      <c r="W17">
        <v>82300</v>
      </c>
      <c r="X17">
        <v>4.9153998352122699</v>
      </c>
      <c r="Y17" t="b">
        <v>1</v>
      </c>
      <c r="Z17">
        <v>8</v>
      </c>
      <c r="AC17">
        <v>29</v>
      </c>
      <c r="AD17">
        <v>20.167000000000002</v>
      </c>
      <c r="AE17">
        <v>10300000</v>
      </c>
      <c r="AF17">
        <v>7.012837224705172</v>
      </c>
      <c r="AG17" t="b">
        <v>1</v>
      </c>
      <c r="AH17">
        <v>28.145099999999999</v>
      </c>
      <c r="AI17">
        <v>82300</v>
      </c>
      <c r="AJ17">
        <v>4.9153998352122699</v>
      </c>
      <c r="AK17" t="b">
        <v>1</v>
      </c>
      <c r="AL17">
        <v>8</v>
      </c>
      <c r="AO17">
        <v>76</v>
      </c>
      <c r="AP17">
        <v>26.312799999999999</v>
      </c>
      <c r="AQ17">
        <v>209000</v>
      </c>
      <c r="AR17">
        <v>5.3201462861110542</v>
      </c>
      <c r="AS17" t="b">
        <v>1</v>
      </c>
      <c r="AT17" t="s">
        <v>39</v>
      </c>
      <c r="AU17">
        <v>0</v>
      </c>
      <c r="AV17" t="s">
        <v>18</v>
      </c>
      <c r="AW17" t="b">
        <v>0</v>
      </c>
      <c r="AX17">
        <v>9</v>
      </c>
    </row>
    <row r="18" spans="3:50" x14ac:dyDescent="0.25">
      <c r="C18">
        <v>13</v>
      </c>
      <c r="D18" t="s">
        <v>39</v>
      </c>
      <c r="E18">
        <v>0</v>
      </c>
      <c r="F18" t="s">
        <v>18</v>
      </c>
      <c r="G18" t="b">
        <v>0</v>
      </c>
      <c r="H18" t="s">
        <v>47</v>
      </c>
      <c r="I18" t="s">
        <v>47</v>
      </c>
      <c r="J18" t="s">
        <v>18</v>
      </c>
      <c r="K18" t="s">
        <v>48</v>
      </c>
      <c r="L18">
        <v>15</v>
      </c>
      <c r="Q18">
        <v>38</v>
      </c>
      <c r="R18">
        <v>21.937000000000001</v>
      </c>
      <c r="S18">
        <v>3360000</v>
      </c>
      <c r="T18">
        <v>6.5263392773898437</v>
      </c>
      <c r="U18" t="b">
        <v>1</v>
      </c>
      <c r="V18">
        <v>30.3248</v>
      </c>
      <c r="W18">
        <v>21600</v>
      </c>
      <c r="X18">
        <v>4.3344537511509307</v>
      </c>
      <c r="Y18" t="b">
        <v>1</v>
      </c>
      <c r="Z18">
        <v>8</v>
      </c>
      <c r="AC18">
        <v>38</v>
      </c>
      <c r="AD18">
        <v>21.937000000000001</v>
      </c>
      <c r="AE18">
        <v>3360000</v>
      </c>
      <c r="AF18">
        <v>6.5263392773898437</v>
      </c>
      <c r="AG18" t="b">
        <v>1</v>
      </c>
      <c r="AH18">
        <v>30.3248</v>
      </c>
      <c r="AI18">
        <v>21600</v>
      </c>
      <c r="AJ18">
        <v>4.3344537511509307</v>
      </c>
      <c r="AK18" t="b">
        <v>1</v>
      </c>
      <c r="AL18">
        <v>8</v>
      </c>
      <c r="AO18">
        <v>79</v>
      </c>
      <c r="AP18">
        <v>23.841200000000001</v>
      </c>
      <c r="AQ18">
        <v>1000000</v>
      </c>
      <c r="AR18">
        <v>6</v>
      </c>
      <c r="AS18" t="b">
        <v>1</v>
      </c>
      <c r="AT18" t="s">
        <v>39</v>
      </c>
      <c r="AU18">
        <v>0</v>
      </c>
      <c r="AV18" t="s">
        <v>18</v>
      </c>
      <c r="AW18" t="b">
        <v>0</v>
      </c>
      <c r="AX18">
        <v>7</v>
      </c>
    </row>
    <row r="19" spans="3:50" x14ac:dyDescent="0.25">
      <c r="C19">
        <v>14</v>
      </c>
      <c r="D19">
        <v>21.5793</v>
      </c>
      <c r="E19">
        <v>4210000</v>
      </c>
      <c r="F19">
        <v>6.6242820958356683</v>
      </c>
      <c r="G19" t="b">
        <v>1</v>
      </c>
      <c r="H19">
        <v>31.548999999999999</v>
      </c>
      <c r="I19">
        <v>10200</v>
      </c>
      <c r="J19">
        <v>4.008600171761918</v>
      </c>
      <c r="K19" t="b">
        <v>1</v>
      </c>
      <c r="L19">
        <v>9</v>
      </c>
      <c r="Q19">
        <v>73</v>
      </c>
      <c r="R19">
        <v>23.742699999999999</v>
      </c>
      <c r="S19">
        <v>1070000</v>
      </c>
      <c r="T19">
        <v>6.0293837776852097</v>
      </c>
      <c r="U19" t="b">
        <v>1</v>
      </c>
      <c r="V19">
        <v>29.517099999999999</v>
      </c>
      <c r="W19">
        <v>35400</v>
      </c>
      <c r="X19">
        <v>4.5490032620257876</v>
      </c>
      <c r="Y19" t="b">
        <v>1</v>
      </c>
      <c r="Z19">
        <v>8</v>
      </c>
      <c r="AC19">
        <v>73</v>
      </c>
      <c r="AD19">
        <v>23.742699999999999</v>
      </c>
      <c r="AE19">
        <v>1070000</v>
      </c>
      <c r="AF19">
        <v>6.0293837776852097</v>
      </c>
      <c r="AG19" t="b">
        <v>1</v>
      </c>
      <c r="AH19">
        <v>29.517099999999999</v>
      </c>
      <c r="AI19">
        <v>35400</v>
      </c>
      <c r="AJ19">
        <v>4.5490032620257876</v>
      </c>
      <c r="AK19" t="b">
        <v>1</v>
      </c>
      <c r="AL19">
        <v>8</v>
      </c>
      <c r="AO19">
        <v>99</v>
      </c>
      <c r="AP19">
        <v>24.472100000000001</v>
      </c>
      <c r="AQ19">
        <v>672000</v>
      </c>
      <c r="AR19">
        <v>5.8273692730538249</v>
      </c>
      <c r="AS19" t="b">
        <v>1</v>
      </c>
      <c r="AT19" t="s">
        <v>39</v>
      </c>
      <c r="AU19">
        <v>0</v>
      </c>
      <c r="AV19" t="s">
        <v>18</v>
      </c>
      <c r="AW19" t="b">
        <v>0</v>
      </c>
      <c r="AX19">
        <v>7</v>
      </c>
    </row>
    <row r="20" spans="3:50" x14ac:dyDescent="0.25">
      <c r="C20">
        <v>15</v>
      </c>
      <c r="D20">
        <v>20.068000000000001</v>
      </c>
      <c r="E20">
        <v>5200000</v>
      </c>
      <c r="F20">
        <v>6.7160033436347994</v>
      </c>
      <c r="G20" t="b">
        <v>1</v>
      </c>
      <c r="H20">
        <v>23.712800000000001</v>
      </c>
      <c r="I20">
        <v>1250000</v>
      </c>
      <c r="J20">
        <v>6.0969100130080562</v>
      </c>
      <c r="K20" t="b">
        <v>1</v>
      </c>
      <c r="L20">
        <v>15</v>
      </c>
      <c r="Q20">
        <v>74</v>
      </c>
      <c r="R20">
        <v>20.771599999999999</v>
      </c>
      <c r="S20">
        <v>7030000</v>
      </c>
      <c r="T20">
        <v>6.8469553250198238</v>
      </c>
      <c r="U20" t="b">
        <v>1</v>
      </c>
      <c r="V20">
        <v>28.398399999999999</v>
      </c>
      <c r="W20">
        <v>70400</v>
      </c>
      <c r="X20">
        <v>4.847572659142112</v>
      </c>
      <c r="Y20" t="b">
        <v>1</v>
      </c>
      <c r="Z20">
        <v>8</v>
      </c>
      <c r="AC20">
        <v>74</v>
      </c>
      <c r="AD20">
        <v>20.771599999999999</v>
      </c>
      <c r="AE20">
        <v>7030000</v>
      </c>
      <c r="AF20">
        <v>6.8469553250198238</v>
      </c>
      <c r="AG20" t="b">
        <v>1</v>
      </c>
      <c r="AH20">
        <v>28.398399999999999</v>
      </c>
      <c r="AI20">
        <v>70400</v>
      </c>
      <c r="AJ20">
        <v>4.847572659142112</v>
      </c>
      <c r="AK20" t="b">
        <v>1</v>
      </c>
      <c r="AL20">
        <v>8</v>
      </c>
      <c r="AO20">
        <v>101</v>
      </c>
      <c r="AP20">
        <v>26.147099999999998</v>
      </c>
      <c r="AQ20">
        <v>232000</v>
      </c>
      <c r="AR20">
        <v>5.3654879848908994</v>
      </c>
      <c r="AS20" t="b">
        <v>1</v>
      </c>
      <c r="AT20" t="s">
        <v>39</v>
      </c>
      <c r="AU20">
        <v>0</v>
      </c>
      <c r="AV20" t="s">
        <v>18</v>
      </c>
      <c r="AW20" t="b">
        <v>0</v>
      </c>
      <c r="AX20">
        <v>9</v>
      </c>
    </row>
    <row r="21" spans="3:50" x14ac:dyDescent="0.25">
      <c r="C21">
        <v>16</v>
      </c>
      <c r="D21">
        <v>17.8505</v>
      </c>
      <c r="E21">
        <v>44900000</v>
      </c>
      <c r="F21">
        <v>7.6522463410033232</v>
      </c>
      <c r="G21" t="b">
        <v>1</v>
      </c>
      <c r="H21">
        <v>25.331099999999999</v>
      </c>
      <c r="I21">
        <v>464000</v>
      </c>
      <c r="J21">
        <v>5.6665179805548807</v>
      </c>
      <c r="K21" t="b">
        <v>1</v>
      </c>
      <c r="L21">
        <v>11</v>
      </c>
      <c r="Q21">
        <v>78</v>
      </c>
      <c r="R21">
        <v>21.720800000000001</v>
      </c>
      <c r="S21">
        <v>3850000</v>
      </c>
      <c r="T21">
        <v>6.585460729508501</v>
      </c>
      <c r="U21" t="b">
        <v>1</v>
      </c>
      <c r="V21">
        <v>30.3309</v>
      </c>
      <c r="W21">
        <v>21500</v>
      </c>
      <c r="X21">
        <v>4.3324384599156049</v>
      </c>
      <c r="Y21" t="b">
        <v>1</v>
      </c>
      <c r="Z21">
        <v>8</v>
      </c>
      <c r="AC21">
        <v>78</v>
      </c>
      <c r="AD21">
        <v>21.720800000000001</v>
      </c>
      <c r="AE21">
        <v>3850000</v>
      </c>
      <c r="AF21">
        <v>6.585460729508501</v>
      </c>
      <c r="AG21" t="b">
        <v>1</v>
      </c>
      <c r="AH21">
        <v>30.3309</v>
      </c>
      <c r="AI21">
        <v>21500</v>
      </c>
      <c r="AJ21">
        <v>4.3324384599156049</v>
      </c>
      <c r="AK21" t="b">
        <v>1</v>
      </c>
      <c r="AL21">
        <v>8</v>
      </c>
      <c r="AO21">
        <v>103</v>
      </c>
      <c r="AP21">
        <v>31.071300000000001</v>
      </c>
      <c r="AQ21">
        <v>10200</v>
      </c>
      <c r="AR21">
        <v>4.008600171761918</v>
      </c>
      <c r="AS21" t="b">
        <v>1</v>
      </c>
      <c r="AT21" t="s">
        <v>39</v>
      </c>
      <c r="AU21">
        <v>0</v>
      </c>
      <c r="AV21" t="s">
        <v>18</v>
      </c>
      <c r="AW21" t="b">
        <v>0</v>
      </c>
      <c r="AX21">
        <v>10</v>
      </c>
    </row>
    <row r="22" spans="3:50" x14ac:dyDescent="0.25">
      <c r="C22">
        <v>17</v>
      </c>
      <c r="D22">
        <v>23.017399999999999</v>
      </c>
      <c r="E22">
        <v>1690000</v>
      </c>
      <c r="F22">
        <v>6.2278867046136739</v>
      </c>
      <c r="G22" t="b">
        <v>1</v>
      </c>
      <c r="H22" t="s">
        <v>39</v>
      </c>
      <c r="I22">
        <v>0</v>
      </c>
      <c r="J22" t="s">
        <v>18</v>
      </c>
      <c r="K22" t="b">
        <v>0</v>
      </c>
      <c r="L22">
        <v>10</v>
      </c>
      <c r="Q22">
        <v>91</v>
      </c>
      <c r="R22">
        <v>20.727799999999998</v>
      </c>
      <c r="S22">
        <v>7230000</v>
      </c>
      <c r="T22">
        <v>6.859138297294531</v>
      </c>
      <c r="U22" t="b">
        <v>1</v>
      </c>
      <c r="V22">
        <v>34.745800000000003</v>
      </c>
      <c r="W22">
        <v>1430</v>
      </c>
      <c r="X22">
        <v>3.1553360374650619</v>
      </c>
      <c r="Y22" t="b">
        <v>1</v>
      </c>
      <c r="Z22">
        <v>8</v>
      </c>
      <c r="AC22">
        <v>91</v>
      </c>
      <c r="AD22">
        <v>20.727799999999998</v>
      </c>
      <c r="AE22">
        <v>7230000</v>
      </c>
      <c r="AF22">
        <v>6.859138297294531</v>
      </c>
      <c r="AG22" t="b">
        <v>1</v>
      </c>
      <c r="AH22">
        <v>34.745800000000003</v>
      </c>
      <c r="AI22">
        <v>1430</v>
      </c>
      <c r="AJ22">
        <v>3.1553360374650619</v>
      </c>
      <c r="AK22" t="b">
        <v>1</v>
      </c>
      <c r="AL22">
        <v>8</v>
      </c>
      <c r="AO22">
        <v>105</v>
      </c>
      <c r="AP22">
        <v>28.116099999999999</v>
      </c>
      <c r="AQ22">
        <v>66600</v>
      </c>
      <c r="AR22">
        <v>4.8234742291703014</v>
      </c>
      <c r="AS22" t="b">
        <v>1</v>
      </c>
      <c r="AT22" t="s">
        <v>39</v>
      </c>
      <c r="AU22">
        <v>0</v>
      </c>
      <c r="AV22" t="s">
        <v>18</v>
      </c>
      <c r="AW22" t="b">
        <v>0</v>
      </c>
      <c r="AX22">
        <v>8</v>
      </c>
    </row>
    <row r="23" spans="3:50" x14ac:dyDescent="0.25">
      <c r="C23">
        <v>18</v>
      </c>
      <c r="D23">
        <v>18.452300000000001</v>
      </c>
      <c r="E23">
        <v>12100000</v>
      </c>
      <c r="F23">
        <v>7.0827853703164498</v>
      </c>
      <c r="G23" t="b">
        <v>1</v>
      </c>
      <c r="H23">
        <v>23.166699999999999</v>
      </c>
      <c r="I23">
        <v>1750000</v>
      </c>
      <c r="J23">
        <v>6.2430380486862944</v>
      </c>
      <c r="K23" t="b">
        <v>1</v>
      </c>
      <c r="L23">
        <v>18</v>
      </c>
      <c r="Q23">
        <v>93</v>
      </c>
      <c r="R23">
        <v>22.113800000000001</v>
      </c>
      <c r="S23">
        <v>3000000</v>
      </c>
      <c r="T23">
        <v>6.4771212547196626</v>
      </c>
      <c r="U23" t="b">
        <v>1</v>
      </c>
      <c r="V23">
        <v>31.8751</v>
      </c>
      <c r="W23">
        <v>8320</v>
      </c>
      <c r="X23">
        <v>3.920123326290724</v>
      </c>
      <c r="Y23" t="b">
        <v>1</v>
      </c>
      <c r="Z23">
        <v>8</v>
      </c>
      <c r="AC23">
        <v>93</v>
      </c>
      <c r="AD23">
        <v>22.113800000000001</v>
      </c>
      <c r="AE23">
        <v>3000000</v>
      </c>
      <c r="AF23">
        <v>6.4771212547196626</v>
      </c>
      <c r="AG23" t="b">
        <v>1</v>
      </c>
      <c r="AH23">
        <v>31.8751</v>
      </c>
      <c r="AI23">
        <v>8320</v>
      </c>
      <c r="AJ23">
        <v>3.920123326290724</v>
      </c>
      <c r="AK23" t="b">
        <v>1</v>
      </c>
      <c r="AL23">
        <v>8</v>
      </c>
      <c r="AO23">
        <v>108</v>
      </c>
      <c r="AP23">
        <v>37.594299999999997</v>
      </c>
      <c r="AQ23">
        <v>546.83699999999999</v>
      </c>
      <c r="AR23">
        <v>2.7378578920556103</v>
      </c>
      <c r="AS23" t="b">
        <v>1</v>
      </c>
      <c r="AT23">
        <v>37.887799999999999</v>
      </c>
      <c r="AU23">
        <v>75.018000000000001</v>
      </c>
      <c r="AV23">
        <v>1.8751654815616767</v>
      </c>
      <c r="AW23" t="b">
        <v>0</v>
      </c>
      <c r="AX23">
        <v>23</v>
      </c>
    </row>
    <row r="24" spans="3:50" x14ac:dyDescent="0.25">
      <c r="C24">
        <v>19</v>
      </c>
      <c r="D24" t="s">
        <v>39</v>
      </c>
      <c r="E24">
        <v>0</v>
      </c>
      <c r="F24" t="s">
        <v>18</v>
      </c>
      <c r="G24" t="b">
        <v>0</v>
      </c>
      <c r="H24" t="s">
        <v>47</v>
      </c>
      <c r="I24" t="s">
        <v>47</v>
      </c>
      <c r="J24" t="s">
        <v>18</v>
      </c>
      <c r="K24" t="s">
        <v>48</v>
      </c>
      <c r="L24">
        <v>15</v>
      </c>
      <c r="Q24">
        <v>96</v>
      </c>
      <c r="R24">
        <v>19.801200000000001</v>
      </c>
      <c r="S24">
        <v>13000000</v>
      </c>
      <c r="T24">
        <v>7.1139433523068369</v>
      </c>
      <c r="U24" t="b">
        <v>1</v>
      </c>
      <c r="V24">
        <v>26.748899999999999</v>
      </c>
      <c r="W24">
        <v>194000</v>
      </c>
      <c r="X24">
        <v>5.2878017299302265</v>
      </c>
      <c r="Y24" t="b">
        <v>1</v>
      </c>
      <c r="Z24">
        <v>8</v>
      </c>
      <c r="AC24">
        <v>96</v>
      </c>
      <c r="AD24">
        <v>19.801200000000001</v>
      </c>
      <c r="AE24">
        <v>13000000</v>
      </c>
      <c r="AF24">
        <v>7.1139433523068369</v>
      </c>
      <c r="AG24" t="b">
        <v>1</v>
      </c>
      <c r="AH24">
        <v>26.748899999999999</v>
      </c>
      <c r="AI24">
        <v>194000</v>
      </c>
      <c r="AJ24">
        <v>5.2878017299302265</v>
      </c>
      <c r="AK24" t="b">
        <v>1</v>
      </c>
      <c r="AL24">
        <v>8</v>
      </c>
      <c r="AO24">
        <v>113</v>
      </c>
      <c r="AP24">
        <v>23.1661</v>
      </c>
      <c r="AQ24">
        <v>1540000</v>
      </c>
      <c r="AR24">
        <v>6.1875207208364627</v>
      </c>
      <c r="AS24" t="b">
        <v>1</v>
      </c>
      <c r="AT24" t="s">
        <v>39</v>
      </c>
      <c r="AU24">
        <v>0</v>
      </c>
      <c r="AV24" t="s">
        <v>18</v>
      </c>
      <c r="AW24" t="b">
        <v>0</v>
      </c>
      <c r="AX24">
        <v>7</v>
      </c>
    </row>
    <row r="25" spans="3:50" x14ac:dyDescent="0.25">
      <c r="C25">
        <v>20</v>
      </c>
      <c r="D25">
        <v>37.979399999999998</v>
      </c>
      <c r="E25">
        <v>127.58</v>
      </c>
      <c r="F25">
        <v>2.1057825978144415</v>
      </c>
      <c r="G25" t="b">
        <v>1</v>
      </c>
      <c r="H25" t="s">
        <v>47</v>
      </c>
      <c r="I25" t="s">
        <v>47</v>
      </c>
      <c r="J25" t="s">
        <v>18</v>
      </c>
      <c r="K25" t="s">
        <v>48</v>
      </c>
      <c r="L25">
        <v>7</v>
      </c>
      <c r="Q25">
        <v>98</v>
      </c>
      <c r="R25">
        <v>20.833600000000001</v>
      </c>
      <c r="S25">
        <v>6760000</v>
      </c>
      <c r="T25">
        <v>6.8299466959416355</v>
      </c>
      <c r="U25" t="b">
        <v>1</v>
      </c>
      <c r="V25">
        <v>28.444600000000001</v>
      </c>
      <c r="W25">
        <v>68500</v>
      </c>
      <c r="X25">
        <v>4.8356905714924254</v>
      </c>
      <c r="Y25" t="b">
        <v>1</v>
      </c>
      <c r="Z25">
        <v>8</v>
      </c>
      <c r="AC25">
        <v>98</v>
      </c>
      <c r="AD25">
        <v>20.833600000000001</v>
      </c>
      <c r="AE25">
        <v>6760000</v>
      </c>
      <c r="AF25">
        <v>6.8299466959416355</v>
      </c>
      <c r="AG25" t="b">
        <v>1</v>
      </c>
      <c r="AH25">
        <v>28.444600000000001</v>
      </c>
      <c r="AI25">
        <v>68500</v>
      </c>
      <c r="AJ25">
        <v>4.8356905714924254</v>
      </c>
      <c r="AK25" t="b">
        <v>1</v>
      </c>
      <c r="AL25">
        <v>8</v>
      </c>
      <c r="AO25">
        <v>114</v>
      </c>
      <c r="AP25">
        <v>30.798400000000001</v>
      </c>
      <c r="AQ25">
        <v>12100</v>
      </c>
      <c r="AR25">
        <v>4.0827853703164498</v>
      </c>
      <c r="AS25" t="b">
        <v>1</v>
      </c>
      <c r="AT25">
        <v>39.256300000000003</v>
      </c>
      <c r="AU25">
        <v>89.318799999999996</v>
      </c>
      <c r="AV25">
        <v>1.9509428796828854</v>
      </c>
      <c r="AW25" t="b">
        <v>0</v>
      </c>
      <c r="AX25">
        <v>9</v>
      </c>
    </row>
    <row r="26" spans="3:50" x14ac:dyDescent="0.25">
      <c r="C26">
        <v>21</v>
      </c>
      <c r="D26">
        <v>20.840199999999999</v>
      </c>
      <c r="E26">
        <v>3470000</v>
      </c>
      <c r="F26">
        <v>6.540329474790874</v>
      </c>
      <c r="G26" t="b">
        <v>1</v>
      </c>
      <c r="H26">
        <v>23.913799999999998</v>
      </c>
      <c r="I26">
        <v>1110000</v>
      </c>
      <c r="J26">
        <v>6.0453229787866576</v>
      </c>
      <c r="K26" t="b">
        <v>1</v>
      </c>
      <c r="L26">
        <v>16</v>
      </c>
      <c r="Q26">
        <v>1</v>
      </c>
      <c r="R26">
        <v>19.469899999999999</v>
      </c>
      <c r="S26">
        <v>16100000</v>
      </c>
      <c r="T26">
        <v>7.20682587603185</v>
      </c>
      <c r="U26" t="b">
        <v>1</v>
      </c>
      <c r="V26">
        <v>27</v>
      </c>
      <c r="W26">
        <v>166000</v>
      </c>
      <c r="X26">
        <v>5.220108088040055</v>
      </c>
      <c r="Y26" t="b">
        <v>1</v>
      </c>
      <c r="Z26">
        <v>9</v>
      </c>
      <c r="AC26">
        <v>1</v>
      </c>
      <c r="AD26">
        <v>19.469899999999999</v>
      </c>
      <c r="AE26">
        <v>16100000</v>
      </c>
      <c r="AF26">
        <v>7.20682587603185</v>
      </c>
      <c r="AG26" t="b">
        <v>1</v>
      </c>
      <c r="AH26">
        <v>27</v>
      </c>
      <c r="AI26">
        <v>166000</v>
      </c>
      <c r="AJ26">
        <v>5.220108088040055</v>
      </c>
      <c r="AK26" t="b">
        <v>1</v>
      </c>
      <c r="AL26">
        <v>9</v>
      </c>
      <c r="AO26">
        <v>118</v>
      </c>
      <c r="AP26">
        <v>27.080300000000001</v>
      </c>
      <c r="AQ26">
        <v>128000</v>
      </c>
      <c r="AR26">
        <v>5.1072099696478688</v>
      </c>
      <c r="AS26" t="b">
        <v>1</v>
      </c>
      <c r="AT26" t="s">
        <v>39</v>
      </c>
      <c r="AU26">
        <v>0</v>
      </c>
      <c r="AV26" t="s">
        <v>18</v>
      </c>
      <c r="AW26" t="b">
        <v>0</v>
      </c>
      <c r="AX26">
        <v>7</v>
      </c>
    </row>
    <row r="27" spans="3:50" x14ac:dyDescent="0.25">
      <c r="C27">
        <v>22</v>
      </c>
      <c r="D27">
        <v>23.5124</v>
      </c>
      <c r="E27">
        <v>1240000</v>
      </c>
      <c r="F27">
        <v>6.0934216851622347</v>
      </c>
      <c r="G27" t="b">
        <v>1</v>
      </c>
      <c r="H27" t="s">
        <v>39</v>
      </c>
      <c r="I27">
        <v>0</v>
      </c>
      <c r="J27" t="s">
        <v>18</v>
      </c>
      <c r="K27" t="b">
        <v>0</v>
      </c>
      <c r="L27">
        <v>7</v>
      </c>
      <c r="Q27">
        <v>4</v>
      </c>
      <c r="R27">
        <v>23.281099999999999</v>
      </c>
      <c r="S27">
        <v>1430000</v>
      </c>
      <c r="T27">
        <v>6.1553360374650614</v>
      </c>
      <c r="U27" t="b">
        <v>1</v>
      </c>
      <c r="V27">
        <v>37.418300000000002</v>
      </c>
      <c r="W27">
        <v>276.25599999999997</v>
      </c>
      <c r="X27">
        <v>2.4413117192310634</v>
      </c>
      <c r="Y27" t="b">
        <v>1</v>
      </c>
      <c r="Z27">
        <v>9</v>
      </c>
      <c r="AC27">
        <v>4</v>
      </c>
      <c r="AD27">
        <v>23.281099999999999</v>
      </c>
      <c r="AE27">
        <v>1430000</v>
      </c>
      <c r="AF27">
        <v>6.1553360374650614</v>
      </c>
      <c r="AG27" t="b">
        <v>1</v>
      </c>
      <c r="AH27">
        <v>37.418300000000002</v>
      </c>
      <c r="AI27">
        <v>276.25599999999997</v>
      </c>
      <c r="AJ27">
        <v>2.4413117192310634</v>
      </c>
      <c r="AK27" t="b">
        <v>1</v>
      </c>
      <c r="AL27">
        <v>9</v>
      </c>
    </row>
    <row r="28" spans="3:50" x14ac:dyDescent="0.25">
      <c r="C28">
        <v>23</v>
      </c>
      <c r="D28">
        <v>20.230499999999999</v>
      </c>
      <c r="E28">
        <v>9910000</v>
      </c>
      <c r="F28">
        <v>6.9960736544852757</v>
      </c>
      <c r="G28" t="b">
        <v>1</v>
      </c>
      <c r="H28">
        <v>27.667400000000001</v>
      </c>
      <c r="I28">
        <v>110000</v>
      </c>
      <c r="J28">
        <v>5.0413926851582254</v>
      </c>
      <c r="K28" t="b">
        <v>1</v>
      </c>
      <c r="L28">
        <v>11</v>
      </c>
      <c r="Q28">
        <v>14</v>
      </c>
      <c r="R28">
        <v>21.5793</v>
      </c>
      <c r="S28">
        <v>4210000</v>
      </c>
      <c r="T28">
        <v>6.6242820958356683</v>
      </c>
      <c r="U28" t="b">
        <v>1</v>
      </c>
      <c r="V28">
        <v>31.548999999999999</v>
      </c>
      <c r="W28">
        <v>10200</v>
      </c>
      <c r="X28">
        <v>4.008600171761918</v>
      </c>
      <c r="Y28" t="b">
        <v>1</v>
      </c>
      <c r="Z28">
        <v>9</v>
      </c>
      <c r="AC28">
        <v>14</v>
      </c>
      <c r="AD28">
        <v>21.5793</v>
      </c>
      <c r="AE28">
        <v>4210000</v>
      </c>
      <c r="AF28">
        <v>6.6242820958356683</v>
      </c>
      <c r="AG28" t="b">
        <v>1</v>
      </c>
      <c r="AH28">
        <v>31.548999999999999</v>
      </c>
      <c r="AI28">
        <v>10200</v>
      </c>
      <c r="AJ28">
        <v>4.008600171761918</v>
      </c>
      <c r="AK28" t="b">
        <v>1</v>
      </c>
      <c r="AL28">
        <v>9</v>
      </c>
    </row>
    <row r="29" spans="3:50" x14ac:dyDescent="0.25">
      <c r="C29">
        <v>24</v>
      </c>
      <c r="D29" t="s">
        <v>39</v>
      </c>
      <c r="E29">
        <v>0</v>
      </c>
      <c r="F29" t="s">
        <v>18</v>
      </c>
      <c r="G29" t="b">
        <v>0</v>
      </c>
      <c r="H29" t="s">
        <v>47</v>
      </c>
      <c r="I29" t="s">
        <v>47</v>
      </c>
      <c r="J29" t="s">
        <v>18</v>
      </c>
      <c r="K29" t="s">
        <v>48</v>
      </c>
      <c r="L29">
        <v>15</v>
      </c>
      <c r="Q29">
        <v>40</v>
      </c>
      <c r="R29">
        <v>17.962900000000001</v>
      </c>
      <c r="S29">
        <v>41800000</v>
      </c>
      <c r="T29">
        <v>7.6211762817750355</v>
      </c>
      <c r="U29" t="b">
        <v>1</v>
      </c>
      <c r="V29">
        <v>26.0137</v>
      </c>
      <c r="W29">
        <v>305000</v>
      </c>
      <c r="X29">
        <v>5.4842998393467859</v>
      </c>
      <c r="Y29" t="b">
        <v>1</v>
      </c>
      <c r="Z29">
        <v>9</v>
      </c>
      <c r="AC29">
        <v>40</v>
      </c>
      <c r="AD29">
        <v>17.962900000000001</v>
      </c>
      <c r="AE29">
        <v>41800000</v>
      </c>
      <c r="AF29">
        <v>7.6211762817750355</v>
      </c>
      <c r="AG29" t="b">
        <v>1</v>
      </c>
      <c r="AH29">
        <v>26.0137</v>
      </c>
      <c r="AI29">
        <v>305000</v>
      </c>
      <c r="AJ29">
        <v>5.4842998393467859</v>
      </c>
      <c r="AK29" t="b">
        <v>1</v>
      </c>
      <c r="AL29">
        <v>9</v>
      </c>
    </row>
    <row r="30" spans="3:50" x14ac:dyDescent="0.25">
      <c r="C30">
        <v>25</v>
      </c>
      <c r="D30">
        <v>21.2212</v>
      </c>
      <c r="E30">
        <v>2850000</v>
      </c>
      <c r="F30">
        <v>6.4548448600085102</v>
      </c>
      <c r="G30" t="b">
        <v>1</v>
      </c>
      <c r="H30">
        <v>24.2971</v>
      </c>
      <c r="I30">
        <v>875000</v>
      </c>
      <c r="J30">
        <v>5.9420080530223132</v>
      </c>
      <c r="K30" t="b">
        <v>1</v>
      </c>
      <c r="L30">
        <v>18</v>
      </c>
      <c r="Q30">
        <v>48</v>
      </c>
      <c r="R30">
        <v>25.083400000000001</v>
      </c>
      <c r="S30">
        <v>456000</v>
      </c>
      <c r="T30">
        <v>5.6589648426644352</v>
      </c>
      <c r="U30" t="b">
        <v>1</v>
      </c>
      <c r="V30">
        <v>38.492199999999997</v>
      </c>
      <c r="W30">
        <v>142.827</v>
      </c>
      <c r="X30">
        <v>2.154810314181089</v>
      </c>
      <c r="Y30" t="b">
        <v>1</v>
      </c>
      <c r="Z30">
        <v>9</v>
      </c>
      <c r="AC30">
        <v>48</v>
      </c>
      <c r="AD30">
        <v>25.083400000000001</v>
      </c>
      <c r="AE30">
        <v>456000</v>
      </c>
      <c r="AF30">
        <v>5.6589648426644352</v>
      </c>
      <c r="AG30" t="b">
        <v>1</v>
      </c>
      <c r="AH30">
        <v>38.492199999999997</v>
      </c>
      <c r="AI30">
        <v>142.827</v>
      </c>
      <c r="AJ30">
        <v>2.154810314181089</v>
      </c>
      <c r="AK30" t="b">
        <v>1</v>
      </c>
      <c r="AL30">
        <v>9</v>
      </c>
    </row>
    <row r="31" spans="3:50" x14ac:dyDescent="0.25">
      <c r="C31">
        <v>26</v>
      </c>
      <c r="D31" t="s">
        <v>39</v>
      </c>
      <c r="E31">
        <v>0</v>
      </c>
      <c r="F31" t="s">
        <v>18</v>
      </c>
      <c r="G31" t="b">
        <v>0</v>
      </c>
      <c r="H31" t="s">
        <v>47</v>
      </c>
      <c r="I31" t="s">
        <v>47</v>
      </c>
      <c r="J31" t="s">
        <v>18</v>
      </c>
      <c r="K31" t="s">
        <v>48</v>
      </c>
      <c r="L31">
        <v>7</v>
      </c>
      <c r="Q31">
        <v>52</v>
      </c>
      <c r="R31">
        <v>20.899699999999999</v>
      </c>
      <c r="S31">
        <v>6480000</v>
      </c>
      <c r="T31">
        <v>6.8115750058705933</v>
      </c>
      <c r="U31" t="b">
        <v>1</v>
      </c>
      <c r="V31">
        <v>28.3399</v>
      </c>
      <c r="W31">
        <v>73000</v>
      </c>
      <c r="X31">
        <v>4.8633228601204559</v>
      </c>
      <c r="Y31" t="b">
        <v>1</v>
      </c>
      <c r="Z31">
        <v>9</v>
      </c>
      <c r="AC31">
        <v>52</v>
      </c>
      <c r="AD31">
        <v>20.899699999999999</v>
      </c>
      <c r="AE31">
        <v>6480000</v>
      </c>
      <c r="AF31">
        <v>6.8115750058705933</v>
      </c>
      <c r="AG31" t="b">
        <v>1</v>
      </c>
      <c r="AH31">
        <v>28.3399</v>
      </c>
      <c r="AI31">
        <v>73000</v>
      </c>
      <c r="AJ31">
        <v>4.8633228601204559</v>
      </c>
      <c r="AK31" t="b">
        <v>1</v>
      </c>
      <c r="AL31">
        <v>9</v>
      </c>
    </row>
    <row r="32" spans="3:50" x14ac:dyDescent="0.25">
      <c r="C32">
        <v>27</v>
      </c>
      <c r="D32">
        <v>27.752800000000001</v>
      </c>
      <c r="E32">
        <v>83900</v>
      </c>
      <c r="F32">
        <v>4.9237619608287</v>
      </c>
      <c r="G32" t="b">
        <v>1</v>
      </c>
      <c r="H32">
        <v>38.5167</v>
      </c>
      <c r="I32">
        <v>140.69300000000001</v>
      </c>
      <c r="J32">
        <v>2.1482724902066059</v>
      </c>
      <c r="K32" t="b">
        <v>1</v>
      </c>
      <c r="L32">
        <v>7</v>
      </c>
      <c r="Q32">
        <v>65</v>
      </c>
      <c r="R32">
        <v>23.3965</v>
      </c>
      <c r="S32">
        <v>1330000</v>
      </c>
      <c r="T32">
        <v>6.1238516409670858</v>
      </c>
      <c r="U32" t="b">
        <v>1</v>
      </c>
      <c r="V32">
        <v>34.624899999999997</v>
      </c>
      <c r="W32">
        <v>1540</v>
      </c>
      <c r="X32">
        <v>3.1875207208364631</v>
      </c>
      <c r="Y32" t="b">
        <v>1</v>
      </c>
      <c r="Z32">
        <v>9</v>
      </c>
      <c r="AC32">
        <v>65</v>
      </c>
      <c r="AD32">
        <v>23.3965</v>
      </c>
      <c r="AE32">
        <v>1330000</v>
      </c>
      <c r="AF32">
        <v>6.1238516409670858</v>
      </c>
      <c r="AG32" t="b">
        <v>1</v>
      </c>
      <c r="AH32">
        <v>34.624899999999997</v>
      </c>
      <c r="AI32">
        <v>1540</v>
      </c>
      <c r="AJ32">
        <v>3.1875207208364631</v>
      </c>
      <c r="AK32" t="b">
        <v>1</v>
      </c>
      <c r="AL32">
        <v>9</v>
      </c>
    </row>
    <row r="33" spans="3:43" x14ac:dyDescent="0.25">
      <c r="C33">
        <v>28</v>
      </c>
      <c r="D33">
        <v>22.319600000000001</v>
      </c>
      <c r="E33">
        <v>2630000</v>
      </c>
      <c r="F33">
        <v>6.419955748489758</v>
      </c>
      <c r="G33" t="b">
        <v>1</v>
      </c>
      <c r="H33">
        <v>39.529800000000002</v>
      </c>
      <c r="I33">
        <v>75.507199999999997</v>
      </c>
      <c r="J33">
        <v>1.877988365817016</v>
      </c>
      <c r="K33" t="b">
        <v>0</v>
      </c>
      <c r="L33">
        <v>8</v>
      </c>
      <c r="Q33">
        <v>85</v>
      </c>
      <c r="R33">
        <v>20.2042</v>
      </c>
      <c r="S33">
        <v>10100000</v>
      </c>
      <c r="T33">
        <v>7.0043213737826422</v>
      </c>
      <c r="U33" t="b">
        <v>1</v>
      </c>
      <c r="V33">
        <v>31.041599999999999</v>
      </c>
      <c r="W33">
        <v>13900</v>
      </c>
      <c r="X33">
        <v>4.143014800254095</v>
      </c>
      <c r="Y33" t="b">
        <v>1</v>
      </c>
      <c r="Z33">
        <v>9</v>
      </c>
      <c r="AC33">
        <v>85</v>
      </c>
      <c r="AD33">
        <v>20.2042</v>
      </c>
      <c r="AE33">
        <v>10100000</v>
      </c>
      <c r="AF33">
        <v>7.0043213737826422</v>
      </c>
      <c r="AG33" t="b">
        <v>1</v>
      </c>
      <c r="AH33">
        <v>31.041599999999999</v>
      </c>
      <c r="AI33">
        <v>13900</v>
      </c>
      <c r="AJ33">
        <v>4.143014800254095</v>
      </c>
      <c r="AK33" t="b">
        <v>1</v>
      </c>
      <c r="AL33">
        <v>9</v>
      </c>
    </row>
    <row r="34" spans="3:43" x14ac:dyDescent="0.25">
      <c r="C34">
        <v>29</v>
      </c>
      <c r="D34">
        <v>20.167000000000002</v>
      </c>
      <c r="E34">
        <v>10300000</v>
      </c>
      <c r="F34">
        <v>7.012837224705172</v>
      </c>
      <c r="G34" t="b">
        <v>1</v>
      </c>
      <c r="H34">
        <v>28.145099999999999</v>
      </c>
      <c r="I34">
        <v>82300</v>
      </c>
      <c r="J34">
        <v>4.9153998352122699</v>
      </c>
      <c r="K34" t="b">
        <v>1</v>
      </c>
      <c r="L34">
        <v>8</v>
      </c>
      <c r="Q34">
        <v>109</v>
      </c>
      <c r="R34">
        <v>18.183299999999999</v>
      </c>
      <c r="S34">
        <v>36300000</v>
      </c>
      <c r="T34">
        <v>7.5599066250361124</v>
      </c>
      <c r="U34" t="b">
        <v>1</v>
      </c>
      <c r="V34">
        <v>25.048300000000001</v>
      </c>
      <c r="W34">
        <v>551000</v>
      </c>
      <c r="X34">
        <v>5.7411515988517854</v>
      </c>
      <c r="Y34" t="b">
        <v>1</v>
      </c>
      <c r="Z34">
        <v>9</v>
      </c>
      <c r="AC34">
        <v>109</v>
      </c>
      <c r="AD34">
        <v>18.183299999999999</v>
      </c>
      <c r="AE34">
        <v>36300000</v>
      </c>
      <c r="AF34">
        <v>7.5599066250361124</v>
      </c>
      <c r="AG34" t="b">
        <v>1</v>
      </c>
      <c r="AH34">
        <v>25.048300000000001</v>
      </c>
      <c r="AI34">
        <v>551000</v>
      </c>
      <c r="AJ34">
        <v>5.7411515988517854</v>
      </c>
      <c r="AK34" t="b">
        <v>1</v>
      </c>
      <c r="AL34">
        <v>9</v>
      </c>
    </row>
    <row r="35" spans="3:43" x14ac:dyDescent="0.25">
      <c r="C35">
        <v>30</v>
      </c>
      <c r="D35">
        <v>20.2286</v>
      </c>
      <c r="E35">
        <v>9920000</v>
      </c>
      <c r="F35">
        <v>6.9965116721541785</v>
      </c>
      <c r="G35" t="b">
        <v>1</v>
      </c>
      <c r="H35">
        <v>25.184699999999999</v>
      </c>
      <c r="I35">
        <v>507000</v>
      </c>
      <c r="J35">
        <v>5.7050079593333356</v>
      </c>
      <c r="K35" t="b">
        <v>1</v>
      </c>
      <c r="L35">
        <v>11</v>
      </c>
      <c r="Q35">
        <v>111</v>
      </c>
      <c r="R35">
        <v>20.708100000000002</v>
      </c>
      <c r="S35">
        <v>7320000</v>
      </c>
      <c r="T35">
        <v>6.8645110810583923</v>
      </c>
      <c r="U35" t="b">
        <v>1</v>
      </c>
      <c r="V35">
        <v>28.2758</v>
      </c>
      <c r="W35">
        <v>75900</v>
      </c>
      <c r="X35">
        <v>4.8802417758954801</v>
      </c>
      <c r="Y35" t="b">
        <v>1</v>
      </c>
      <c r="Z35">
        <v>9</v>
      </c>
      <c r="AC35">
        <v>111</v>
      </c>
      <c r="AD35">
        <v>20.708100000000002</v>
      </c>
      <c r="AE35">
        <v>7320000</v>
      </c>
      <c r="AF35">
        <v>6.8645110810583923</v>
      </c>
      <c r="AG35" t="b">
        <v>1</v>
      </c>
      <c r="AH35">
        <v>28.2758</v>
      </c>
      <c r="AI35">
        <v>75900</v>
      </c>
      <c r="AJ35">
        <v>4.8802417758954801</v>
      </c>
      <c r="AK35" t="b">
        <v>1</v>
      </c>
      <c r="AL35">
        <v>9</v>
      </c>
    </row>
    <row r="36" spans="3:43" x14ac:dyDescent="0.25">
      <c r="C36">
        <v>31</v>
      </c>
      <c r="D36" t="s">
        <v>39</v>
      </c>
      <c r="E36">
        <v>0</v>
      </c>
      <c r="F36" t="s">
        <v>18</v>
      </c>
      <c r="G36" t="b">
        <v>0</v>
      </c>
      <c r="H36" t="s">
        <v>47</v>
      </c>
      <c r="I36" t="s">
        <v>47</v>
      </c>
      <c r="J36" t="s">
        <v>18</v>
      </c>
      <c r="K36" t="s">
        <v>48</v>
      </c>
      <c r="L36">
        <v>8</v>
      </c>
      <c r="Q36">
        <v>115</v>
      </c>
      <c r="R36">
        <v>19.718699999999998</v>
      </c>
      <c r="S36">
        <v>13700000</v>
      </c>
      <c r="T36">
        <v>7.1367205671564067</v>
      </c>
      <c r="U36" t="b">
        <v>1</v>
      </c>
      <c r="V36">
        <v>28.1707</v>
      </c>
      <c r="W36">
        <v>81000</v>
      </c>
      <c r="X36">
        <v>4.9084850188786495</v>
      </c>
      <c r="Y36" t="b">
        <v>1</v>
      </c>
      <c r="Z36">
        <v>9</v>
      </c>
      <c r="AC36">
        <v>115</v>
      </c>
      <c r="AD36">
        <v>19.718699999999998</v>
      </c>
      <c r="AE36">
        <v>13700000</v>
      </c>
      <c r="AF36">
        <v>7.1367205671564067</v>
      </c>
      <c r="AG36" t="b">
        <v>1</v>
      </c>
      <c r="AH36">
        <v>28.1707</v>
      </c>
      <c r="AI36">
        <v>81000</v>
      </c>
      <c r="AJ36">
        <v>4.9084850188786495</v>
      </c>
      <c r="AK36" t="b">
        <v>1</v>
      </c>
      <c r="AL36">
        <v>9</v>
      </c>
      <c r="AN36" s="303"/>
      <c r="AO36" s="112"/>
    </row>
    <row r="37" spans="3:43" x14ac:dyDescent="0.25">
      <c r="C37">
        <v>32</v>
      </c>
      <c r="D37" t="s">
        <v>39</v>
      </c>
      <c r="E37">
        <v>0</v>
      </c>
      <c r="F37" t="s">
        <v>18</v>
      </c>
      <c r="G37" t="b">
        <v>0</v>
      </c>
      <c r="H37" t="s">
        <v>47</v>
      </c>
      <c r="I37" t="s">
        <v>47</v>
      </c>
      <c r="J37" t="s">
        <v>18</v>
      </c>
      <c r="K37" t="s">
        <v>48</v>
      </c>
      <c r="L37">
        <v>8</v>
      </c>
      <c r="Q37">
        <v>37</v>
      </c>
      <c r="R37">
        <v>18.260400000000001</v>
      </c>
      <c r="S37">
        <v>34600000</v>
      </c>
      <c r="T37">
        <v>7.5390760987927763</v>
      </c>
      <c r="U37" t="b">
        <v>1</v>
      </c>
      <c r="V37">
        <v>23.902899999999999</v>
      </c>
      <c r="W37">
        <v>1110000</v>
      </c>
      <c r="X37">
        <v>6.0453229787866576</v>
      </c>
      <c r="Y37" t="b">
        <v>1</v>
      </c>
      <c r="Z37">
        <v>10</v>
      </c>
      <c r="AC37">
        <v>37</v>
      </c>
      <c r="AD37">
        <v>18.260400000000001</v>
      </c>
      <c r="AE37">
        <v>34600000</v>
      </c>
      <c r="AF37">
        <v>7.5390760987927763</v>
      </c>
      <c r="AG37" t="b">
        <v>1</v>
      </c>
      <c r="AH37">
        <v>23.902899999999999</v>
      </c>
      <c r="AI37">
        <v>1110000</v>
      </c>
      <c r="AJ37">
        <v>6.0453229787866576</v>
      </c>
      <c r="AK37" t="b">
        <v>1</v>
      </c>
      <c r="AL37">
        <v>10</v>
      </c>
      <c r="AN37" s="304"/>
      <c r="AO37" s="114"/>
    </row>
    <row r="38" spans="3:43" x14ac:dyDescent="0.25">
      <c r="C38">
        <v>33</v>
      </c>
      <c r="D38">
        <v>30.563800000000001</v>
      </c>
      <c r="E38">
        <v>14100</v>
      </c>
      <c r="F38">
        <v>4.1492191126553797</v>
      </c>
      <c r="G38" t="b">
        <v>1</v>
      </c>
      <c r="H38" t="s">
        <v>39</v>
      </c>
      <c r="I38">
        <v>0</v>
      </c>
      <c r="J38" t="s">
        <v>18</v>
      </c>
      <c r="K38" t="b">
        <v>0</v>
      </c>
      <c r="L38">
        <v>7</v>
      </c>
      <c r="Q38">
        <v>44</v>
      </c>
      <c r="R38">
        <v>21.9145</v>
      </c>
      <c r="S38">
        <v>3410000</v>
      </c>
      <c r="T38">
        <v>6.5327543789924976</v>
      </c>
      <c r="U38" t="b">
        <v>1</v>
      </c>
      <c r="V38">
        <v>30.601500000000001</v>
      </c>
      <c r="W38">
        <v>18200</v>
      </c>
      <c r="X38">
        <v>4.2600713879850751</v>
      </c>
      <c r="Y38" t="b">
        <v>1</v>
      </c>
      <c r="Z38">
        <v>10</v>
      </c>
      <c r="AC38">
        <v>44</v>
      </c>
      <c r="AD38">
        <v>21.9145</v>
      </c>
      <c r="AE38">
        <v>3410000</v>
      </c>
      <c r="AF38">
        <v>6.5327543789924976</v>
      </c>
      <c r="AG38" t="b">
        <v>1</v>
      </c>
      <c r="AH38">
        <v>30.601500000000001</v>
      </c>
      <c r="AI38">
        <v>18200</v>
      </c>
      <c r="AJ38">
        <v>4.2600713879850751</v>
      </c>
      <c r="AK38" t="b">
        <v>1</v>
      </c>
      <c r="AL38">
        <v>10</v>
      </c>
      <c r="AN38" s="303"/>
      <c r="AO38" s="112"/>
    </row>
    <row r="39" spans="3:43" x14ac:dyDescent="0.25">
      <c r="C39">
        <v>34</v>
      </c>
      <c r="D39">
        <v>20.150400000000001</v>
      </c>
      <c r="E39">
        <v>10400000</v>
      </c>
      <c r="F39">
        <v>7.0170333392987807</v>
      </c>
      <c r="G39" t="b">
        <v>1</v>
      </c>
      <c r="H39">
        <v>24.2394</v>
      </c>
      <c r="I39">
        <v>906000</v>
      </c>
      <c r="J39">
        <v>5.9571281976768127</v>
      </c>
      <c r="K39" t="b">
        <v>1</v>
      </c>
      <c r="L39">
        <v>7</v>
      </c>
      <c r="Q39">
        <v>7</v>
      </c>
      <c r="R39">
        <v>18.364599999999999</v>
      </c>
      <c r="S39">
        <v>32400000</v>
      </c>
      <c r="T39">
        <v>7.510545010206612</v>
      </c>
      <c r="U39" t="b">
        <v>1</v>
      </c>
      <c r="V39">
        <v>23.230499999999999</v>
      </c>
      <c r="W39">
        <v>1680000</v>
      </c>
      <c r="X39">
        <v>6.2253092817258633</v>
      </c>
      <c r="Y39" t="b">
        <v>1</v>
      </c>
      <c r="Z39">
        <v>11</v>
      </c>
      <c r="AC39">
        <v>7</v>
      </c>
      <c r="AD39">
        <v>18.364599999999999</v>
      </c>
      <c r="AE39">
        <v>32400000</v>
      </c>
      <c r="AF39">
        <v>7.510545010206612</v>
      </c>
      <c r="AG39" t="b">
        <v>1</v>
      </c>
      <c r="AH39">
        <v>23.230499999999999</v>
      </c>
      <c r="AI39">
        <v>1680000</v>
      </c>
      <c r="AJ39">
        <v>6.2253092817258633</v>
      </c>
      <c r="AK39" t="b">
        <v>1</v>
      </c>
      <c r="AL39">
        <v>11</v>
      </c>
      <c r="AN39" s="304"/>
      <c r="AO39" s="114"/>
    </row>
    <row r="40" spans="3:43" x14ac:dyDescent="0.25">
      <c r="C40">
        <v>35</v>
      </c>
      <c r="D40">
        <v>29.400500000000001</v>
      </c>
      <c r="E40">
        <v>29500</v>
      </c>
      <c r="F40">
        <v>4.4698220159781634</v>
      </c>
      <c r="G40" t="b">
        <v>1</v>
      </c>
      <c r="H40">
        <v>39.314100000000003</v>
      </c>
      <c r="I40">
        <v>86.204400000000007</v>
      </c>
      <c r="J40">
        <v>1.9355294334227646</v>
      </c>
      <c r="K40" t="b">
        <v>0</v>
      </c>
      <c r="L40">
        <v>4</v>
      </c>
      <c r="Q40">
        <v>16</v>
      </c>
      <c r="R40">
        <v>17.8505</v>
      </c>
      <c r="S40">
        <v>44900000</v>
      </c>
      <c r="T40">
        <v>7.6522463410033232</v>
      </c>
      <c r="U40" t="b">
        <v>1</v>
      </c>
      <c r="V40">
        <v>25.331099999999999</v>
      </c>
      <c r="W40">
        <v>464000</v>
      </c>
      <c r="X40">
        <v>5.6665179805548807</v>
      </c>
      <c r="Y40" t="b">
        <v>1</v>
      </c>
      <c r="Z40">
        <v>11</v>
      </c>
      <c r="AC40">
        <v>16</v>
      </c>
      <c r="AD40">
        <v>17.8505</v>
      </c>
      <c r="AE40">
        <v>44900000</v>
      </c>
      <c r="AF40">
        <v>7.6522463410033232</v>
      </c>
      <c r="AG40" t="b">
        <v>1</v>
      </c>
      <c r="AH40">
        <v>25.331099999999999</v>
      </c>
      <c r="AI40">
        <v>464000</v>
      </c>
      <c r="AJ40">
        <v>5.6665179805548807</v>
      </c>
      <c r="AK40" t="b">
        <v>1</v>
      </c>
      <c r="AL40">
        <v>11</v>
      </c>
      <c r="AN40" s="303"/>
      <c r="AO40" s="112"/>
    </row>
    <row r="41" spans="3:43" x14ac:dyDescent="0.25">
      <c r="C41">
        <v>36</v>
      </c>
      <c r="D41">
        <v>20.485099999999999</v>
      </c>
      <c r="E41">
        <v>8430000</v>
      </c>
      <c r="F41">
        <v>6.9258275746247424</v>
      </c>
      <c r="G41" t="b">
        <v>1</v>
      </c>
      <c r="H41">
        <v>33.555199999999999</v>
      </c>
      <c r="I41">
        <v>2960</v>
      </c>
      <c r="J41">
        <v>3.4712917110589387</v>
      </c>
      <c r="K41" t="b">
        <v>1</v>
      </c>
      <c r="L41">
        <v>7</v>
      </c>
      <c r="Q41">
        <v>23</v>
      </c>
      <c r="R41">
        <v>20.230499999999999</v>
      </c>
      <c r="S41">
        <v>9910000</v>
      </c>
      <c r="T41">
        <v>6.9960736544852757</v>
      </c>
      <c r="U41" t="b">
        <v>1</v>
      </c>
      <c r="V41">
        <v>27.667400000000001</v>
      </c>
      <c r="W41">
        <v>110000</v>
      </c>
      <c r="X41">
        <v>5.0413926851582254</v>
      </c>
      <c r="Y41" t="b">
        <v>1</v>
      </c>
      <c r="Z41">
        <v>11</v>
      </c>
      <c r="AC41">
        <v>23</v>
      </c>
      <c r="AD41">
        <v>20.230499999999999</v>
      </c>
      <c r="AE41">
        <v>9910000</v>
      </c>
      <c r="AF41">
        <v>6.9960736544852757</v>
      </c>
      <c r="AG41" t="b">
        <v>1</v>
      </c>
      <c r="AH41">
        <v>27.667400000000001</v>
      </c>
      <c r="AI41">
        <v>110000</v>
      </c>
      <c r="AJ41">
        <v>5.0413926851582254</v>
      </c>
      <c r="AK41" t="b">
        <v>1</v>
      </c>
      <c r="AL41">
        <v>11</v>
      </c>
      <c r="AN41" s="304"/>
      <c r="AO41" s="114"/>
    </row>
    <row r="42" spans="3:43" x14ac:dyDescent="0.25">
      <c r="C42">
        <v>37</v>
      </c>
      <c r="D42">
        <v>18.260400000000001</v>
      </c>
      <c r="E42">
        <v>34600000</v>
      </c>
      <c r="F42">
        <v>7.5390760987927763</v>
      </c>
      <c r="G42" t="b">
        <v>1</v>
      </c>
      <c r="H42">
        <v>23.902899999999999</v>
      </c>
      <c r="I42">
        <v>1110000</v>
      </c>
      <c r="J42">
        <v>6.0453229787866576</v>
      </c>
      <c r="K42" t="b">
        <v>1</v>
      </c>
      <c r="L42">
        <v>10</v>
      </c>
      <c r="Q42">
        <v>30</v>
      </c>
      <c r="R42">
        <v>20.2286</v>
      </c>
      <c r="S42">
        <v>9920000</v>
      </c>
      <c r="T42">
        <v>6.9965116721541785</v>
      </c>
      <c r="U42" t="b">
        <v>1</v>
      </c>
      <c r="V42">
        <v>25.184699999999999</v>
      </c>
      <c r="W42">
        <v>507000</v>
      </c>
      <c r="X42">
        <v>5.7050079593333356</v>
      </c>
      <c r="Y42" t="b">
        <v>1</v>
      </c>
      <c r="Z42">
        <v>11</v>
      </c>
      <c r="AC42">
        <v>30</v>
      </c>
      <c r="AD42">
        <v>20.2286</v>
      </c>
      <c r="AE42">
        <v>9920000</v>
      </c>
      <c r="AF42">
        <v>6.9965116721541785</v>
      </c>
      <c r="AG42" t="b">
        <v>1</v>
      </c>
      <c r="AH42">
        <v>25.184699999999999</v>
      </c>
      <c r="AI42">
        <v>507000</v>
      </c>
      <c r="AJ42">
        <v>5.7050079593333356</v>
      </c>
      <c r="AK42" t="b">
        <v>1</v>
      </c>
      <c r="AL42">
        <v>11</v>
      </c>
      <c r="AN42" s="303"/>
      <c r="AO42" s="112"/>
    </row>
    <row r="43" spans="3:43" x14ac:dyDescent="0.25">
      <c r="C43">
        <v>38</v>
      </c>
      <c r="D43">
        <v>21.937000000000001</v>
      </c>
      <c r="E43">
        <v>3360000</v>
      </c>
      <c r="F43">
        <v>6.5263392773898437</v>
      </c>
      <c r="G43" t="b">
        <v>1</v>
      </c>
      <c r="H43">
        <v>30.3248</v>
      </c>
      <c r="I43">
        <v>21600</v>
      </c>
      <c r="J43">
        <v>4.3344537511509307</v>
      </c>
      <c r="K43" t="b">
        <v>1</v>
      </c>
      <c r="L43">
        <v>8</v>
      </c>
      <c r="Q43">
        <v>53</v>
      </c>
      <c r="R43">
        <v>18.347999999999999</v>
      </c>
      <c r="S43">
        <v>32700000</v>
      </c>
      <c r="T43">
        <v>7.5145477526602864</v>
      </c>
      <c r="U43" t="b">
        <v>1</v>
      </c>
      <c r="V43">
        <v>24.579000000000001</v>
      </c>
      <c r="W43">
        <v>736000</v>
      </c>
      <c r="X43">
        <v>5.8668778143374984</v>
      </c>
      <c r="Y43" t="b">
        <v>1</v>
      </c>
      <c r="Z43">
        <v>11</v>
      </c>
      <c r="AC43">
        <v>53</v>
      </c>
      <c r="AD43">
        <v>18.347999999999999</v>
      </c>
      <c r="AE43">
        <v>32700000</v>
      </c>
      <c r="AF43">
        <v>7.5145477526602864</v>
      </c>
      <c r="AG43" t="b">
        <v>1</v>
      </c>
      <c r="AH43">
        <v>24.579000000000001</v>
      </c>
      <c r="AI43">
        <v>736000</v>
      </c>
      <c r="AJ43">
        <v>5.8668778143374984</v>
      </c>
      <c r="AK43" t="b">
        <v>1</v>
      </c>
      <c r="AL43">
        <v>11</v>
      </c>
      <c r="AN43" s="304"/>
      <c r="AO43" s="114"/>
    </row>
    <row r="44" spans="3:43" x14ac:dyDescent="0.25">
      <c r="C44">
        <v>39</v>
      </c>
      <c r="D44">
        <v>18.496099999999998</v>
      </c>
      <c r="E44">
        <v>29800000</v>
      </c>
      <c r="F44">
        <v>7.4742162640762553</v>
      </c>
      <c r="G44" t="b">
        <v>1</v>
      </c>
      <c r="H44">
        <v>23.398399999999999</v>
      </c>
      <c r="I44">
        <v>1520000</v>
      </c>
      <c r="J44">
        <v>6.1818435879447726</v>
      </c>
      <c r="K44" t="b">
        <v>1</v>
      </c>
      <c r="L44">
        <v>14</v>
      </c>
      <c r="Q44">
        <v>54</v>
      </c>
      <c r="R44">
        <v>17.878699999999998</v>
      </c>
      <c r="S44">
        <v>44100000</v>
      </c>
      <c r="T44">
        <v>7.6444385894678382</v>
      </c>
      <c r="U44" t="b">
        <v>1</v>
      </c>
      <c r="V44">
        <v>26.066500000000001</v>
      </c>
      <c r="W44">
        <v>295000</v>
      </c>
      <c r="X44">
        <v>5.4698220159781634</v>
      </c>
      <c r="Y44" t="b">
        <v>1</v>
      </c>
      <c r="Z44">
        <v>11</v>
      </c>
      <c r="AC44">
        <v>54</v>
      </c>
      <c r="AD44">
        <v>17.878699999999998</v>
      </c>
      <c r="AE44">
        <v>44100000</v>
      </c>
      <c r="AF44">
        <v>7.6444385894678382</v>
      </c>
      <c r="AG44" t="b">
        <v>1</v>
      </c>
      <c r="AH44">
        <v>26.066500000000001</v>
      </c>
      <c r="AI44">
        <v>295000</v>
      </c>
      <c r="AJ44">
        <v>5.4698220159781634</v>
      </c>
      <c r="AK44" t="b">
        <v>1</v>
      </c>
      <c r="AL44">
        <v>11</v>
      </c>
      <c r="AN44" s="303"/>
      <c r="AO44" s="112"/>
    </row>
    <row r="45" spans="3:43" x14ac:dyDescent="0.25">
      <c r="C45">
        <v>40</v>
      </c>
      <c r="D45">
        <v>17.962900000000001</v>
      </c>
      <c r="E45">
        <v>41800000</v>
      </c>
      <c r="F45">
        <v>7.6211762817750355</v>
      </c>
      <c r="G45" t="b">
        <v>1</v>
      </c>
      <c r="H45">
        <v>26.0137</v>
      </c>
      <c r="I45">
        <v>305000</v>
      </c>
      <c r="J45">
        <v>5.4842998393467859</v>
      </c>
      <c r="K45" t="b">
        <v>1</v>
      </c>
      <c r="L45">
        <v>9</v>
      </c>
      <c r="Q45">
        <v>95</v>
      </c>
      <c r="R45">
        <v>34.114400000000003</v>
      </c>
      <c r="S45">
        <v>1480</v>
      </c>
      <c r="T45">
        <v>3.1702617153949575</v>
      </c>
      <c r="U45" t="b">
        <v>1</v>
      </c>
      <c r="V45">
        <v>35.134099999999997</v>
      </c>
      <c r="W45">
        <v>1120</v>
      </c>
      <c r="X45">
        <v>3.0492180226701815</v>
      </c>
      <c r="Y45" t="b">
        <v>1</v>
      </c>
      <c r="Z45">
        <v>11</v>
      </c>
      <c r="AC45">
        <v>95</v>
      </c>
      <c r="AD45">
        <v>34.114400000000003</v>
      </c>
      <c r="AE45">
        <v>1480</v>
      </c>
      <c r="AF45">
        <v>3.1702617153949575</v>
      </c>
      <c r="AG45" t="b">
        <v>1</v>
      </c>
      <c r="AH45">
        <v>35.134099999999997</v>
      </c>
      <c r="AI45">
        <v>1120</v>
      </c>
      <c r="AJ45">
        <v>3.0492180226701815</v>
      </c>
      <c r="AK45" t="b">
        <v>1</v>
      </c>
      <c r="AL45">
        <v>11</v>
      </c>
      <c r="AN45" s="304"/>
      <c r="AO45" s="114"/>
    </row>
    <row r="46" spans="3:43" x14ac:dyDescent="0.25">
      <c r="C46">
        <v>41</v>
      </c>
      <c r="D46">
        <v>22.693300000000001</v>
      </c>
      <c r="E46">
        <v>1320000</v>
      </c>
      <c r="F46">
        <v>6.1205739312058496</v>
      </c>
      <c r="G46" t="b">
        <v>1</v>
      </c>
      <c r="H46">
        <v>29.053899999999999</v>
      </c>
      <c r="I46">
        <v>47100</v>
      </c>
      <c r="J46">
        <v>4.6730209071288966</v>
      </c>
      <c r="K46" t="b">
        <v>1</v>
      </c>
      <c r="L46">
        <v>14</v>
      </c>
      <c r="Q46">
        <v>120</v>
      </c>
      <c r="R46">
        <v>20.340699999999998</v>
      </c>
      <c r="S46">
        <v>9240000</v>
      </c>
      <c r="T46">
        <v>6.9656719712201065</v>
      </c>
      <c r="U46" t="b">
        <v>1</v>
      </c>
      <c r="V46">
        <v>28.353899999999999</v>
      </c>
      <c r="W46">
        <v>72400</v>
      </c>
      <c r="X46">
        <v>4.8597385661971471</v>
      </c>
      <c r="Y46" t="b">
        <v>1</v>
      </c>
      <c r="Z46">
        <v>11</v>
      </c>
      <c r="AC46">
        <v>120</v>
      </c>
      <c r="AD46">
        <v>20.340699999999998</v>
      </c>
      <c r="AE46">
        <v>9240000</v>
      </c>
      <c r="AF46">
        <v>6.9656719712201065</v>
      </c>
      <c r="AG46" t="b">
        <v>1</v>
      </c>
      <c r="AH46">
        <v>28.353899999999999</v>
      </c>
      <c r="AI46">
        <v>72400</v>
      </c>
      <c r="AJ46">
        <v>4.8597385661971471</v>
      </c>
      <c r="AK46" t="b">
        <v>1</v>
      </c>
      <c r="AL46">
        <v>11</v>
      </c>
      <c r="AN46" s="303"/>
      <c r="AO46" s="112"/>
      <c r="AQ46" t="s">
        <v>158</v>
      </c>
    </row>
    <row r="47" spans="3:43" x14ac:dyDescent="0.25">
      <c r="C47">
        <v>42</v>
      </c>
      <c r="D47">
        <v>36.334699999999998</v>
      </c>
      <c r="E47">
        <v>362.19600000000003</v>
      </c>
      <c r="F47">
        <v>2.5589436497673272</v>
      </c>
      <c r="G47" t="b">
        <v>1</v>
      </c>
      <c r="H47" t="s">
        <v>47</v>
      </c>
      <c r="I47" t="s">
        <v>47</v>
      </c>
      <c r="J47" t="s">
        <v>18</v>
      </c>
      <c r="K47" t="s">
        <v>48</v>
      </c>
      <c r="L47">
        <v>14</v>
      </c>
      <c r="Q47">
        <v>39</v>
      </c>
      <c r="R47">
        <v>18.496099999999998</v>
      </c>
      <c r="S47">
        <v>29800000</v>
      </c>
      <c r="T47">
        <v>7.4742162640762553</v>
      </c>
      <c r="U47" t="b">
        <v>1</v>
      </c>
      <c r="V47">
        <v>23.398399999999999</v>
      </c>
      <c r="W47">
        <v>1520000</v>
      </c>
      <c r="X47">
        <v>6.1818435879447726</v>
      </c>
      <c r="Y47" t="b">
        <v>1</v>
      </c>
      <c r="Z47">
        <v>14</v>
      </c>
      <c r="AC47">
        <v>39</v>
      </c>
      <c r="AD47">
        <v>18.496099999999998</v>
      </c>
      <c r="AE47">
        <v>29800000</v>
      </c>
      <c r="AF47">
        <v>7.4742162640762553</v>
      </c>
      <c r="AG47" t="b">
        <v>1</v>
      </c>
      <c r="AH47">
        <v>23.398399999999999</v>
      </c>
      <c r="AI47">
        <v>1520000</v>
      </c>
      <c r="AJ47">
        <v>6.1818435879447726</v>
      </c>
      <c r="AK47" t="b">
        <v>1</v>
      </c>
      <c r="AL47">
        <v>14</v>
      </c>
      <c r="AN47" s="304"/>
      <c r="AO47" s="114"/>
    </row>
    <row r="48" spans="3:43" x14ac:dyDescent="0.25">
      <c r="C48">
        <v>43</v>
      </c>
      <c r="D48" t="s">
        <v>39</v>
      </c>
      <c r="E48">
        <v>0</v>
      </c>
      <c r="F48" t="s">
        <v>18</v>
      </c>
      <c r="G48" t="b">
        <v>0</v>
      </c>
      <c r="H48" t="s">
        <v>47</v>
      </c>
      <c r="I48" t="s">
        <v>47</v>
      </c>
      <c r="J48" t="s">
        <v>18</v>
      </c>
      <c r="K48" t="s">
        <v>48</v>
      </c>
      <c r="L48">
        <v>7</v>
      </c>
      <c r="Q48">
        <v>41</v>
      </c>
      <c r="R48">
        <v>22.693300000000001</v>
      </c>
      <c r="S48">
        <v>1320000</v>
      </c>
      <c r="T48">
        <v>6.1205739312058496</v>
      </c>
      <c r="U48" t="b">
        <v>1</v>
      </c>
      <c r="V48">
        <v>29.053899999999999</v>
      </c>
      <c r="W48">
        <v>47100</v>
      </c>
      <c r="X48">
        <v>4.6730209071288966</v>
      </c>
      <c r="Y48" t="b">
        <v>1</v>
      </c>
      <c r="Z48">
        <v>14</v>
      </c>
      <c r="AC48">
        <v>41</v>
      </c>
      <c r="AD48">
        <v>22.693300000000001</v>
      </c>
      <c r="AE48">
        <v>1320000</v>
      </c>
      <c r="AF48">
        <v>6.1205739312058496</v>
      </c>
      <c r="AG48" t="b">
        <v>1</v>
      </c>
      <c r="AH48">
        <v>29.053899999999999</v>
      </c>
      <c r="AI48">
        <v>47100</v>
      </c>
      <c r="AJ48">
        <v>4.6730209071288966</v>
      </c>
      <c r="AK48" t="b">
        <v>1</v>
      </c>
      <c r="AL48">
        <v>14</v>
      </c>
      <c r="AN48" s="303"/>
      <c r="AO48" s="112"/>
    </row>
    <row r="49" spans="3:41" x14ac:dyDescent="0.25">
      <c r="C49">
        <v>44</v>
      </c>
      <c r="D49">
        <v>21.9145</v>
      </c>
      <c r="E49">
        <v>3410000</v>
      </c>
      <c r="F49">
        <v>6.5327543789924976</v>
      </c>
      <c r="G49" t="b">
        <v>1</v>
      </c>
      <c r="H49">
        <v>30.601500000000001</v>
      </c>
      <c r="I49">
        <v>18200</v>
      </c>
      <c r="J49">
        <v>4.2600713879850751</v>
      </c>
      <c r="K49" t="b">
        <v>1</v>
      </c>
      <c r="L49">
        <v>10</v>
      </c>
      <c r="Q49">
        <v>51</v>
      </c>
      <c r="R49">
        <v>18.267700000000001</v>
      </c>
      <c r="S49">
        <v>34400000</v>
      </c>
      <c r="T49">
        <v>7.53655844257153</v>
      </c>
      <c r="U49" t="b">
        <v>1</v>
      </c>
      <c r="V49">
        <v>24.5946</v>
      </c>
      <c r="W49">
        <v>729000</v>
      </c>
      <c r="X49">
        <v>5.8627275283179747</v>
      </c>
      <c r="Y49" t="b">
        <v>1</v>
      </c>
      <c r="Z49">
        <v>14</v>
      </c>
      <c r="AC49">
        <v>51</v>
      </c>
      <c r="AD49">
        <v>18.267700000000001</v>
      </c>
      <c r="AE49">
        <v>34400000</v>
      </c>
      <c r="AF49">
        <v>7.53655844257153</v>
      </c>
      <c r="AG49" t="b">
        <v>1</v>
      </c>
      <c r="AH49">
        <v>24.5946</v>
      </c>
      <c r="AI49">
        <v>729000</v>
      </c>
      <c r="AJ49">
        <v>5.8627275283179747</v>
      </c>
      <c r="AK49" t="b">
        <v>1</v>
      </c>
      <c r="AL49">
        <v>14</v>
      </c>
      <c r="AN49" s="304"/>
      <c r="AO49" s="114"/>
    </row>
    <row r="50" spans="3:41" x14ac:dyDescent="0.25">
      <c r="C50">
        <v>45</v>
      </c>
      <c r="D50">
        <v>21.621099999999998</v>
      </c>
      <c r="E50">
        <v>4100000</v>
      </c>
      <c r="F50">
        <v>6.6127838567197355</v>
      </c>
      <c r="G50" t="b">
        <v>1</v>
      </c>
      <c r="H50">
        <v>31.875599999999999</v>
      </c>
      <c r="I50">
        <v>8320</v>
      </c>
      <c r="J50">
        <v>3.920123326290724</v>
      </c>
      <c r="K50" t="b">
        <v>1</v>
      </c>
      <c r="L50">
        <v>7</v>
      </c>
      <c r="Q50">
        <v>81</v>
      </c>
      <c r="R50">
        <v>17.810099999999998</v>
      </c>
      <c r="S50">
        <v>46000000</v>
      </c>
      <c r="T50">
        <v>7.6627578316815743</v>
      </c>
      <c r="U50" t="b">
        <v>1</v>
      </c>
      <c r="V50">
        <v>25.570799999999998</v>
      </c>
      <c r="W50">
        <v>400000</v>
      </c>
      <c r="X50">
        <v>5.6020599913279625</v>
      </c>
      <c r="Y50" t="b">
        <v>1</v>
      </c>
      <c r="Z50">
        <v>14</v>
      </c>
      <c r="AC50">
        <v>81</v>
      </c>
      <c r="AD50">
        <v>17.810099999999998</v>
      </c>
      <c r="AE50">
        <v>46000000</v>
      </c>
      <c r="AF50">
        <v>7.6627578316815743</v>
      </c>
      <c r="AG50" t="b">
        <v>1</v>
      </c>
      <c r="AH50">
        <v>25.570799999999998</v>
      </c>
      <c r="AI50">
        <v>400000</v>
      </c>
      <c r="AJ50">
        <v>5.6020599913279625</v>
      </c>
      <c r="AK50" t="b">
        <v>1</v>
      </c>
      <c r="AL50">
        <v>14</v>
      </c>
      <c r="AN50" s="303"/>
      <c r="AO50" s="112"/>
    </row>
    <row r="51" spans="3:41" x14ac:dyDescent="0.25">
      <c r="C51">
        <v>46</v>
      </c>
      <c r="D51" t="s">
        <v>39</v>
      </c>
      <c r="E51">
        <v>0</v>
      </c>
      <c r="F51" t="s">
        <v>18</v>
      </c>
      <c r="G51" t="b">
        <v>0</v>
      </c>
      <c r="H51" t="s">
        <v>47</v>
      </c>
      <c r="I51" t="s">
        <v>47</v>
      </c>
      <c r="J51" t="s">
        <v>18</v>
      </c>
      <c r="K51" t="s">
        <v>48</v>
      </c>
      <c r="L51">
        <v>7</v>
      </c>
      <c r="Q51">
        <v>89</v>
      </c>
      <c r="R51">
        <v>21.2531</v>
      </c>
      <c r="S51">
        <v>2800000</v>
      </c>
      <c r="T51">
        <v>6.4471580313422194</v>
      </c>
      <c r="U51" t="b">
        <v>1</v>
      </c>
      <c r="V51">
        <v>24.519200000000001</v>
      </c>
      <c r="W51">
        <v>763000</v>
      </c>
      <c r="X51">
        <v>5.8825245379548807</v>
      </c>
      <c r="Y51" t="b">
        <v>1</v>
      </c>
      <c r="Z51">
        <v>14</v>
      </c>
      <c r="AC51">
        <v>89</v>
      </c>
      <c r="AD51">
        <v>21.2531</v>
      </c>
      <c r="AE51">
        <v>2800000</v>
      </c>
      <c r="AF51">
        <v>6.4471580313422194</v>
      </c>
      <c r="AG51" t="b">
        <v>1</v>
      </c>
      <c r="AH51">
        <v>24.519200000000001</v>
      </c>
      <c r="AI51">
        <v>763000</v>
      </c>
      <c r="AJ51">
        <v>5.8825245379548807</v>
      </c>
      <c r="AK51" t="b">
        <v>1</v>
      </c>
      <c r="AL51">
        <v>14</v>
      </c>
      <c r="AN51" s="304"/>
      <c r="AO51" s="114"/>
    </row>
    <row r="52" spans="3:41" x14ac:dyDescent="0.25">
      <c r="C52">
        <v>47</v>
      </c>
      <c r="D52">
        <v>39.023299999999999</v>
      </c>
      <c r="E52">
        <v>65.791899999999998</v>
      </c>
      <c r="F52">
        <v>1.818172428540378</v>
      </c>
      <c r="G52" t="b">
        <v>0</v>
      </c>
      <c r="H52" t="s">
        <v>47</v>
      </c>
      <c r="I52" t="s">
        <v>47</v>
      </c>
      <c r="J52" t="s">
        <v>18</v>
      </c>
      <c r="K52" t="s">
        <v>48</v>
      </c>
      <c r="L52">
        <v>8</v>
      </c>
      <c r="Q52">
        <v>92</v>
      </c>
      <c r="R52">
        <v>21.093900000000001</v>
      </c>
      <c r="S52">
        <v>3040000</v>
      </c>
      <c r="T52">
        <v>6.4828735836087539</v>
      </c>
      <c r="U52" t="b">
        <v>1</v>
      </c>
      <c r="V52">
        <v>23.229500000000002</v>
      </c>
      <c r="W52">
        <v>1690000</v>
      </c>
      <c r="X52">
        <v>6.2278867046136739</v>
      </c>
      <c r="Y52" t="b">
        <v>1</v>
      </c>
      <c r="Z52">
        <v>14</v>
      </c>
      <c r="AC52">
        <v>92</v>
      </c>
      <c r="AD52">
        <v>21.093900000000001</v>
      </c>
      <c r="AE52">
        <v>3040000</v>
      </c>
      <c r="AF52">
        <v>6.4828735836087539</v>
      </c>
      <c r="AG52" t="b">
        <v>1</v>
      </c>
      <c r="AH52">
        <v>23.229500000000002</v>
      </c>
      <c r="AI52">
        <v>1690000</v>
      </c>
      <c r="AJ52">
        <v>6.2278867046136739</v>
      </c>
      <c r="AK52" t="b">
        <v>1</v>
      </c>
      <c r="AL52">
        <v>14</v>
      </c>
      <c r="AN52" s="303"/>
      <c r="AO52" s="112"/>
    </row>
    <row r="53" spans="3:41" x14ac:dyDescent="0.25">
      <c r="C53">
        <v>48</v>
      </c>
      <c r="D53">
        <v>25.083400000000001</v>
      </c>
      <c r="E53">
        <v>456000</v>
      </c>
      <c r="F53">
        <v>5.6589648426644352</v>
      </c>
      <c r="G53" t="b">
        <v>1</v>
      </c>
      <c r="H53">
        <v>38.492199999999997</v>
      </c>
      <c r="I53">
        <v>142.827</v>
      </c>
      <c r="J53">
        <v>2.154810314181089</v>
      </c>
      <c r="K53" t="b">
        <v>1</v>
      </c>
      <c r="L53">
        <v>9</v>
      </c>
      <c r="Q53">
        <v>97</v>
      </c>
      <c r="R53">
        <v>18.7425</v>
      </c>
      <c r="S53">
        <v>10400000</v>
      </c>
      <c r="T53">
        <v>7.0170333392987807</v>
      </c>
      <c r="U53" t="b">
        <v>1</v>
      </c>
      <c r="V53">
        <v>23.745699999999999</v>
      </c>
      <c r="W53">
        <v>1230000</v>
      </c>
      <c r="X53">
        <v>6.0899051114393981</v>
      </c>
      <c r="Y53" t="b">
        <v>1</v>
      </c>
      <c r="Z53">
        <v>14</v>
      </c>
      <c r="AC53">
        <v>97</v>
      </c>
      <c r="AD53">
        <v>18.7425</v>
      </c>
      <c r="AE53">
        <v>10400000</v>
      </c>
      <c r="AF53">
        <v>7.0170333392987807</v>
      </c>
      <c r="AG53" t="b">
        <v>1</v>
      </c>
      <c r="AH53">
        <v>23.745699999999999</v>
      </c>
      <c r="AI53">
        <v>1230000</v>
      </c>
      <c r="AJ53">
        <v>6.0899051114393981</v>
      </c>
      <c r="AK53" t="b">
        <v>1</v>
      </c>
      <c r="AL53">
        <v>14</v>
      </c>
      <c r="AN53" s="304"/>
      <c r="AO53" s="114"/>
    </row>
    <row r="54" spans="3:41" x14ac:dyDescent="0.25">
      <c r="C54">
        <v>49</v>
      </c>
      <c r="D54">
        <v>39.152999999999999</v>
      </c>
      <c r="E54">
        <v>242.13900000000001</v>
      </c>
      <c r="F54">
        <v>2.3840647445045464</v>
      </c>
      <c r="G54" t="b">
        <v>1</v>
      </c>
      <c r="H54" t="s">
        <v>47</v>
      </c>
      <c r="I54" t="s">
        <v>47</v>
      </c>
      <c r="J54" t="s">
        <v>18</v>
      </c>
      <c r="K54" t="s">
        <v>48</v>
      </c>
      <c r="L54">
        <v>15</v>
      </c>
      <c r="Q54">
        <v>100</v>
      </c>
      <c r="R54">
        <v>20.6815</v>
      </c>
      <c r="S54">
        <v>3770000</v>
      </c>
      <c r="T54">
        <v>6.5763413502057926</v>
      </c>
      <c r="U54" t="b">
        <v>1</v>
      </c>
      <c r="V54">
        <v>26.3825</v>
      </c>
      <c r="W54">
        <v>243000</v>
      </c>
      <c r="X54">
        <v>5.3856062735983121</v>
      </c>
      <c r="Y54" t="b">
        <v>1</v>
      </c>
      <c r="Z54">
        <v>14</v>
      </c>
      <c r="AC54">
        <v>100</v>
      </c>
      <c r="AD54">
        <v>20.6815</v>
      </c>
      <c r="AE54">
        <v>3770000</v>
      </c>
      <c r="AF54">
        <v>6.5763413502057926</v>
      </c>
      <c r="AG54" t="b">
        <v>1</v>
      </c>
      <c r="AH54">
        <v>26.3825</v>
      </c>
      <c r="AI54">
        <v>243000</v>
      </c>
      <c r="AJ54">
        <v>5.3856062735983121</v>
      </c>
      <c r="AK54" t="b">
        <v>1</v>
      </c>
      <c r="AL54">
        <v>14</v>
      </c>
      <c r="AN54" s="303"/>
      <c r="AO54" s="112"/>
    </row>
    <row r="55" spans="3:41" x14ac:dyDescent="0.25">
      <c r="C55">
        <v>50</v>
      </c>
      <c r="D55">
        <v>19.634599999999999</v>
      </c>
      <c r="E55">
        <v>6520000</v>
      </c>
      <c r="F55">
        <v>6.8142475957319206</v>
      </c>
      <c r="G55" t="b">
        <v>1</v>
      </c>
      <c r="H55">
        <v>23.655999999999999</v>
      </c>
      <c r="I55">
        <v>1300000</v>
      </c>
      <c r="J55">
        <v>6.1139433523068369</v>
      </c>
      <c r="K55" t="b">
        <v>1</v>
      </c>
      <c r="L55">
        <v>15</v>
      </c>
      <c r="Q55">
        <v>106</v>
      </c>
      <c r="R55">
        <v>22.2089</v>
      </c>
      <c r="S55">
        <v>1700000</v>
      </c>
      <c r="T55">
        <v>6.2304489213782741</v>
      </c>
      <c r="U55" t="b">
        <v>1</v>
      </c>
      <c r="V55">
        <v>25.398099999999999</v>
      </c>
      <c r="W55">
        <v>445000</v>
      </c>
      <c r="X55">
        <v>5.648360010980932</v>
      </c>
      <c r="Y55" t="b">
        <v>1</v>
      </c>
      <c r="Z55">
        <v>14</v>
      </c>
      <c r="AC55">
        <v>106</v>
      </c>
      <c r="AD55">
        <v>22.2089</v>
      </c>
      <c r="AE55">
        <v>1700000</v>
      </c>
      <c r="AF55">
        <v>6.2304489213782741</v>
      </c>
      <c r="AG55" t="b">
        <v>1</v>
      </c>
      <c r="AH55">
        <v>25.398099999999999</v>
      </c>
      <c r="AI55">
        <v>445000</v>
      </c>
      <c r="AJ55">
        <v>5.648360010980932</v>
      </c>
      <c r="AK55" t="b">
        <v>1</v>
      </c>
      <c r="AL55">
        <v>14</v>
      </c>
      <c r="AN55" s="304"/>
      <c r="AO55" s="114"/>
    </row>
    <row r="56" spans="3:41" x14ac:dyDescent="0.25">
      <c r="C56">
        <v>51</v>
      </c>
      <c r="D56">
        <v>18.267700000000001</v>
      </c>
      <c r="E56">
        <v>34400000</v>
      </c>
      <c r="F56">
        <v>7.53655844257153</v>
      </c>
      <c r="G56" t="b">
        <v>1</v>
      </c>
      <c r="H56">
        <v>24.5946</v>
      </c>
      <c r="I56">
        <v>729000</v>
      </c>
      <c r="J56">
        <v>5.8627275283179747</v>
      </c>
      <c r="K56" t="b">
        <v>1</v>
      </c>
      <c r="L56">
        <v>14</v>
      </c>
      <c r="Q56">
        <v>112</v>
      </c>
      <c r="R56">
        <v>20.389399999999998</v>
      </c>
      <c r="S56">
        <v>4400000</v>
      </c>
      <c r="T56">
        <v>6.6434526764861879</v>
      </c>
      <c r="U56" t="b">
        <v>1</v>
      </c>
      <c r="V56">
        <v>25.028300000000002</v>
      </c>
      <c r="W56">
        <v>558000</v>
      </c>
      <c r="X56">
        <v>5.7466341989375787</v>
      </c>
      <c r="Y56" t="b">
        <v>1</v>
      </c>
      <c r="Z56">
        <v>14</v>
      </c>
      <c r="AC56">
        <v>112</v>
      </c>
      <c r="AD56">
        <v>20.389399999999998</v>
      </c>
      <c r="AE56">
        <v>4400000</v>
      </c>
      <c r="AF56">
        <v>6.6434526764861879</v>
      </c>
      <c r="AG56" t="b">
        <v>1</v>
      </c>
      <c r="AH56">
        <v>25.028300000000002</v>
      </c>
      <c r="AI56">
        <v>558000</v>
      </c>
      <c r="AJ56">
        <v>5.7466341989375787</v>
      </c>
      <c r="AK56" t="b">
        <v>1</v>
      </c>
      <c r="AL56">
        <v>14</v>
      </c>
      <c r="AN56" s="303"/>
      <c r="AO56" s="112"/>
    </row>
    <row r="57" spans="3:41" x14ac:dyDescent="0.25">
      <c r="C57">
        <v>52</v>
      </c>
      <c r="D57">
        <v>20.899699999999999</v>
      </c>
      <c r="E57">
        <v>6480000</v>
      </c>
      <c r="F57">
        <v>6.8115750058705933</v>
      </c>
      <c r="G57" t="b">
        <v>1</v>
      </c>
      <c r="H57">
        <v>28.3399</v>
      </c>
      <c r="I57">
        <v>73000</v>
      </c>
      <c r="J57">
        <v>4.8633228601204559</v>
      </c>
      <c r="K57" t="b">
        <v>1</v>
      </c>
      <c r="L57">
        <v>9</v>
      </c>
      <c r="Q57">
        <v>116</v>
      </c>
      <c r="R57">
        <v>22.186399999999999</v>
      </c>
      <c r="S57">
        <v>1720000</v>
      </c>
      <c r="T57">
        <v>6.2355284469075487</v>
      </c>
      <c r="U57" t="b">
        <v>1</v>
      </c>
      <c r="V57">
        <v>28.317399999999999</v>
      </c>
      <c r="W57">
        <v>74000</v>
      </c>
      <c r="X57">
        <v>4.8692317197309762</v>
      </c>
      <c r="Y57" t="b">
        <v>1</v>
      </c>
      <c r="Z57">
        <v>14</v>
      </c>
      <c r="AC57">
        <v>116</v>
      </c>
      <c r="AD57">
        <v>22.186399999999999</v>
      </c>
      <c r="AE57">
        <v>1720000</v>
      </c>
      <c r="AF57">
        <v>6.2355284469075487</v>
      </c>
      <c r="AG57" t="b">
        <v>1</v>
      </c>
      <c r="AH57">
        <v>28.317399999999999</v>
      </c>
      <c r="AI57">
        <v>74000</v>
      </c>
      <c r="AJ57">
        <v>4.8692317197309762</v>
      </c>
      <c r="AK57" t="b">
        <v>1</v>
      </c>
      <c r="AL57">
        <v>14</v>
      </c>
      <c r="AN57" s="304"/>
      <c r="AO57" s="114"/>
    </row>
    <row r="58" spans="3:41" x14ac:dyDescent="0.25">
      <c r="C58">
        <v>53</v>
      </c>
      <c r="D58">
        <v>18.347999999999999</v>
      </c>
      <c r="E58">
        <v>32700000</v>
      </c>
      <c r="F58">
        <v>7.5145477526602864</v>
      </c>
      <c r="G58" t="b">
        <v>1</v>
      </c>
      <c r="H58">
        <v>24.579000000000001</v>
      </c>
      <c r="I58">
        <v>736000</v>
      </c>
      <c r="J58">
        <v>5.8668778143374984</v>
      </c>
      <c r="K58" t="b">
        <v>1</v>
      </c>
      <c r="L58">
        <v>11</v>
      </c>
      <c r="Q58">
        <v>15</v>
      </c>
      <c r="R58">
        <v>20.068000000000001</v>
      </c>
      <c r="S58">
        <v>5200000</v>
      </c>
      <c r="T58">
        <v>6.7160033436347994</v>
      </c>
      <c r="U58" t="b">
        <v>1</v>
      </c>
      <c r="V58">
        <v>23.712800000000001</v>
      </c>
      <c r="W58">
        <v>1250000</v>
      </c>
      <c r="X58">
        <v>6.0969100130080562</v>
      </c>
      <c r="Y58" t="b">
        <v>1</v>
      </c>
      <c r="Z58">
        <v>15</v>
      </c>
      <c r="AC58">
        <v>15</v>
      </c>
      <c r="AD58">
        <v>20.068000000000001</v>
      </c>
      <c r="AE58">
        <v>5200000</v>
      </c>
      <c r="AF58">
        <v>6.7160033436347994</v>
      </c>
      <c r="AG58" t="b">
        <v>1</v>
      </c>
      <c r="AH58">
        <v>23.712800000000001</v>
      </c>
      <c r="AI58">
        <v>1250000</v>
      </c>
      <c r="AJ58">
        <v>6.0969100130080562</v>
      </c>
      <c r="AK58" t="b">
        <v>1</v>
      </c>
      <c r="AL58">
        <v>15</v>
      </c>
      <c r="AN58" s="303"/>
      <c r="AO58" s="112"/>
    </row>
    <row r="59" spans="3:41" x14ac:dyDescent="0.25">
      <c r="C59">
        <v>54</v>
      </c>
      <c r="D59">
        <v>17.878699999999998</v>
      </c>
      <c r="E59">
        <v>44100000</v>
      </c>
      <c r="F59">
        <v>7.6444385894678382</v>
      </c>
      <c r="G59" t="b">
        <v>1</v>
      </c>
      <c r="H59">
        <v>26.066500000000001</v>
      </c>
      <c r="I59">
        <v>295000</v>
      </c>
      <c r="J59">
        <v>5.4698220159781634</v>
      </c>
      <c r="K59" t="b">
        <v>1</v>
      </c>
      <c r="L59">
        <v>11</v>
      </c>
      <c r="Q59">
        <v>50</v>
      </c>
      <c r="R59">
        <v>19.634599999999999</v>
      </c>
      <c r="S59">
        <v>6520000</v>
      </c>
      <c r="T59">
        <v>6.8142475957319206</v>
      </c>
      <c r="U59" t="b">
        <v>1</v>
      </c>
      <c r="V59">
        <v>23.655999999999999</v>
      </c>
      <c r="W59">
        <v>1300000</v>
      </c>
      <c r="X59">
        <v>6.1139433523068369</v>
      </c>
      <c r="Y59" t="b">
        <v>1</v>
      </c>
      <c r="Z59">
        <v>15</v>
      </c>
      <c r="AC59">
        <v>50</v>
      </c>
      <c r="AD59">
        <v>19.634599999999999</v>
      </c>
      <c r="AE59">
        <v>6520000</v>
      </c>
      <c r="AF59">
        <v>6.8142475957319206</v>
      </c>
      <c r="AG59" t="b">
        <v>1</v>
      </c>
      <c r="AH59">
        <v>23.655999999999999</v>
      </c>
      <c r="AI59">
        <v>1300000</v>
      </c>
      <c r="AJ59">
        <v>6.1139433523068369</v>
      </c>
      <c r="AK59" t="b">
        <v>1</v>
      </c>
      <c r="AL59">
        <v>15</v>
      </c>
      <c r="AN59" s="304"/>
      <c r="AO59" s="114"/>
    </row>
    <row r="60" spans="3:41" x14ac:dyDescent="0.25">
      <c r="C60">
        <v>55</v>
      </c>
      <c r="D60" t="s">
        <v>39</v>
      </c>
      <c r="E60">
        <v>0</v>
      </c>
      <c r="F60" t="s">
        <v>18</v>
      </c>
      <c r="G60" t="b">
        <v>0</v>
      </c>
      <c r="H60" t="s">
        <v>47</v>
      </c>
      <c r="I60" t="s">
        <v>47</v>
      </c>
      <c r="J60" t="s">
        <v>18</v>
      </c>
      <c r="K60" t="s">
        <v>48</v>
      </c>
      <c r="L60">
        <v>11</v>
      </c>
      <c r="Q60">
        <v>21</v>
      </c>
      <c r="R60">
        <v>20.840199999999999</v>
      </c>
      <c r="S60">
        <v>3470000</v>
      </c>
      <c r="T60">
        <v>6.540329474790874</v>
      </c>
      <c r="U60" t="b">
        <v>1</v>
      </c>
      <c r="V60">
        <v>23.913799999999998</v>
      </c>
      <c r="W60">
        <v>1110000</v>
      </c>
      <c r="X60">
        <v>6.0453229787866576</v>
      </c>
      <c r="Y60" t="b">
        <v>1</v>
      </c>
      <c r="Z60">
        <v>16</v>
      </c>
      <c r="AC60">
        <v>21</v>
      </c>
      <c r="AD60">
        <v>20.840199999999999</v>
      </c>
      <c r="AE60">
        <v>3470000</v>
      </c>
      <c r="AF60">
        <v>6.540329474790874</v>
      </c>
      <c r="AG60" t="b">
        <v>1</v>
      </c>
      <c r="AH60">
        <v>23.913799999999998</v>
      </c>
      <c r="AI60">
        <v>1110000</v>
      </c>
      <c r="AJ60">
        <v>6.0453229787866576</v>
      </c>
      <c r="AK60" t="b">
        <v>1</v>
      </c>
      <c r="AL60">
        <v>16</v>
      </c>
      <c r="AN60" s="303"/>
      <c r="AO60" s="112"/>
    </row>
    <row r="61" spans="3:41" x14ac:dyDescent="0.25">
      <c r="C61">
        <v>56</v>
      </c>
      <c r="D61">
        <v>36.215600000000002</v>
      </c>
      <c r="E61">
        <v>390.62700000000001</v>
      </c>
      <c r="F61">
        <v>2.5917622582702053</v>
      </c>
      <c r="G61" t="b">
        <v>1</v>
      </c>
      <c r="H61" t="s">
        <v>47</v>
      </c>
      <c r="I61" t="s">
        <v>47</v>
      </c>
      <c r="J61" t="s">
        <v>18</v>
      </c>
      <c r="K61" t="s">
        <v>48</v>
      </c>
      <c r="L61">
        <v>14</v>
      </c>
      <c r="Q61">
        <v>102</v>
      </c>
      <c r="R61">
        <v>21.035399999999999</v>
      </c>
      <c r="S61">
        <v>3140000</v>
      </c>
      <c r="T61">
        <v>6.4969296480732153</v>
      </c>
      <c r="U61" t="b">
        <v>1</v>
      </c>
      <c r="V61">
        <v>25.224299999999999</v>
      </c>
      <c r="W61">
        <v>495000</v>
      </c>
      <c r="X61">
        <v>5.6946051989335684</v>
      </c>
      <c r="Y61" t="b">
        <v>1</v>
      </c>
      <c r="Z61">
        <v>16</v>
      </c>
      <c r="AC61">
        <v>102</v>
      </c>
      <c r="AD61">
        <v>21.035399999999999</v>
      </c>
      <c r="AE61">
        <v>3140000</v>
      </c>
      <c r="AF61">
        <v>6.4969296480732153</v>
      </c>
      <c r="AG61" t="b">
        <v>1</v>
      </c>
      <c r="AH61">
        <v>25.224299999999999</v>
      </c>
      <c r="AI61">
        <v>495000</v>
      </c>
      <c r="AJ61">
        <v>5.6946051989335684</v>
      </c>
      <c r="AK61" t="b">
        <v>1</v>
      </c>
      <c r="AL61">
        <v>16</v>
      </c>
      <c r="AN61" s="304"/>
      <c r="AO61" s="114"/>
    </row>
    <row r="62" spans="3:41" x14ac:dyDescent="0.25">
      <c r="C62">
        <v>57</v>
      </c>
      <c r="D62">
        <v>38.614100000000001</v>
      </c>
      <c r="E62">
        <v>85.293199999999999</v>
      </c>
      <c r="F62">
        <v>1.930914408421968</v>
      </c>
      <c r="G62" t="b">
        <v>0</v>
      </c>
      <c r="H62" t="s">
        <v>47</v>
      </c>
      <c r="I62" t="s">
        <v>47</v>
      </c>
      <c r="J62" t="s">
        <v>18</v>
      </c>
      <c r="K62" t="s">
        <v>48</v>
      </c>
      <c r="L62">
        <v>8</v>
      </c>
      <c r="Q62">
        <v>117</v>
      </c>
      <c r="R62">
        <v>21.201699999999999</v>
      </c>
      <c r="S62">
        <v>2870000</v>
      </c>
      <c r="T62">
        <v>6.4578818967339924</v>
      </c>
      <c r="U62" t="b">
        <v>1</v>
      </c>
      <c r="V62">
        <v>23.2028</v>
      </c>
      <c r="W62">
        <v>1710000</v>
      </c>
      <c r="X62">
        <v>6.2329961103921541</v>
      </c>
      <c r="Y62" t="b">
        <v>1</v>
      </c>
      <c r="Z62">
        <v>16</v>
      </c>
      <c r="AC62">
        <v>117</v>
      </c>
      <c r="AD62">
        <v>21.201699999999999</v>
      </c>
      <c r="AE62">
        <v>2870000</v>
      </c>
      <c r="AF62">
        <v>6.4578818967339924</v>
      </c>
      <c r="AG62" t="b">
        <v>1</v>
      </c>
      <c r="AH62">
        <v>23.2028</v>
      </c>
      <c r="AI62">
        <v>1710000</v>
      </c>
      <c r="AJ62">
        <v>6.2329961103921541</v>
      </c>
      <c r="AK62" t="b">
        <v>1</v>
      </c>
      <c r="AL62">
        <v>16</v>
      </c>
      <c r="AN62" s="303"/>
      <c r="AO62" s="112"/>
    </row>
    <row r="63" spans="3:41" x14ac:dyDescent="0.25">
      <c r="C63">
        <v>58</v>
      </c>
      <c r="D63" t="s">
        <v>39</v>
      </c>
      <c r="E63">
        <v>0</v>
      </c>
      <c r="F63" t="s">
        <v>18</v>
      </c>
      <c r="G63" t="b">
        <v>0</v>
      </c>
      <c r="H63" t="s">
        <v>47</v>
      </c>
      <c r="I63" t="s">
        <v>47</v>
      </c>
      <c r="J63" t="s">
        <v>18</v>
      </c>
      <c r="K63" t="s">
        <v>48</v>
      </c>
      <c r="L63">
        <v>14</v>
      </c>
      <c r="Q63">
        <v>119</v>
      </c>
      <c r="R63">
        <v>21.784800000000001</v>
      </c>
      <c r="S63">
        <v>2120000</v>
      </c>
      <c r="T63">
        <v>6.3263358609287517</v>
      </c>
      <c r="U63" t="b">
        <v>1</v>
      </c>
      <c r="V63">
        <v>24.0916</v>
      </c>
      <c r="W63">
        <v>992000</v>
      </c>
      <c r="X63">
        <v>5.9965116721541785</v>
      </c>
      <c r="Y63" t="b">
        <v>1</v>
      </c>
      <c r="Z63">
        <v>16</v>
      </c>
      <c r="AC63">
        <v>119</v>
      </c>
      <c r="AD63">
        <v>21.784800000000001</v>
      </c>
      <c r="AE63">
        <v>2120000</v>
      </c>
      <c r="AF63">
        <v>6.3263358609287517</v>
      </c>
      <c r="AG63" t="b">
        <v>1</v>
      </c>
      <c r="AH63">
        <v>24.0916</v>
      </c>
      <c r="AI63">
        <v>992000</v>
      </c>
      <c r="AJ63">
        <v>5.9965116721541785</v>
      </c>
      <c r="AK63" t="b">
        <v>1</v>
      </c>
      <c r="AL63">
        <v>16</v>
      </c>
      <c r="AN63" s="304"/>
      <c r="AO63" s="114"/>
    </row>
    <row r="64" spans="3:41" x14ac:dyDescent="0.25">
      <c r="C64">
        <v>59</v>
      </c>
      <c r="D64">
        <v>34.386200000000002</v>
      </c>
      <c r="E64">
        <v>1250</v>
      </c>
      <c r="F64">
        <v>3.0969100130080562</v>
      </c>
      <c r="G64" t="b">
        <v>1</v>
      </c>
      <c r="H64">
        <v>38.987699999999997</v>
      </c>
      <c r="I64">
        <v>105.345</v>
      </c>
      <c r="J64">
        <v>2.0226139274719679</v>
      </c>
      <c r="K64" t="b">
        <v>1</v>
      </c>
      <c r="L64">
        <v>7</v>
      </c>
      <c r="Q64">
        <v>18</v>
      </c>
      <c r="R64">
        <v>18.452300000000001</v>
      </c>
      <c r="S64">
        <v>12100000</v>
      </c>
      <c r="T64">
        <v>7.0827853703164498</v>
      </c>
      <c r="U64" t="b">
        <v>1</v>
      </c>
      <c r="V64">
        <v>23.166699999999999</v>
      </c>
      <c r="W64">
        <v>1750000</v>
      </c>
      <c r="X64">
        <v>6.2430380486862944</v>
      </c>
      <c r="Y64" t="b">
        <v>1</v>
      </c>
      <c r="Z64">
        <v>18</v>
      </c>
      <c r="AC64">
        <v>18</v>
      </c>
      <c r="AD64">
        <v>18.452300000000001</v>
      </c>
      <c r="AE64">
        <v>12100000</v>
      </c>
      <c r="AF64">
        <v>7.0827853703164498</v>
      </c>
      <c r="AG64" t="b">
        <v>1</v>
      </c>
      <c r="AH64">
        <v>23.166699999999999</v>
      </c>
      <c r="AI64">
        <v>1750000</v>
      </c>
      <c r="AJ64">
        <v>6.2430380486862944</v>
      </c>
      <c r="AK64" t="b">
        <v>1</v>
      </c>
      <c r="AL64">
        <v>18</v>
      </c>
      <c r="AN64" s="303"/>
      <c r="AO64" s="112"/>
    </row>
    <row r="65" spans="3:41" x14ac:dyDescent="0.25">
      <c r="C65">
        <v>60</v>
      </c>
      <c r="D65" t="s">
        <v>39</v>
      </c>
      <c r="E65">
        <v>0</v>
      </c>
      <c r="F65" t="s">
        <v>18</v>
      </c>
      <c r="G65" t="b">
        <v>0</v>
      </c>
      <c r="H65" t="s">
        <v>47</v>
      </c>
      <c r="I65" t="s">
        <v>47</v>
      </c>
      <c r="J65" t="s">
        <v>18</v>
      </c>
      <c r="K65" t="s">
        <v>48</v>
      </c>
      <c r="L65">
        <v>11</v>
      </c>
      <c r="Q65">
        <v>25</v>
      </c>
      <c r="R65">
        <v>21.2212</v>
      </c>
      <c r="S65">
        <v>2850000</v>
      </c>
      <c r="T65">
        <v>6.4548448600085102</v>
      </c>
      <c r="U65" t="b">
        <v>1</v>
      </c>
      <c r="V65">
        <v>24.2971</v>
      </c>
      <c r="W65">
        <v>875000</v>
      </c>
      <c r="X65">
        <v>5.9420080530223132</v>
      </c>
      <c r="Y65" t="b">
        <v>1</v>
      </c>
      <c r="Z65">
        <v>18</v>
      </c>
      <c r="AC65">
        <v>25</v>
      </c>
      <c r="AD65">
        <v>21.2212</v>
      </c>
      <c r="AE65">
        <v>2850000</v>
      </c>
      <c r="AF65">
        <v>6.4548448600085102</v>
      </c>
      <c r="AG65" t="b">
        <v>1</v>
      </c>
      <c r="AH65">
        <v>24.2971</v>
      </c>
      <c r="AI65">
        <v>875000</v>
      </c>
      <c r="AJ65">
        <v>5.9420080530223132</v>
      </c>
      <c r="AK65" t="b">
        <v>1</v>
      </c>
      <c r="AL65">
        <v>18</v>
      </c>
      <c r="AN65" s="304"/>
      <c r="AO65" s="114"/>
    </row>
    <row r="66" spans="3:41" x14ac:dyDescent="0.25">
      <c r="C66">
        <v>61</v>
      </c>
      <c r="D66">
        <v>19.998699999999999</v>
      </c>
      <c r="E66">
        <v>5390000</v>
      </c>
      <c r="F66">
        <v>6.7315887651867383</v>
      </c>
      <c r="G66" t="b">
        <v>1</v>
      </c>
      <c r="H66">
        <v>23.522500000000001</v>
      </c>
      <c r="I66">
        <v>1410000</v>
      </c>
      <c r="J66">
        <v>6.1492191126553797</v>
      </c>
      <c r="K66" t="b">
        <v>1</v>
      </c>
      <c r="L66">
        <v>22</v>
      </c>
      <c r="Q66">
        <v>104</v>
      </c>
      <c r="R66">
        <v>20.714099999999998</v>
      </c>
      <c r="S66">
        <v>3710000</v>
      </c>
      <c r="T66">
        <v>6.5693739096150461</v>
      </c>
      <c r="U66" t="b">
        <v>1</v>
      </c>
      <c r="V66">
        <v>25.1419</v>
      </c>
      <c r="W66">
        <v>521000</v>
      </c>
      <c r="X66">
        <v>5.7168377232995242</v>
      </c>
      <c r="Y66" t="b">
        <v>1</v>
      </c>
      <c r="Z66">
        <v>21</v>
      </c>
      <c r="AC66">
        <v>104</v>
      </c>
      <c r="AD66">
        <v>20.714099999999998</v>
      </c>
      <c r="AE66">
        <v>3710000</v>
      </c>
      <c r="AF66">
        <v>6.5693739096150461</v>
      </c>
      <c r="AG66" t="b">
        <v>1</v>
      </c>
      <c r="AH66">
        <v>25.1419</v>
      </c>
      <c r="AI66">
        <v>521000</v>
      </c>
      <c r="AJ66">
        <v>5.7168377232995242</v>
      </c>
      <c r="AK66" t="b">
        <v>1</v>
      </c>
      <c r="AL66">
        <v>21</v>
      </c>
      <c r="AN66" s="303"/>
      <c r="AO66" s="112"/>
    </row>
    <row r="67" spans="3:41" x14ac:dyDescent="0.25">
      <c r="C67">
        <v>62</v>
      </c>
      <c r="D67">
        <v>22.916899999999998</v>
      </c>
      <c r="E67">
        <v>1800000</v>
      </c>
      <c r="F67">
        <v>6.2552725051033065</v>
      </c>
      <c r="G67" t="b">
        <v>1</v>
      </c>
      <c r="H67">
        <v>32.122799999999998</v>
      </c>
      <c r="I67">
        <v>7150</v>
      </c>
      <c r="J67">
        <v>3.8543060418010806</v>
      </c>
      <c r="K67" t="b">
        <v>1</v>
      </c>
      <c r="L67">
        <v>7</v>
      </c>
      <c r="Q67">
        <v>110</v>
      </c>
      <c r="R67">
        <v>21.218800000000002</v>
      </c>
      <c r="S67">
        <v>2850000</v>
      </c>
      <c r="T67">
        <v>6.4548448600085102</v>
      </c>
      <c r="U67" t="b">
        <v>1</v>
      </c>
      <c r="V67">
        <v>24.814900000000002</v>
      </c>
      <c r="W67">
        <v>636000</v>
      </c>
      <c r="X67">
        <v>5.8034571156484143</v>
      </c>
      <c r="Y67" t="b">
        <v>1</v>
      </c>
      <c r="Z67">
        <v>21</v>
      </c>
      <c r="AC67">
        <v>110</v>
      </c>
      <c r="AD67">
        <v>21.218800000000002</v>
      </c>
      <c r="AE67">
        <v>2850000</v>
      </c>
      <c r="AF67">
        <v>6.4548448600085102</v>
      </c>
      <c r="AG67" t="b">
        <v>1</v>
      </c>
      <c r="AH67">
        <v>24.814900000000002</v>
      </c>
      <c r="AI67">
        <v>636000</v>
      </c>
      <c r="AJ67">
        <v>5.8034571156484143</v>
      </c>
      <c r="AK67" t="b">
        <v>1</v>
      </c>
      <c r="AL67">
        <v>21</v>
      </c>
      <c r="AN67" s="304"/>
      <c r="AO67" s="114"/>
    </row>
    <row r="68" spans="3:41" x14ac:dyDescent="0.25">
      <c r="C68">
        <v>63</v>
      </c>
      <c r="D68">
        <v>19.303100000000001</v>
      </c>
      <c r="E68">
        <v>7750000</v>
      </c>
      <c r="F68">
        <v>6.8893017025063106</v>
      </c>
      <c r="G68" t="b">
        <v>1</v>
      </c>
      <c r="H68">
        <v>26.0397</v>
      </c>
      <c r="I68">
        <v>241000</v>
      </c>
      <c r="J68">
        <v>5.3820170425748683</v>
      </c>
      <c r="K68" t="b">
        <v>1</v>
      </c>
      <c r="L68">
        <v>23</v>
      </c>
      <c r="Q68">
        <v>61</v>
      </c>
      <c r="R68">
        <v>19.998699999999999</v>
      </c>
      <c r="S68">
        <v>5390000</v>
      </c>
      <c r="T68">
        <v>6.7315887651867383</v>
      </c>
      <c r="U68" t="b">
        <v>1</v>
      </c>
      <c r="V68">
        <v>23.522500000000001</v>
      </c>
      <c r="W68">
        <v>1410000</v>
      </c>
      <c r="X68">
        <v>6.1492191126553797</v>
      </c>
      <c r="Y68" t="b">
        <v>1</v>
      </c>
      <c r="Z68">
        <v>22</v>
      </c>
      <c r="AC68">
        <v>61</v>
      </c>
      <c r="AD68">
        <v>19.998699999999999</v>
      </c>
      <c r="AE68">
        <v>5390000</v>
      </c>
      <c r="AF68">
        <v>6.7315887651867383</v>
      </c>
      <c r="AG68" t="b">
        <v>1</v>
      </c>
      <c r="AH68">
        <v>23.522500000000001</v>
      </c>
      <c r="AI68">
        <v>1410000</v>
      </c>
      <c r="AJ68">
        <v>6.1492191126553797</v>
      </c>
      <c r="AK68" t="b">
        <v>1</v>
      </c>
      <c r="AL68">
        <v>22</v>
      </c>
      <c r="AN68" s="303"/>
      <c r="AO68" s="112"/>
    </row>
    <row r="69" spans="3:41" x14ac:dyDescent="0.25">
      <c r="C69">
        <v>64</v>
      </c>
      <c r="D69">
        <v>20.838100000000001</v>
      </c>
      <c r="E69">
        <v>3480000</v>
      </c>
      <c r="F69">
        <v>6.5415792439465807</v>
      </c>
      <c r="G69" t="b">
        <v>1</v>
      </c>
      <c r="H69">
        <v>24.534199999999998</v>
      </c>
      <c r="I69">
        <v>756000</v>
      </c>
      <c r="J69">
        <v>5.8785217955012063</v>
      </c>
      <c r="K69" t="b">
        <v>1</v>
      </c>
      <c r="L69">
        <v>22</v>
      </c>
      <c r="Q69">
        <v>64</v>
      </c>
      <c r="R69">
        <v>20.838100000000001</v>
      </c>
      <c r="S69">
        <v>3480000</v>
      </c>
      <c r="T69">
        <v>6.5415792439465807</v>
      </c>
      <c r="U69" t="b">
        <v>1</v>
      </c>
      <c r="V69">
        <v>24.534199999999998</v>
      </c>
      <c r="W69">
        <v>756000</v>
      </c>
      <c r="X69">
        <v>5.8785217955012063</v>
      </c>
      <c r="Y69" t="b">
        <v>1</v>
      </c>
      <c r="Z69">
        <v>22</v>
      </c>
      <c r="AC69">
        <v>64</v>
      </c>
      <c r="AD69">
        <v>20.838100000000001</v>
      </c>
      <c r="AE69">
        <v>3480000</v>
      </c>
      <c r="AF69">
        <v>6.5415792439465807</v>
      </c>
      <c r="AG69" t="b">
        <v>1</v>
      </c>
      <c r="AH69">
        <v>24.534199999999998</v>
      </c>
      <c r="AI69">
        <v>756000</v>
      </c>
      <c r="AJ69">
        <v>5.8785217955012063</v>
      </c>
      <c r="AK69" t="b">
        <v>1</v>
      </c>
      <c r="AL69">
        <v>22</v>
      </c>
      <c r="AN69" s="304"/>
      <c r="AO69" s="114"/>
    </row>
    <row r="70" spans="3:41" x14ac:dyDescent="0.25">
      <c r="C70">
        <v>65</v>
      </c>
      <c r="D70">
        <v>23.3965</v>
      </c>
      <c r="E70">
        <v>1330000</v>
      </c>
      <c r="F70">
        <v>6.1238516409670858</v>
      </c>
      <c r="G70" t="b">
        <v>1</v>
      </c>
      <c r="H70">
        <v>34.624899999999997</v>
      </c>
      <c r="I70">
        <v>1540</v>
      </c>
      <c r="J70">
        <v>3.1875207208364631</v>
      </c>
      <c r="K70" t="b">
        <v>1</v>
      </c>
      <c r="L70">
        <v>9</v>
      </c>
      <c r="Q70">
        <v>83</v>
      </c>
      <c r="R70">
        <v>20.395</v>
      </c>
      <c r="S70">
        <v>4380000</v>
      </c>
      <c r="T70">
        <v>6.6414741105040997</v>
      </c>
      <c r="U70" t="b">
        <v>1</v>
      </c>
      <c r="V70">
        <v>25.930599999999998</v>
      </c>
      <c r="W70">
        <v>260000</v>
      </c>
      <c r="X70">
        <v>5.4149733479708182</v>
      </c>
      <c r="Y70" t="b">
        <v>1</v>
      </c>
      <c r="Z70">
        <v>22</v>
      </c>
      <c r="AC70">
        <v>83</v>
      </c>
      <c r="AD70">
        <v>20.395</v>
      </c>
      <c r="AE70">
        <v>4380000</v>
      </c>
      <c r="AF70">
        <v>6.6414741105040997</v>
      </c>
      <c r="AG70" t="b">
        <v>1</v>
      </c>
      <c r="AH70">
        <v>25.930599999999998</v>
      </c>
      <c r="AI70">
        <v>260000</v>
      </c>
      <c r="AJ70">
        <v>5.4149733479708182</v>
      </c>
      <c r="AK70" t="b">
        <v>1</v>
      </c>
      <c r="AL70">
        <v>22</v>
      </c>
      <c r="AN70" s="303"/>
      <c r="AO70" s="112"/>
    </row>
    <row r="71" spans="3:41" x14ac:dyDescent="0.25">
      <c r="C71">
        <v>66</v>
      </c>
      <c r="D71" t="s">
        <v>39</v>
      </c>
      <c r="E71">
        <v>0</v>
      </c>
      <c r="F71" t="s">
        <v>18</v>
      </c>
      <c r="G71" t="b">
        <v>0</v>
      </c>
      <c r="H71" t="s">
        <v>47</v>
      </c>
      <c r="I71" t="s">
        <v>47</v>
      </c>
      <c r="J71" t="s">
        <v>18</v>
      </c>
      <c r="K71" t="s">
        <v>48</v>
      </c>
      <c r="L71">
        <v>14</v>
      </c>
      <c r="Q71">
        <v>63</v>
      </c>
      <c r="R71">
        <v>19.303100000000001</v>
      </c>
      <c r="S71">
        <v>7750000</v>
      </c>
      <c r="T71">
        <v>6.8893017025063106</v>
      </c>
      <c r="U71" t="b">
        <v>1</v>
      </c>
      <c r="V71">
        <v>26.0397</v>
      </c>
      <c r="W71">
        <v>241000</v>
      </c>
      <c r="X71">
        <v>5.3820170425748683</v>
      </c>
      <c r="Y71" t="b">
        <v>1</v>
      </c>
      <c r="Z71">
        <v>23</v>
      </c>
      <c r="AC71">
        <v>63</v>
      </c>
      <c r="AD71">
        <v>19.303100000000001</v>
      </c>
      <c r="AE71">
        <v>7750000</v>
      </c>
      <c r="AF71">
        <v>6.8893017025063106</v>
      </c>
      <c r="AG71" t="b">
        <v>1</v>
      </c>
      <c r="AH71">
        <v>26.0397</v>
      </c>
      <c r="AI71">
        <v>241000</v>
      </c>
      <c r="AJ71">
        <v>5.3820170425748683</v>
      </c>
      <c r="AK71" t="b">
        <v>1</v>
      </c>
      <c r="AL71">
        <v>23</v>
      </c>
      <c r="AN71" s="304"/>
      <c r="AO71" s="114"/>
    </row>
    <row r="72" spans="3:41" x14ac:dyDescent="0.25">
      <c r="C72">
        <v>67</v>
      </c>
      <c r="D72">
        <v>39.454500000000003</v>
      </c>
      <c r="E72">
        <v>206.833</v>
      </c>
      <c r="F72">
        <v>2.3156198312039953</v>
      </c>
      <c r="G72" t="b">
        <v>1</v>
      </c>
      <c r="H72" t="s">
        <v>47</v>
      </c>
      <c r="I72" t="s">
        <v>47</v>
      </c>
      <c r="J72" t="s">
        <v>18</v>
      </c>
      <c r="K72" t="s">
        <v>48</v>
      </c>
      <c r="L72">
        <v>15</v>
      </c>
      <c r="Q72">
        <v>80</v>
      </c>
      <c r="R72">
        <v>20.128799999999998</v>
      </c>
      <c r="S72">
        <v>5040000</v>
      </c>
      <c r="T72">
        <v>6.702430536445525</v>
      </c>
      <c r="U72" t="b">
        <v>1</v>
      </c>
      <c r="V72">
        <v>26.171500000000002</v>
      </c>
      <c r="W72">
        <v>221000</v>
      </c>
      <c r="X72">
        <v>5.344392273685111</v>
      </c>
      <c r="Y72" t="b">
        <v>1</v>
      </c>
      <c r="Z72">
        <v>23</v>
      </c>
      <c r="AC72">
        <v>80</v>
      </c>
      <c r="AD72">
        <v>20.128799999999998</v>
      </c>
      <c r="AE72">
        <v>5040000</v>
      </c>
      <c r="AF72">
        <v>6.702430536445525</v>
      </c>
      <c r="AG72" t="b">
        <v>1</v>
      </c>
      <c r="AH72">
        <v>26.171500000000002</v>
      </c>
      <c r="AI72">
        <v>221000</v>
      </c>
      <c r="AJ72">
        <v>5.344392273685111</v>
      </c>
      <c r="AK72" t="b">
        <v>1</v>
      </c>
      <c r="AL72">
        <v>23</v>
      </c>
      <c r="AN72" s="303"/>
      <c r="AO72" s="112"/>
    </row>
    <row r="73" spans="3:41" x14ac:dyDescent="0.25">
      <c r="C73">
        <v>68</v>
      </c>
      <c r="D73">
        <v>36.5839</v>
      </c>
      <c r="E73">
        <v>927.23800000000006</v>
      </c>
      <c r="F73">
        <v>2.9671912215449932</v>
      </c>
      <c r="G73" t="b">
        <v>1</v>
      </c>
      <c r="H73" t="s">
        <v>39</v>
      </c>
      <c r="I73">
        <v>0</v>
      </c>
      <c r="J73" t="s">
        <v>18</v>
      </c>
      <c r="K73" t="b">
        <v>0</v>
      </c>
      <c r="L73">
        <v>15</v>
      </c>
      <c r="Q73">
        <v>107</v>
      </c>
      <c r="R73">
        <v>18.2422</v>
      </c>
      <c r="S73">
        <v>13500000</v>
      </c>
      <c r="T73">
        <v>7.1303337684950066</v>
      </c>
      <c r="U73" t="b">
        <v>1</v>
      </c>
      <c r="V73">
        <v>26.354199999999999</v>
      </c>
      <c r="W73">
        <v>195000</v>
      </c>
      <c r="X73">
        <v>5.2900346113625183</v>
      </c>
      <c r="Y73" t="b">
        <v>1</v>
      </c>
      <c r="Z73">
        <v>23</v>
      </c>
      <c r="AC73">
        <v>107</v>
      </c>
      <c r="AD73">
        <v>18.2422</v>
      </c>
      <c r="AE73">
        <v>13500000</v>
      </c>
      <c r="AF73">
        <v>7.1303337684950066</v>
      </c>
      <c r="AG73" t="b">
        <v>1</v>
      </c>
      <c r="AH73">
        <v>26.354199999999999</v>
      </c>
      <c r="AI73">
        <v>195000</v>
      </c>
      <c r="AJ73">
        <v>5.2900346113625183</v>
      </c>
      <c r="AK73" t="b">
        <v>1</v>
      </c>
      <c r="AL73">
        <v>23</v>
      </c>
      <c r="AN73" s="304"/>
      <c r="AO73" s="114"/>
    </row>
    <row r="74" spans="3:41" x14ac:dyDescent="0.25">
      <c r="C74">
        <v>69</v>
      </c>
      <c r="D74" t="s">
        <v>39</v>
      </c>
      <c r="E74">
        <v>0</v>
      </c>
      <c r="F74" t="s">
        <v>18</v>
      </c>
      <c r="G74" t="b">
        <v>0</v>
      </c>
      <c r="H74" t="s">
        <v>47</v>
      </c>
      <c r="I74" t="s">
        <v>47</v>
      </c>
      <c r="J74" t="s">
        <v>18</v>
      </c>
      <c r="K74" t="s">
        <v>48</v>
      </c>
      <c r="L74">
        <v>15</v>
      </c>
      <c r="Q74">
        <v>75</v>
      </c>
      <c r="R74">
        <v>22.2681</v>
      </c>
      <c r="S74">
        <v>2720000</v>
      </c>
      <c r="T74">
        <v>6.4345689040341991</v>
      </c>
      <c r="U74" t="b">
        <v>1</v>
      </c>
      <c r="V74">
        <v>39.081499999999998</v>
      </c>
      <c r="W74">
        <v>99.447299999999998</v>
      </c>
      <c r="X74">
        <v>1.9975929964999817</v>
      </c>
      <c r="Y74" t="b">
        <v>0</v>
      </c>
      <c r="Z74">
        <v>1</v>
      </c>
      <c r="AB74" t="s">
        <v>80</v>
      </c>
      <c r="AC74">
        <f>COUNT(Table4[Sample Name])</f>
        <v>68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 t="s">
        <v>18</v>
      </c>
      <c r="AL74" t="s">
        <v>18</v>
      </c>
      <c r="AN74" s="303"/>
      <c r="AO74" s="112"/>
    </row>
    <row r="75" spans="3:41" x14ac:dyDescent="0.25">
      <c r="C75">
        <v>70</v>
      </c>
      <c r="D75" t="s">
        <v>39</v>
      </c>
      <c r="E75">
        <v>0</v>
      </c>
      <c r="F75" t="s">
        <v>18</v>
      </c>
      <c r="G75" t="b">
        <v>0</v>
      </c>
      <c r="H75" t="s">
        <v>47</v>
      </c>
      <c r="I75" t="s">
        <v>47</v>
      </c>
      <c r="J75" t="s">
        <v>18</v>
      </c>
      <c r="K75" t="s">
        <v>48</v>
      </c>
      <c r="L75">
        <v>11</v>
      </c>
      <c r="Q75">
        <v>35</v>
      </c>
      <c r="R75">
        <v>29.400500000000001</v>
      </c>
      <c r="S75">
        <v>29500</v>
      </c>
      <c r="T75">
        <v>4.4698220159781634</v>
      </c>
      <c r="U75" t="b">
        <v>1</v>
      </c>
      <c r="V75">
        <v>39.314100000000003</v>
      </c>
      <c r="W75">
        <v>86.204400000000007</v>
      </c>
      <c r="X75">
        <v>1.9355294334227646</v>
      </c>
      <c r="Y75" t="b">
        <v>0</v>
      </c>
      <c r="Z75">
        <v>4</v>
      </c>
      <c r="AC75" t="s">
        <v>18</v>
      </c>
      <c r="AD75" t="s">
        <v>18</v>
      </c>
      <c r="AE75" t="s">
        <v>18</v>
      </c>
      <c r="AF75" t="s">
        <v>18</v>
      </c>
      <c r="AG75" t="s">
        <v>18</v>
      </c>
      <c r="AH75" t="s">
        <v>18</v>
      </c>
      <c r="AI75" t="s">
        <v>18</v>
      </c>
      <c r="AJ75" t="s">
        <v>18</v>
      </c>
      <c r="AK75" t="s">
        <v>18</v>
      </c>
      <c r="AL75" t="s">
        <v>18</v>
      </c>
      <c r="AN75" s="304"/>
      <c r="AO75" s="114"/>
    </row>
    <row r="76" spans="3:41" x14ac:dyDescent="0.25">
      <c r="C76">
        <v>71</v>
      </c>
      <c r="D76" t="s">
        <v>39</v>
      </c>
      <c r="E76">
        <v>0</v>
      </c>
      <c r="F76" t="s">
        <v>18</v>
      </c>
      <c r="G76" t="b">
        <v>0</v>
      </c>
      <c r="H76" t="s">
        <v>47</v>
      </c>
      <c r="I76" t="s">
        <v>47</v>
      </c>
      <c r="J76" t="s">
        <v>18</v>
      </c>
      <c r="K76" t="s">
        <v>48</v>
      </c>
      <c r="L76">
        <v>7</v>
      </c>
      <c r="Q76">
        <v>22</v>
      </c>
      <c r="R76">
        <v>23.5124</v>
      </c>
      <c r="S76">
        <v>1240000</v>
      </c>
      <c r="T76">
        <v>6.0934216851622347</v>
      </c>
      <c r="U76" t="b">
        <v>1</v>
      </c>
      <c r="V76" t="s">
        <v>39</v>
      </c>
      <c r="W76">
        <v>0</v>
      </c>
      <c r="X76" t="s">
        <v>18</v>
      </c>
      <c r="Y76" t="b">
        <v>0</v>
      </c>
      <c r="Z76">
        <v>7</v>
      </c>
      <c r="AC76" t="s">
        <v>18</v>
      </c>
      <c r="AD76" t="s">
        <v>18</v>
      </c>
      <c r="AE76" t="s">
        <v>18</v>
      </c>
      <c r="AF76" t="s">
        <v>18</v>
      </c>
      <c r="AG76" t="s">
        <v>18</v>
      </c>
      <c r="AH76" t="s">
        <v>18</v>
      </c>
      <c r="AI76" t="s">
        <v>18</v>
      </c>
      <c r="AJ76" t="s">
        <v>18</v>
      </c>
      <c r="AK76" t="s">
        <v>18</v>
      </c>
      <c r="AL76" t="s">
        <v>18</v>
      </c>
      <c r="AN76" s="303"/>
      <c r="AO76" s="112"/>
    </row>
    <row r="77" spans="3:41" x14ac:dyDescent="0.25">
      <c r="C77">
        <v>72</v>
      </c>
      <c r="D77" t="s">
        <v>39</v>
      </c>
      <c r="E77">
        <v>0</v>
      </c>
      <c r="F77" t="s">
        <v>18</v>
      </c>
      <c r="G77" t="b">
        <v>0</v>
      </c>
      <c r="H77" t="s">
        <v>47</v>
      </c>
      <c r="I77" t="s">
        <v>47</v>
      </c>
      <c r="J77" t="s">
        <v>18</v>
      </c>
      <c r="K77" t="s">
        <v>48</v>
      </c>
      <c r="L77">
        <v>14</v>
      </c>
      <c r="Q77">
        <v>33</v>
      </c>
      <c r="R77">
        <v>30.563800000000001</v>
      </c>
      <c r="S77">
        <v>14100</v>
      </c>
      <c r="T77">
        <v>4.1492191126553797</v>
      </c>
      <c r="U77" t="b">
        <v>1</v>
      </c>
      <c r="V77" t="s">
        <v>39</v>
      </c>
      <c r="W77">
        <v>0</v>
      </c>
      <c r="X77" t="s">
        <v>18</v>
      </c>
      <c r="Y77" t="b">
        <v>0</v>
      </c>
      <c r="Z77">
        <v>7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  <c r="AL77" t="s">
        <v>18</v>
      </c>
      <c r="AN77" s="304"/>
      <c r="AO77" s="114"/>
    </row>
    <row r="78" spans="3:41" x14ac:dyDescent="0.25">
      <c r="C78">
        <v>73</v>
      </c>
      <c r="D78">
        <v>23.742699999999999</v>
      </c>
      <c r="E78">
        <v>1070000</v>
      </c>
      <c r="F78">
        <v>6.0293837776852097</v>
      </c>
      <c r="G78" t="b">
        <v>1</v>
      </c>
      <c r="H78">
        <v>29.517099999999999</v>
      </c>
      <c r="I78">
        <v>35400</v>
      </c>
      <c r="J78">
        <v>4.5490032620257876</v>
      </c>
      <c r="K78" t="b">
        <v>1</v>
      </c>
      <c r="L78">
        <v>8</v>
      </c>
      <c r="Q78">
        <v>79</v>
      </c>
      <c r="R78">
        <v>23.841200000000001</v>
      </c>
      <c r="S78">
        <v>1000000</v>
      </c>
      <c r="T78">
        <v>6</v>
      </c>
      <c r="U78" t="b">
        <v>1</v>
      </c>
      <c r="V78" t="s">
        <v>39</v>
      </c>
      <c r="W78">
        <v>0</v>
      </c>
      <c r="X78" t="s">
        <v>18</v>
      </c>
      <c r="Y78" t="b">
        <v>0</v>
      </c>
      <c r="Z78">
        <v>7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 t="s">
        <v>18</v>
      </c>
      <c r="AL78" t="s">
        <v>18</v>
      </c>
      <c r="AN78" s="303"/>
      <c r="AO78" s="112"/>
    </row>
    <row r="79" spans="3:41" x14ac:dyDescent="0.25">
      <c r="C79">
        <v>74</v>
      </c>
      <c r="D79">
        <v>20.771599999999999</v>
      </c>
      <c r="E79">
        <v>7030000</v>
      </c>
      <c r="F79">
        <v>6.8469553250198238</v>
      </c>
      <c r="G79" t="b">
        <v>1</v>
      </c>
      <c r="H79">
        <v>28.398399999999999</v>
      </c>
      <c r="I79">
        <v>70400</v>
      </c>
      <c r="J79">
        <v>4.847572659142112</v>
      </c>
      <c r="K79" t="b">
        <v>1</v>
      </c>
      <c r="L79">
        <v>8</v>
      </c>
      <c r="Q79">
        <v>99</v>
      </c>
      <c r="R79">
        <v>24.472100000000001</v>
      </c>
      <c r="S79">
        <v>672000</v>
      </c>
      <c r="T79">
        <v>5.8273692730538249</v>
      </c>
      <c r="U79" t="b">
        <v>1</v>
      </c>
      <c r="V79" t="s">
        <v>39</v>
      </c>
      <c r="W79">
        <v>0</v>
      </c>
      <c r="X79" t="s">
        <v>18</v>
      </c>
      <c r="Y79" t="b">
        <v>0</v>
      </c>
      <c r="Z79">
        <v>7</v>
      </c>
      <c r="AC79" t="s">
        <v>18</v>
      </c>
      <c r="AD79" t="s">
        <v>18</v>
      </c>
      <c r="AE79" t="s">
        <v>18</v>
      </c>
      <c r="AF79" t="s">
        <v>18</v>
      </c>
      <c r="AG79" t="s">
        <v>18</v>
      </c>
      <c r="AH79" t="s">
        <v>18</v>
      </c>
      <c r="AI79" t="s">
        <v>18</v>
      </c>
      <c r="AJ79" t="s">
        <v>18</v>
      </c>
      <c r="AK79" t="s">
        <v>18</v>
      </c>
      <c r="AL79" t="s">
        <v>18</v>
      </c>
      <c r="AN79" s="304"/>
      <c r="AO79" s="114"/>
    </row>
    <row r="80" spans="3:41" x14ac:dyDescent="0.25">
      <c r="C80">
        <v>75</v>
      </c>
      <c r="D80">
        <v>22.2681</v>
      </c>
      <c r="E80">
        <v>2720000</v>
      </c>
      <c r="F80">
        <v>6.4345689040341991</v>
      </c>
      <c r="G80" t="b">
        <v>1</v>
      </c>
      <c r="H80">
        <v>39.081499999999998</v>
      </c>
      <c r="I80">
        <v>99.447299999999998</v>
      </c>
      <c r="J80">
        <v>1.9975929964999817</v>
      </c>
      <c r="K80" t="b">
        <v>0</v>
      </c>
      <c r="L80">
        <v>1</v>
      </c>
      <c r="Q80">
        <v>113</v>
      </c>
      <c r="R80">
        <v>23.1661</v>
      </c>
      <c r="S80">
        <v>1540000</v>
      </c>
      <c r="T80">
        <v>6.1875207208364627</v>
      </c>
      <c r="U80" t="b">
        <v>1</v>
      </c>
      <c r="V80" t="s">
        <v>39</v>
      </c>
      <c r="W80">
        <v>0</v>
      </c>
      <c r="X80" t="s">
        <v>18</v>
      </c>
      <c r="Y80" t="b">
        <v>0</v>
      </c>
      <c r="Z80">
        <v>7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N80" s="303"/>
      <c r="AO80" s="112"/>
    </row>
    <row r="81" spans="3:41" x14ac:dyDescent="0.25">
      <c r="C81">
        <v>76</v>
      </c>
      <c r="D81">
        <v>26.312799999999999</v>
      </c>
      <c r="E81">
        <v>209000</v>
      </c>
      <c r="F81">
        <v>5.3201462861110542</v>
      </c>
      <c r="G81" t="b">
        <v>1</v>
      </c>
      <c r="H81" t="s">
        <v>39</v>
      </c>
      <c r="I81">
        <v>0</v>
      </c>
      <c r="J81" t="s">
        <v>18</v>
      </c>
      <c r="K81" t="b">
        <v>0</v>
      </c>
      <c r="L81">
        <v>9</v>
      </c>
      <c r="Q81">
        <v>118</v>
      </c>
      <c r="R81">
        <v>27.080300000000001</v>
      </c>
      <c r="S81">
        <v>128000</v>
      </c>
      <c r="T81">
        <v>5.1072099696478688</v>
      </c>
      <c r="U81" t="b">
        <v>1</v>
      </c>
      <c r="V81" t="s">
        <v>39</v>
      </c>
      <c r="W81">
        <v>0</v>
      </c>
      <c r="X81" t="s">
        <v>18</v>
      </c>
      <c r="Y81" t="b">
        <v>0</v>
      </c>
      <c r="Z81">
        <v>7</v>
      </c>
      <c r="AC81" t="s">
        <v>18</v>
      </c>
      <c r="AD81" t="s">
        <v>18</v>
      </c>
      <c r="AE81" t="s">
        <v>18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  <c r="AL81" t="s">
        <v>18</v>
      </c>
      <c r="AN81" s="304"/>
      <c r="AO81" s="114"/>
    </row>
    <row r="82" spans="3:41" x14ac:dyDescent="0.25">
      <c r="C82">
        <v>77</v>
      </c>
      <c r="D82" t="s">
        <v>39</v>
      </c>
      <c r="E82">
        <v>0</v>
      </c>
      <c r="F82" t="s">
        <v>18</v>
      </c>
      <c r="G82" t="b">
        <v>0</v>
      </c>
      <c r="H82" t="s">
        <v>47</v>
      </c>
      <c r="I82" t="s">
        <v>47</v>
      </c>
      <c r="J82" t="s">
        <v>18</v>
      </c>
      <c r="K82" t="s">
        <v>48</v>
      </c>
      <c r="L82">
        <v>18</v>
      </c>
      <c r="Q82">
        <v>6</v>
      </c>
      <c r="R82">
        <v>22.988600000000002</v>
      </c>
      <c r="S82">
        <v>1720000</v>
      </c>
      <c r="T82">
        <v>6.2355284469075487</v>
      </c>
      <c r="U82" t="b">
        <v>1</v>
      </c>
      <c r="V82" t="s">
        <v>39</v>
      </c>
      <c r="W82">
        <v>0</v>
      </c>
      <c r="X82" t="s">
        <v>18</v>
      </c>
      <c r="Y82" t="b">
        <v>0</v>
      </c>
      <c r="Z82">
        <v>8</v>
      </c>
      <c r="AC82" t="s">
        <v>18</v>
      </c>
      <c r="AD82" t="s">
        <v>18</v>
      </c>
      <c r="AE82" t="s">
        <v>18</v>
      </c>
      <c r="AF82" t="s">
        <v>18</v>
      </c>
      <c r="AG82" t="s">
        <v>18</v>
      </c>
      <c r="AH82" t="s">
        <v>18</v>
      </c>
      <c r="AI82" t="s">
        <v>18</v>
      </c>
      <c r="AJ82" t="s">
        <v>18</v>
      </c>
      <c r="AK82" t="s">
        <v>18</v>
      </c>
      <c r="AL82" t="s">
        <v>18</v>
      </c>
      <c r="AN82" s="303"/>
      <c r="AO82" s="112"/>
    </row>
    <row r="83" spans="3:41" x14ac:dyDescent="0.25">
      <c r="C83">
        <v>78</v>
      </c>
      <c r="D83">
        <v>21.720800000000001</v>
      </c>
      <c r="E83">
        <v>3850000</v>
      </c>
      <c r="F83">
        <v>6.585460729508501</v>
      </c>
      <c r="G83" t="b">
        <v>1</v>
      </c>
      <c r="H83">
        <v>30.3309</v>
      </c>
      <c r="I83">
        <v>21500</v>
      </c>
      <c r="J83">
        <v>4.3324384599156049</v>
      </c>
      <c r="K83" t="b">
        <v>1</v>
      </c>
      <c r="L83">
        <v>8</v>
      </c>
      <c r="Q83">
        <v>10</v>
      </c>
      <c r="R83">
        <v>28.159500000000001</v>
      </c>
      <c r="S83">
        <v>64800</v>
      </c>
      <c r="T83">
        <v>4.8115750058705933</v>
      </c>
      <c r="U83" t="b">
        <v>1</v>
      </c>
      <c r="V83" t="s">
        <v>39</v>
      </c>
      <c r="W83">
        <v>0</v>
      </c>
      <c r="X83" t="s">
        <v>18</v>
      </c>
      <c r="Y83" t="b">
        <v>0</v>
      </c>
      <c r="Z83">
        <v>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 t="s">
        <v>18</v>
      </c>
      <c r="AI83" t="s">
        <v>18</v>
      </c>
      <c r="AJ83" t="s">
        <v>18</v>
      </c>
      <c r="AK83" t="s">
        <v>18</v>
      </c>
      <c r="AL83" t="s">
        <v>18</v>
      </c>
      <c r="AN83" s="304"/>
      <c r="AO83" s="114"/>
    </row>
    <row r="84" spans="3:41" x14ac:dyDescent="0.25">
      <c r="C84">
        <v>79</v>
      </c>
      <c r="D84">
        <v>23.841200000000001</v>
      </c>
      <c r="E84">
        <v>1000000</v>
      </c>
      <c r="F84">
        <v>6</v>
      </c>
      <c r="G84" t="b">
        <v>1</v>
      </c>
      <c r="H84" t="s">
        <v>39</v>
      </c>
      <c r="I84">
        <v>0</v>
      </c>
      <c r="J84" t="s">
        <v>18</v>
      </c>
      <c r="K84" t="b">
        <v>0</v>
      </c>
      <c r="L84">
        <v>7</v>
      </c>
      <c r="Q84">
        <v>28</v>
      </c>
      <c r="R84">
        <v>22.319600000000001</v>
      </c>
      <c r="S84">
        <v>2630000</v>
      </c>
      <c r="T84">
        <v>6.419955748489758</v>
      </c>
      <c r="U84" t="b">
        <v>1</v>
      </c>
      <c r="V84">
        <v>39.529800000000002</v>
      </c>
      <c r="W84">
        <v>75.507199999999997</v>
      </c>
      <c r="X84">
        <v>1.877988365817016</v>
      </c>
      <c r="Y84" t="b">
        <v>0</v>
      </c>
      <c r="Z84">
        <v>8</v>
      </c>
      <c r="AC84" t="s">
        <v>18</v>
      </c>
      <c r="AD84" t="s">
        <v>18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 t="s">
        <v>18</v>
      </c>
      <c r="AL84" t="s">
        <v>18</v>
      </c>
      <c r="AN84" s="303"/>
      <c r="AO84" s="112"/>
    </row>
    <row r="85" spans="3:41" x14ac:dyDescent="0.25">
      <c r="C85">
        <v>80</v>
      </c>
      <c r="D85">
        <v>20.128799999999998</v>
      </c>
      <c r="E85">
        <v>5040000</v>
      </c>
      <c r="F85">
        <v>6.702430536445525</v>
      </c>
      <c r="G85" t="b">
        <v>1</v>
      </c>
      <c r="H85">
        <v>26.171500000000002</v>
      </c>
      <c r="I85">
        <v>221000</v>
      </c>
      <c r="J85">
        <v>5.344392273685111</v>
      </c>
      <c r="K85" t="b">
        <v>1</v>
      </c>
      <c r="L85">
        <v>23</v>
      </c>
      <c r="Q85">
        <v>105</v>
      </c>
      <c r="R85">
        <v>28.116099999999999</v>
      </c>
      <c r="S85">
        <v>66600</v>
      </c>
      <c r="T85">
        <v>4.8234742291703014</v>
      </c>
      <c r="U85" t="b">
        <v>1</v>
      </c>
      <c r="V85" t="s">
        <v>39</v>
      </c>
      <c r="W85">
        <v>0</v>
      </c>
      <c r="X85" t="s">
        <v>18</v>
      </c>
      <c r="Y85" t="b">
        <v>0</v>
      </c>
      <c r="Z85">
        <v>8</v>
      </c>
      <c r="AC85" t="s">
        <v>18</v>
      </c>
      <c r="AD85" t="s">
        <v>18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 t="s">
        <v>18</v>
      </c>
      <c r="AL85" t="s">
        <v>18</v>
      </c>
      <c r="AN85" s="304"/>
      <c r="AO85" s="114"/>
    </row>
    <row r="86" spans="3:41" x14ac:dyDescent="0.25">
      <c r="C86">
        <v>81</v>
      </c>
      <c r="D86">
        <v>17.810099999999998</v>
      </c>
      <c r="E86">
        <v>46000000</v>
      </c>
      <c r="F86">
        <v>7.6627578316815743</v>
      </c>
      <c r="G86" t="b">
        <v>1</v>
      </c>
      <c r="H86">
        <v>25.570799999999998</v>
      </c>
      <c r="I86">
        <v>400000</v>
      </c>
      <c r="J86">
        <v>5.6020599913279625</v>
      </c>
      <c r="K86" t="b">
        <v>1</v>
      </c>
      <c r="L86">
        <v>14</v>
      </c>
      <c r="Q86">
        <v>76</v>
      </c>
      <c r="R86">
        <v>26.312799999999999</v>
      </c>
      <c r="S86">
        <v>209000</v>
      </c>
      <c r="T86">
        <v>5.3201462861110542</v>
      </c>
      <c r="U86" t="b">
        <v>1</v>
      </c>
      <c r="V86" t="s">
        <v>39</v>
      </c>
      <c r="W86">
        <v>0</v>
      </c>
      <c r="X86" t="s">
        <v>18</v>
      </c>
      <c r="Y86" t="b">
        <v>0</v>
      </c>
      <c r="Z86">
        <v>9</v>
      </c>
      <c r="AC86" t="s">
        <v>18</v>
      </c>
      <c r="AD86" t="s">
        <v>18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  <c r="AL86" t="s">
        <v>18</v>
      </c>
      <c r="AN86" s="303"/>
      <c r="AO86" s="112"/>
    </row>
    <row r="87" spans="3:41" x14ac:dyDescent="0.25">
      <c r="C87">
        <v>82</v>
      </c>
      <c r="D87">
        <v>21.0076</v>
      </c>
      <c r="E87">
        <v>6050000</v>
      </c>
      <c r="F87">
        <v>6.7817553746524686</v>
      </c>
      <c r="G87" t="b">
        <v>1</v>
      </c>
      <c r="H87">
        <v>30.43</v>
      </c>
      <c r="I87">
        <v>20200</v>
      </c>
      <c r="J87">
        <v>4.3053513694466234</v>
      </c>
      <c r="K87" t="b">
        <v>1</v>
      </c>
      <c r="L87">
        <v>7</v>
      </c>
      <c r="Q87">
        <v>101</v>
      </c>
      <c r="R87">
        <v>26.147099999999998</v>
      </c>
      <c r="S87">
        <v>232000</v>
      </c>
      <c r="T87">
        <v>5.3654879848908994</v>
      </c>
      <c r="U87" t="b">
        <v>1</v>
      </c>
      <c r="V87" t="s">
        <v>39</v>
      </c>
      <c r="W87">
        <v>0</v>
      </c>
      <c r="X87" t="s">
        <v>18</v>
      </c>
      <c r="Y87" t="b">
        <v>0</v>
      </c>
      <c r="Z87">
        <v>9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 t="s">
        <v>18</v>
      </c>
      <c r="AL87" t="s">
        <v>18</v>
      </c>
      <c r="AN87" s="304"/>
      <c r="AO87" s="114"/>
    </row>
    <row r="88" spans="3:41" x14ac:dyDescent="0.25">
      <c r="C88">
        <v>83</v>
      </c>
      <c r="D88">
        <v>20.395</v>
      </c>
      <c r="E88">
        <v>4380000</v>
      </c>
      <c r="F88">
        <v>6.6414741105040997</v>
      </c>
      <c r="G88" t="b">
        <v>1</v>
      </c>
      <c r="H88">
        <v>25.930599999999998</v>
      </c>
      <c r="I88">
        <v>260000</v>
      </c>
      <c r="J88">
        <v>5.4149733479708182</v>
      </c>
      <c r="K88" t="b">
        <v>1</v>
      </c>
      <c r="L88">
        <v>22</v>
      </c>
      <c r="Q88">
        <v>114</v>
      </c>
      <c r="R88">
        <v>30.798400000000001</v>
      </c>
      <c r="S88">
        <v>12100</v>
      </c>
      <c r="T88">
        <v>4.0827853703164498</v>
      </c>
      <c r="U88" t="b">
        <v>1</v>
      </c>
      <c r="V88">
        <v>39.256300000000003</v>
      </c>
      <c r="W88">
        <v>89.318799999999996</v>
      </c>
      <c r="X88">
        <v>1.9509428796828854</v>
      </c>
      <c r="Y88" t="b">
        <v>0</v>
      </c>
      <c r="Z88">
        <v>9</v>
      </c>
      <c r="AC88" t="s">
        <v>18</v>
      </c>
      <c r="AD88" t="s">
        <v>18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  <c r="AL88" t="s">
        <v>18</v>
      </c>
      <c r="AN88" s="303"/>
      <c r="AO88" s="112"/>
    </row>
    <row r="89" spans="3:41" x14ac:dyDescent="0.25">
      <c r="C89">
        <v>84</v>
      </c>
      <c r="D89">
        <v>24</v>
      </c>
      <c r="E89">
        <v>907000</v>
      </c>
      <c r="F89">
        <v>5.9576072870600951</v>
      </c>
      <c r="G89" t="b">
        <v>1</v>
      </c>
      <c r="H89">
        <v>39.002699999999997</v>
      </c>
      <c r="I89">
        <v>104.381</v>
      </c>
      <c r="J89">
        <v>2.0186214532054119</v>
      </c>
      <c r="K89" t="b">
        <v>1</v>
      </c>
      <c r="L89">
        <v>7</v>
      </c>
      <c r="Q89">
        <v>12</v>
      </c>
      <c r="R89">
        <v>24.562200000000001</v>
      </c>
      <c r="S89">
        <v>635000</v>
      </c>
      <c r="T89">
        <v>5.802773725291976</v>
      </c>
      <c r="U89" t="b">
        <v>1</v>
      </c>
      <c r="V89" t="s">
        <v>39</v>
      </c>
      <c r="W89">
        <v>0</v>
      </c>
      <c r="X89" t="s">
        <v>18</v>
      </c>
      <c r="Y89" t="b">
        <v>0</v>
      </c>
      <c r="Z89">
        <v>10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  <c r="AL89" t="s">
        <v>18</v>
      </c>
      <c r="AN89" s="304"/>
      <c r="AO89" s="114"/>
    </row>
    <row r="90" spans="3:41" x14ac:dyDescent="0.25">
      <c r="C90">
        <v>85</v>
      </c>
      <c r="D90">
        <v>20.2042</v>
      </c>
      <c r="E90">
        <v>10100000</v>
      </c>
      <c r="F90">
        <v>7.0043213737826422</v>
      </c>
      <c r="G90" t="b">
        <v>1</v>
      </c>
      <c r="H90">
        <v>31.041599999999999</v>
      </c>
      <c r="I90">
        <v>13900</v>
      </c>
      <c r="J90">
        <v>4.143014800254095</v>
      </c>
      <c r="K90" t="b">
        <v>1</v>
      </c>
      <c r="L90">
        <v>9</v>
      </c>
      <c r="Q90">
        <v>17</v>
      </c>
      <c r="R90">
        <v>23.017399999999999</v>
      </c>
      <c r="S90">
        <v>1690000</v>
      </c>
      <c r="T90">
        <v>6.2278867046136739</v>
      </c>
      <c r="U90" t="b">
        <v>1</v>
      </c>
      <c r="V90" t="s">
        <v>39</v>
      </c>
      <c r="W90">
        <v>0</v>
      </c>
      <c r="X90" t="s">
        <v>18</v>
      </c>
      <c r="Y90" t="b">
        <v>0</v>
      </c>
      <c r="Z90">
        <v>10</v>
      </c>
      <c r="AC90" t="s">
        <v>18</v>
      </c>
      <c r="AD90" t="s">
        <v>18</v>
      </c>
      <c r="AE90" t="s">
        <v>18</v>
      </c>
      <c r="AF90" t="s">
        <v>18</v>
      </c>
      <c r="AG90" t="s">
        <v>18</v>
      </c>
      <c r="AH90" t="s">
        <v>18</v>
      </c>
      <c r="AI90" t="s">
        <v>18</v>
      </c>
      <c r="AJ90" t="s">
        <v>18</v>
      </c>
      <c r="AK90" t="s">
        <v>18</v>
      </c>
      <c r="AL90" t="s">
        <v>18</v>
      </c>
      <c r="AN90" s="303"/>
      <c r="AO90" s="112"/>
    </row>
    <row r="91" spans="3:41" x14ac:dyDescent="0.25">
      <c r="C91">
        <v>86</v>
      </c>
      <c r="D91">
        <v>25.150700000000001</v>
      </c>
      <c r="E91">
        <v>437000</v>
      </c>
      <c r="F91">
        <v>5.6404814369704219</v>
      </c>
      <c r="G91" t="b">
        <v>1</v>
      </c>
      <c r="H91">
        <v>32.596600000000002</v>
      </c>
      <c r="I91">
        <v>5340</v>
      </c>
      <c r="J91">
        <v>3.7275412570285562</v>
      </c>
      <c r="K91" t="b">
        <v>1</v>
      </c>
      <c r="L91">
        <v>7</v>
      </c>
      <c r="Q91">
        <v>103</v>
      </c>
      <c r="R91">
        <v>31.071300000000001</v>
      </c>
      <c r="S91">
        <v>10200</v>
      </c>
      <c r="T91">
        <v>4.008600171761918</v>
      </c>
      <c r="U91" t="b">
        <v>1</v>
      </c>
      <c r="V91" t="s">
        <v>39</v>
      </c>
      <c r="W91">
        <v>0</v>
      </c>
      <c r="X91" t="s">
        <v>18</v>
      </c>
      <c r="Y91" t="b">
        <v>0</v>
      </c>
      <c r="Z91">
        <v>10</v>
      </c>
      <c r="AC91" t="s">
        <v>18</v>
      </c>
      <c r="AD91" t="s">
        <v>18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 t="s">
        <v>18</v>
      </c>
      <c r="AL91" t="s">
        <v>18</v>
      </c>
      <c r="AN91" s="304"/>
      <c r="AO91" s="114"/>
    </row>
    <row r="92" spans="3:41" x14ac:dyDescent="0.25">
      <c r="C92">
        <v>87</v>
      </c>
      <c r="D92" t="s">
        <v>39</v>
      </c>
      <c r="E92">
        <v>0</v>
      </c>
      <c r="F92" t="s">
        <v>18</v>
      </c>
      <c r="G92" t="b">
        <v>0</v>
      </c>
      <c r="H92" t="s">
        <v>47</v>
      </c>
      <c r="I92" t="s">
        <v>47</v>
      </c>
      <c r="J92" t="s">
        <v>18</v>
      </c>
      <c r="K92" t="s">
        <v>48</v>
      </c>
      <c r="L92">
        <v>14</v>
      </c>
      <c r="Q92">
        <v>5</v>
      </c>
      <c r="R92">
        <v>34.362299999999998</v>
      </c>
      <c r="S92">
        <v>1270</v>
      </c>
      <c r="T92">
        <v>3.1038037209559568</v>
      </c>
      <c r="U92" t="b">
        <v>1</v>
      </c>
      <c r="V92" t="s">
        <v>39</v>
      </c>
      <c r="W92">
        <v>0</v>
      </c>
      <c r="X92" t="s">
        <v>18</v>
      </c>
      <c r="Y92" t="b">
        <v>0</v>
      </c>
      <c r="Z92">
        <v>14</v>
      </c>
      <c r="AC92" t="s">
        <v>18</v>
      </c>
      <c r="AD92" t="s">
        <v>18</v>
      </c>
      <c r="AE92" t="s">
        <v>18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 t="s">
        <v>18</v>
      </c>
      <c r="AL92" t="s">
        <v>18</v>
      </c>
      <c r="AN92" s="303"/>
      <c r="AO92" s="112"/>
    </row>
    <row r="93" spans="3:41" x14ac:dyDescent="0.25">
      <c r="C93">
        <v>88</v>
      </c>
      <c r="D93">
        <v>39.5383</v>
      </c>
      <c r="E93">
        <v>47.4542</v>
      </c>
      <c r="F93">
        <v>1.6762746563018185</v>
      </c>
      <c r="G93" t="b">
        <v>0</v>
      </c>
      <c r="H93" t="s">
        <v>47</v>
      </c>
      <c r="I93" t="s">
        <v>47</v>
      </c>
      <c r="J93" t="s">
        <v>18</v>
      </c>
      <c r="K93" t="s">
        <v>48</v>
      </c>
      <c r="L93">
        <v>7</v>
      </c>
      <c r="Q93">
        <v>68</v>
      </c>
      <c r="R93">
        <v>36.5839</v>
      </c>
      <c r="S93">
        <v>927.23800000000006</v>
      </c>
      <c r="T93">
        <v>2.9671912215449932</v>
      </c>
      <c r="U93" t="b">
        <v>1</v>
      </c>
      <c r="V93" t="s">
        <v>39</v>
      </c>
      <c r="W93">
        <v>0</v>
      </c>
      <c r="X93" t="s">
        <v>18</v>
      </c>
      <c r="Y93" t="b">
        <v>0</v>
      </c>
      <c r="Z93">
        <v>15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  <c r="AL93" t="s">
        <v>18</v>
      </c>
      <c r="AN93" s="304"/>
      <c r="AO93" s="114"/>
    </row>
    <row r="94" spans="3:41" x14ac:dyDescent="0.25">
      <c r="C94">
        <v>89</v>
      </c>
      <c r="D94">
        <v>21.2531</v>
      </c>
      <c r="E94">
        <v>2800000</v>
      </c>
      <c r="F94">
        <v>6.4471580313422194</v>
      </c>
      <c r="G94" t="b">
        <v>1</v>
      </c>
      <c r="H94">
        <v>24.519200000000001</v>
      </c>
      <c r="I94">
        <v>763000</v>
      </c>
      <c r="J94">
        <v>5.8825245379548807</v>
      </c>
      <c r="K94" t="b">
        <v>1</v>
      </c>
      <c r="L94">
        <v>14</v>
      </c>
      <c r="Q94">
        <v>108</v>
      </c>
      <c r="R94">
        <v>37.594299999999997</v>
      </c>
      <c r="S94">
        <v>546.83699999999999</v>
      </c>
      <c r="T94">
        <v>2.7378578920556103</v>
      </c>
      <c r="U94" t="b">
        <v>1</v>
      </c>
      <c r="V94">
        <v>37.887799999999999</v>
      </c>
      <c r="W94">
        <v>75.018000000000001</v>
      </c>
      <c r="X94">
        <v>1.8751654815616767</v>
      </c>
      <c r="Y94" t="b">
        <v>0</v>
      </c>
      <c r="Z94">
        <v>23</v>
      </c>
      <c r="AC94" t="s">
        <v>18</v>
      </c>
      <c r="AD94" t="s">
        <v>18</v>
      </c>
      <c r="AE94" t="s">
        <v>18</v>
      </c>
      <c r="AF94" t="s">
        <v>18</v>
      </c>
      <c r="AG94" t="s">
        <v>18</v>
      </c>
      <c r="AH94" t="s">
        <v>18</v>
      </c>
      <c r="AI94" t="s">
        <v>18</v>
      </c>
      <c r="AJ94" t="s">
        <v>18</v>
      </c>
      <c r="AK94" t="s">
        <v>18</v>
      </c>
      <c r="AL94" t="s">
        <v>18</v>
      </c>
      <c r="AN94" s="303"/>
      <c r="AO94" s="112"/>
    </row>
    <row r="95" spans="3:41" x14ac:dyDescent="0.25">
      <c r="C95">
        <v>90</v>
      </c>
      <c r="D95">
        <v>38.706800000000001</v>
      </c>
      <c r="E95">
        <v>80.421199999999999</v>
      </c>
      <c r="F95">
        <v>1.9053705491136976</v>
      </c>
      <c r="G95" t="b">
        <v>0</v>
      </c>
      <c r="H95" t="s">
        <v>47</v>
      </c>
      <c r="I95" t="s">
        <v>47</v>
      </c>
      <c r="J95" t="s">
        <v>18</v>
      </c>
      <c r="K95" t="s">
        <v>48</v>
      </c>
      <c r="L95">
        <v>9</v>
      </c>
      <c r="Q95">
        <v>20</v>
      </c>
      <c r="R95">
        <v>37.979399999999998</v>
      </c>
      <c r="S95">
        <v>127.58</v>
      </c>
      <c r="T95">
        <v>2.1057825978144415</v>
      </c>
      <c r="U95" t="b">
        <v>1</v>
      </c>
      <c r="V95" t="s">
        <v>47</v>
      </c>
      <c r="W95" t="s">
        <v>47</v>
      </c>
      <c r="X95" t="s">
        <v>18</v>
      </c>
      <c r="Y95" t="s">
        <v>48</v>
      </c>
      <c r="Z95">
        <v>7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 t="s">
        <v>18</v>
      </c>
      <c r="AK95" t="s">
        <v>18</v>
      </c>
      <c r="AL95" t="s">
        <v>18</v>
      </c>
      <c r="AN95" s="304"/>
      <c r="AO95" s="114"/>
    </row>
    <row r="96" spans="3:41" x14ac:dyDescent="0.25">
      <c r="C96">
        <v>91</v>
      </c>
      <c r="D96">
        <v>20.727799999999998</v>
      </c>
      <c r="E96">
        <v>7230000</v>
      </c>
      <c r="F96">
        <v>6.859138297294531</v>
      </c>
      <c r="G96" t="b">
        <v>1</v>
      </c>
      <c r="H96">
        <v>34.745800000000003</v>
      </c>
      <c r="I96">
        <v>1430</v>
      </c>
      <c r="J96">
        <v>3.1553360374650619</v>
      </c>
      <c r="K96" t="b">
        <v>1</v>
      </c>
      <c r="L96">
        <v>8</v>
      </c>
      <c r="Q96">
        <v>42</v>
      </c>
      <c r="R96">
        <v>36.334699999999998</v>
      </c>
      <c r="S96">
        <v>362.19600000000003</v>
      </c>
      <c r="T96">
        <v>2.5589436497673272</v>
      </c>
      <c r="U96" t="b">
        <v>1</v>
      </c>
      <c r="V96" t="s">
        <v>47</v>
      </c>
      <c r="W96" t="s">
        <v>47</v>
      </c>
      <c r="X96" t="s">
        <v>18</v>
      </c>
      <c r="Y96" t="s">
        <v>48</v>
      </c>
      <c r="Z96">
        <v>14</v>
      </c>
      <c r="AC96" t="s">
        <v>18</v>
      </c>
      <c r="AD96" t="s">
        <v>18</v>
      </c>
      <c r="AE96" t="s">
        <v>18</v>
      </c>
      <c r="AF96" t="s">
        <v>18</v>
      </c>
      <c r="AG96" t="s">
        <v>18</v>
      </c>
      <c r="AH96" t="s">
        <v>18</v>
      </c>
      <c r="AI96" t="s">
        <v>18</v>
      </c>
      <c r="AJ96" t="s">
        <v>18</v>
      </c>
      <c r="AK96" t="s">
        <v>18</v>
      </c>
      <c r="AL96" t="s">
        <v>18</v>
      </c>
      <c r="AN96" s="303"/>
      <c r="AO96" s="112"/>
    </row>
    <row r="97" spans="3:41" x14ac:dyDescent="0.25">
      <c r="C97">
        <v>92</v>
      </c>
      <c r="D97">
        <v>21.093900000000001</v>
      </c>
      <c r="E97">
        <v>3040000</v>
      </c>
      <c r="F97">
        <v>6.4828735836087539</v>
      </c>
      <c r="G97" t="b">
        <v>1</v>
      </c>
      <c r="H97">
        <v>23.229500000000002</v>
      </c>
      <c r="I97">
        <v>1690000</v>
      </c>
      <c r="J97">
        <v>6.2278867046136739</v>
      </c>
      <c r="K97" t="b">
        <v>1</v>
      </c>
      <c r="L97">
        <v>14</v>
      </c>
      <c r="Q97">
        <v>56</v>
      </c>
      <c r="R97">
        <v>36.215600000000002</v>
      </c>
      <c r="S97">
        <v>390.62700000000001</v>
      </c>
      <c r="T97">
        <v>2.5917622582702053</v>
      </c>
      <c r="U97" t="b">
        <v>1</v>
      </c>
      <c r="V97" t="s">
        <v>47</v>
      </c>
      <c r="W97" t="s">
        <v>47</v>
      </c>
      <c r="X97" t="s">
        <v>18</v>
      </c>
      <c r="Y97" t="s">
        <v>48</v>
      </c>
      <c r="Z97">
        <v>14</v>
      </c>
      <c r="AC97" t="s">
        <v>18</v>
      </c>
      <c r="AD97" t="s">
        <v>18</v>
      </c>
      <c r="AE97" t="s">
        <v>18</v>
      </c>
      <c r="AF97" t="s">
        <v>18</v>
      </c>
      <c r="AG97" t="s">
        <v>18</v>
      </c>
      <c r="AH97" t="s">
        <v>18</v>
      </c>
      <c r="AI97" t="s">
        <v>18</v>
      </c>
      <c r="AJ97" t="s">
        <v>18</v>
      </c>
      <c r="AK97" t="s">
        <v>18</v>
      </c>
      <c r="AL97" t="s">
        <v>18</v>
      </c>
      <c r="AN97" s="304"/>
      <c r="AO97" s="114"/>
    </row>
    <row r="98" spans="3:41" x14ac:dyDescent="0.25">
      <c r="C98">
        <v>93</v>
      </c>
      <c r="D98">
        <v>22.113800000000001</v>
      </c>
      <c r="E98">
        <v>3000000</v>
      </c>
      <c r="F98">
        <v>6.4771212547196626</v>
      </c>
      <c r="G98" t="b">
        <v>1</v>
      </c>
      <c r="H98">
        <v>31.8751</v>
      </c>
      <c r="I98">
        <v>8320</v>
      </c>
      <c r="J98">
        <v>3.920123326290724</v>
      </c>
      <c r="K98" t="b">
        <v>1</v>
      </c>
      <c r="L98">
        <v>8</v>
      </c>
      <c r="Q98">
        <v>49</v>
      </c>
      <c r="R98">
        <v>39.152999999999999</v>
      </c>
      <c r="S98">
        <v>242.13900000000001</v>
      </c>
      <c r="T98">
        <v>2.3840647445045464</v>
      </c>
      <c r="U98" t="b">
        <v>1</v>
      </c>
      <c r="V98" t="s">
        <v>47</v>
      </c>
      <c r="W98" t="s">
        <v>47</v>
      </c>
      <c r="X98" t="s">
        <v>18</v>
      </c>
      <c r="Y98" t="s">
        <v>48</v>
      </c>
      <c r="Z98">
        <v>15</v>
      </c>
      <c r="AC98" t="s">
        <v>18</v>
      </c>
      <c r="AD98" t="s">
        <v>18</v>
      </c>
      <c r="AE98" t="s">
        <v>18</v>
      </c>
      <c r="AF98" t="s">
        <v>18</v>
      </c>
      <c r="AG98" t="s">
        <v>18</v>
      </c>
      <c r="AH98" t="s">
        <v>18</v>
      </c>
      <c r="AI98" t="s">
        <v>18</v>
      </c>
      <c r="AJ98" t="s">
        <v>18</v>
      </c>
      <c r="AK98" t="s">
        <v>18</v>
      </c>
      <c r="AL98" t="s">
        <v>18</v>
      </c>
      <c r="AN98" s="303"/>
      <c r="AO98" s="112"/>
    </row>
    <row r="99" spans="3:41" x14ac:dyDescent="0.25">
      <c r="C99">
        <v>94</v>
      </c>
      <c r="D99">
        <v>21.315200000000001</v>
      </c>
      <c r="E99">
        <v>4980000</v>
      </c>
      <c r="F99">
        <v>6.6972293427597176</v>
      </c>
      <c r="G99" t="b">
        <v>1</v>
      </c>
      <c r="H99">
        <v>37.075699999999998</v>
      </c>
      <c r="I99">
        <v>340.976</v>
      </c>
      <c r="J99">
        <v>2.5327238117362598</v>
      </c>
      <c r="K99" t="b">
        <v>1</v>
      </c>
      <c r="L99">
        <v>7</v>
      </c>
      <c r="Q99">
        <v>67</v>
      </c>
      <c r="R99">
        <v>39.454500000000003</v>
      </c>
      <c r="S99">
        <v>206.833</v>
      </c>
      <c r="T99">
        <v>2.3156198312039953</v>
      </c>
      <c r="U99" t="b">
        <v>1</v>
      </c>
      <c r="V99" t="s">
        <v>47</v>
      </c>
      <c r="W99" t="s">
        <v>47</v>
      </c>
      <c r="X99" t="s">
        <v>18</v>
      </c>
      <c r="Y99" t="s">
        <v>48</v>
      </c>
      <c r="Z99">
        <v>15</v>
      </c>
      <c r="AC99" t="s">
        <v>18</v>
      </c>
      <c r="AD99" t="s">
        <v>18</v>
      </c>
      <c r="AE99" t="s">
        <v>18</v>
      </c>
      <c r="AF99" t="s">
        <v>18</v>
      </c>
      <c r="AG99" t="s">
        <v>18</v>
      </c>
      <c r="AH99" t="s">
        <v>18</v>
      </c>
      <c r="AI99" t="s">
        <v>18</v>
      </c>
      <c r="AJ99" t="s">
        <v>18</v>
      </c>
      <c r="AK99" t="s">
        <v>18</v>
      </c>
      <c r="AL99" t="s">
        <v>18</v>
      </c>
      <c r="AN99" s="304"/>
      <c r="AO99" s="114"/>
    </row>
    <row r="100" spans="3:41" x14ac:dyDescent="0.25">
      <c r="C100">
        <v>95</v>
      </c>
      <c r="D100">
        <v>34.114400000000003</v>
      </c>
      <c r="E100">
        <v>1480</v>
      </c>
      <c r="F100">
        <v>3.1702617153949575</v>
      </c>
      <c r="G100" t="b">
        <v>1</v>
      </c>
      <c r="H100">
        <v>35.134099999999997</v>
      </c>
      <c r="I100">
        <v>1120</v>
      </c>
      <c r="J100">
        <v>3.0492180226701815</v>
      </c>
      <c r="K100" t="b">
        <v>1</v>
      </c>
      <c r="L100">
        <v>11</v>
      </c>
      <c r="P100" t="s">
        <v>80</v>
      </c>
      <c r="Q100">
        <f>COUNT(Table2[Sample Name])</f>
        <v>94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C100" t="s">
        <v>18</v>
      </c>
      <c r="AD100" t="s">
        <v>18</v>
      </c>
      <c r="AE100" t="s">
        <v>18</v>
      </c>
      <c r="AF100" t="s">
        <v>18</v>
      </c>
      <c r="AG100" t="s">
        <v>18</v>
      </c>
      <c r="AH100" t="s">
        <v>18</v>
      </c>
      <c r="AI100" t="s">
        <v>18</v>
      </c>
      <c r="AJ100" t="s">
        <v>18</v>
      </c>
      <c r="AK100" t="s">
        <v>18</v>
      </c>
      <c r="AL100" t="s">
        <v>18</v>
      </c>
      <c r="AN100" s="303"/>
      <c r="AO100" s="112"/>
    </row>
    <row r="101" spans="3:41" x14ac:dyDescent="0.25">
      <c r="C101">
        <v>96</v>
      </c>
      <c r="D101">
        <v>19.801200000000001</v>
      </c>
      <c r="E101">
        <v>13000000</v>
      </c>
      <c r="F101">
        <v>7.1139433523068369</v>
      </c>
      <c r="G101" t="b">
        <v>1</v>
      </c>
      <c r="H101">
        <v>26.748899999999999</v>
      </c>
      <c r="I101">
        <v>194000</v>
      </c>
      <c r="J101">
        <v>5.2878017299302265</v>
      </c>
      <c r="K101" t="b">
        <v>1</v>
      </c>
      <c r="L101">
        <v>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C101" t="s">
        <v>18</v>
      </c>
      <c r="AD101" t="s">
        <v>18</v>
      </c>
      <c r="AE101" t="s">
        <v>18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 t="s">
        <v>18</v>
      </c>
      <c r="AL101" t="s">
        <v>18</v>
      </c>
      <c r="AN101" s="304"/>
      <c r="AO101" s="114"/>
    </row>
    <row r="102" spans="3:41" x14ac:dyDescent="0.25">
      <c r="C102">
        <v>97</v>
      </c>
      <c r="D102">
        <v>18.7425</v>
      </c>
      <c r="E102">
        <v>10400000</v>
      </c>
      <c r="F102">
        <v>7.0170333392987807</v>
      </c>
      <c r="G102" t="b">
        <v>1</v>
      </c>
      <c r="H102">
        <v>23.745699999999999</v>
      </c>
      <c r="I102">
        <v>1230000</v>
      </c>
      <c r="J102">
        <v>6.0899051114393981</v>
      </c>
      <c r="K102" t="b">
        <v>1</v>
      </c>
      <c r="L102">
        <v>14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t="s">
        <v>18</v>
      </c>
      <c r="AH102" t="s">
        <v>18</v>
      </c>
      <c r="AI102" t="s">
        <v>18</v>
      </c>
      <c r="AJ102" t="s">
        <v>18</v>
      </c>
      <c r="AK102" t="s">
        <v>18</v>
      </c>
      <c r="AL102" t="s">
        <v>18</v>
      </c>
      <c r="AN102" s="303"/>
      <c r="AO102" s="112"/>
    </row>
    <row r="103" spans="3:41" x14ac:dyDescent="0.25">
      <c r="C103">
        <v>98</v>
      </c>
      <c r="D103">
        <v>20.833600000000001</v>
      </c>
      <c r="E103">
        <v>6760000</v>
      </c>
      <c r="F103">
        <v>6.8299466959416355</v>
      </c>
      <c r="G103" t="b">
        <v>1</v>
      </c>
      <c r="H103">
        <v>28.444600000000001</v>
      </c>
      <c r="I103">
        <v>68500</v>
      </c>
      <c r="J103">
        <v>4.8356905714924254</v>
      </c>
      <c r="K103" t="b">
        <v>1</v>
      </c>
      <c r="L103">
        <v>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18</v>
      </c>
      <c r="AK103" t="s">
        <v>18</v>
      </c>
      <c r="AL103" t="s">
        <v>18</v>
      </c>
      <c r="AN103" s="304"/>
      <c r="AO103" s="114"/>
    </row>
    <row r="104" spans="3:41" x14ac:dyDescent="0.25">
      <c r="C104">
        <v>99</v>
      </c>
      <c r="D104">
        <v>24.472100000000001</v>
      </c>
      <c r="E104">
        <v>672000</v>
      </c>
      <c r="F104">
        <v>5.8273692730538249</v>
      </c>
      <c r="G104" t="b">
        <v>1</v>
      </c>
      <c r="H104" t="s">
        <v>39</v>
      </c>
      <c r="I104">
        <v>0</v>
      </c>
      <c r="J104" t="s">
        <v>18</v>
      </c>
      <c r="K104" t="b">
        <v>0</v>
      </c>
      <c r="L104">
        <v>7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C104" t="s">
        <v>18</v>
      </c>
      <c r="AD104" t="s">
        <v>18</v>
      </c>
      <c r="AE104" t="s">
        <v>18</v>
      </c>
      <c r="AF104" t="s">
        <v>18</v>
      </c>
      <c r="AG104" t="s">
        <v>18</v>
      </c>
      <c r="AH104" t="s">
        <v>18</v>
      </c>
      <c r="AI104" t="s">
        <v>18</v>
      </c>
      <c r="AJ104" t="s">
        <v>18</v>
      </c>
      <c r="AK104" t="s">
        <v>18</v>
      </c>
      <c r="AL104" t="s">
        <v>18</v>
      </c>
    </row>
    <row r="105" spans="3:41" x14ac:dyDescent="0.25">
      <c r="C105">
        <v>100</v>
      </c>
      <c r="D105">
        <v>20.6815</v>
      </c>
      <c r="E105">
        <v>3770000</v>
      </c>
      <c r="F105">
        <v>6.5763413502057926</v>
      </c>
      <c r="G105" t="b">
        <v>1</v>
      </c>
      <c r="H105">
        <v>26.3825</v>
      </c>
      <c r="I105">
        <v>243000</v>
      </c>
      <c r="J105">
        <v>5.3856062735983121</v>
      </c>
      <c r="K105" t="b">
        <v>1</v>
      </c>
      <c r="L105">
        <v>14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C105" t="s">
        <v>18</v>
      </c>
      <c r="AD105" t="s">
        <v>18</v>
      </c>
      <c r="AE105" t="s">
        <v>18</v>
      </c>
      <c r="AF105" t="s">
        <v>18</v>
      </c>
      <c r="AG105" t="s">
        <v>18</v>
      </c>
      <c r="AH105" t="s">
        <v>18</v>
      </c>
      <c r="AI105" t="s">
        <v>18</v>
      </c>
      <c r="AJ105" t="s">
        <v>18</v>
      </c>
      <c r="AK105" t="s">
        <v>18</v>
      </c>
      <c r="AL105" t="s">
        <v>18</v>
      </c>
    </row>
    <row r="106" spans="3:41" x14ac:dyDescent="0.25">
      <c r="C106">
        <v>101</v>
      </c>
      <c r="D106">
        <v>26.147099999999998</v>
      </c>
      <c r="E106">
        <v>232000</v>
      </c>
      <c r="F106">
        <v>5.3654879848908994</v>
      </c>
      <c r="G106" t="b">
        <v>1</v>
      </c>
      <c r="H106" t="s">
        <v>39</v>
      </c>
      <c r="I106">
        <v>0</v>
      </c>
      <c r="J106" t="s">
        <v>18</v>
      </c>
      <c r="K106" t="b">
        <v>0</v>
      </c>
      <c r="L106">
        <v>9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  <c r="Z106" t="s">
        <v>18</v>
      </c>
      <c r="AC106" t="s">
        <v>18</v>
      </c>
      <c r="AD106" t="s">
        <v>18</v>
      </c>
      <c r="AE106" t="s">
        <v>18</v>
      </c>
      <c r="AF106" t="s">
        <v>18</v>
      </c>
      <c r="AG106" t="s">
        <v>18</v>
      </c>
      <c r="AH106" t="s">
        <v>18</v>
      </c>
      <c r="AI106" t="s">
        <v>18</v>
      </c>
      <c r="AJ106" t="s">
        <v>18</v>
      </c>
      <c r="AK106" t="s">
        <v>18</v>
      </c>
      <c r="AL106" t="s">
        <v>18</v>
      </c>
    </row>
    <row r="107" spans="3:41" x14ac:dyDescent="0.25">
      <c r="C107">
        <v>102</v>
      </c>
      <c r="D107">
        <v>21.035399999999999</v>
      </c>
      <c r="E107">
        <v>3140000</v>
      </c>
      <c r="F107">
        <v>6.4969296480732153</v>
      </c>
      <c r="G107" t="b">
        <v>1</v>
      </c>
      <c r="H107">
        <v>25.224299999999999</v>
      </c>
      <c r="I107">
        <v>495000</v>
      </c>
      <c r="J107">
        <v>5.6946051989335684</v>
      </c>
      <c r="K107" t="b">
        <v>1</v>
      </c>
      <c r="L107">
        <v>16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t="s">
        <v>18</v>
      </c>
      <c r="AH107" t="s">
        <v>18</v>
      </c>
      <c r="AI107" t="s">
        <v>18</v>
      </c>
      <c r="AJ107" t="s">
        <v>18</v>
      </c>
      <c r="AK107" t="s">
        <v>18</v>
      </c>
      <c r="AL107" t="s">
        <v>18</v>
      </c>
    </row>
    <row r="108" spans="3:41" x14ac:dyDescent="0.25">
      <c r="C108">
        <v>103</v>
      </c>
      <c r="D108">
        <v>31.071300000000001</v>
      </c>
      <c r="E108">
        <v>10200</v>
      </c>
      <c r="F108">
        <v>4.008600171761918</v>
      </c>
      <c r="G108" t="b">
        <v>1</v>
      </c>
      <c r="H108" t="s">
        <v>39</v>
      </c>
      <c r="I108">
        <v>0</v>
      </c>
      <c r="J108" t="s">
        <v>18</v>
      </c>
      <c r="K108" t="b">
        <v>0</v>
      </c>
      <c r="L108">
        <v>10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C108" t="s">
        <v>18</v>
      </c>
      <c r="AD108" t="s">
        <v>18</v>
      </c>
      <c r="AE108" t="s">
        <v>18</v>
      </c>
      <c r="AF108" t="s">
        <v>18</v>
      </c>
      <c r="AG108" t="s">
        <v>18</v>
      </c>
      <c r="AH108" t="s">
        <v>18</v>
      </c>
      <c r="AI108" t="s">
        <v>18</v>
      </c>
      <c r="AJ108" t="s">
        <v>18</v>
      </c>
      <c r="AK108" t="s">
        <v>18</v>
      </c>
      <c r="AL108" t="s">
        <v>18</v>
      </c>
    </row>
    <row r="109" spans="3:41" x14ac:dyDescent="0.25">
      <c r="C109">
        <v>104</v>
      </c>
      <c r="D109">
        <v>20.714099999999998</v>
      </c>
      <c r="E109">
        <v>3710000</v>
      </c>
      <c r="F109">
        <v>6.5693739096150461</v>
      </c>
      <c r="G109" t="b">
        <v>1</v>
      </c>
      <c r="H109">
        <v>25.1419</v>
      </c>
      <c r="I109">
        <v>521000</v>
      </c>
      <c r="J109">
        <v>5.7168377232995242</v>
      </c>
      <c r="K109" t="b">
        <v>1</v>
      </c>
      <c r="L109">
        <v>21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t="s">
        <v>18</v>
      </c>
      <c r="AH109" t="s">
        <v>18</v>
      </c>
      <c r="AI109" t="s">
        <v>18</v>
      </c>
      <c r="AJ109" t="s">
        <v>18</v>
      </c>
      <c r="AK109" t="s">
        <v>18</v>
      </c>
      <c r="AL109" t="s">
        <v>18</v>
      </c>
    </row>
    <row r="110" spans="3:41" x14ac:dyDescent="0.25">
      <c r="C110">
        <v>105</v>
      </c>
      <c r="D110">
        <v>28.116099999999999</v>
      </c>
      <c r="E110">
        <v>66600</v>
      </c>
      <c r="F110">
        <v>4.8234742291703014</v>
      </c>
      <c r="G110" t="b">
        <v>1</v>
      </c>
      <c r="H110" t="s">
        <v>39</v>
      </c>
      <c r="I110">
        <v>0</v>
      </c>
      <c r="J110" t="s">
        <v>18</v>
      </c>
      <c r="K110" t="b">
        <v>0</v>
      </c>
      <c r="L110">
        <v>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 t="s">
        <v>18</v>
      </c>
      <c r="AC110" t="s">
        <v>18</v>
      </c>
      <c r="AD110" t="s">
        <v>18</v>
      </c>
      <c r="AE110" t="s">
        <v>18</v>
      </c>
      <c r="AF110" t="s">
        <v>18</v>
      </c>
      <c r="AG110" t="s">
        <v>18</v>
      </c>
      <c r="AH110" t="s">
        <v>18</v>
      </c>
      <c r="AI110" t="s">
        <v>18</v>
      </c>
      <c r="AJ110" t="s">
        <v>18</v>
      </c>
      <c r="AK110" t="s">
        <v>18</v>
      </c>
      <c r="AL110" t="s">
        <v>18</v>
      </c>
    </row>
    <row r="111" spans="3:41" x14ac:dyDescent="0.25">
      <c r="C111">
        <v>106</v>
      </c>
      <c r="D111">
        <v>22.2089</v>
      </c>
      <c r="E111">
        <v>1700000</v>
      </c>
      <c r="F111">
        <v>6.2304489213782741</v>
      </c>
      <c r="G111" t="b">
        <v>1</v>
      </c>
      <c r="H111">
        <v>25.398099999999999</v>
      </c>
      <c r="I111">
        <v>445000</v>
      </c>
      <c r="J111">
        <v>5.648360010980932</v>
      </c>
      <c r="K111" t="b">
        <v>1</v>
      </c>
      <c r="L111">
        <v>14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C111" t="s">
        <v>18</v>
      </c>
      <c r="AD111" t="s">
        <v>18</v>
      </c>
      <c r="AE111" t="s">
        <v>18</v>
      </c>
      <c r="AF111" t="s">
        <v>18</v>
      </c>
      <c r="AG111" t="s">
        <v>18</v>
      </c>
      <c r="AH111" t="s">
        <v>18</v>
      </c>
      <c r="AI111" t="s">
        <v>18</v>
      </c>
      <c r="AJ111" t="s">
        <v>18</v>
      </c>
      <c r="AK111" t="s">
        <v>18</v>
      </c>
      <c r="AL111" t="s">
        <v>18</v>
      </c>
    </row>
    <row r="112" spans="3:41" x14ac:dyDescent="0.25">
      <c r="C112">
        <v>107</v>
      </c>
      <c r="D112">
        <v>18.2422</v>
      </c>
      <c r="E112">
        <v>13500000</v>
      </c>
      <c r="F112">
        <v>7.1303337684950066</v>
      </c>
      <c r="G112" t="b">
        <v>1</v>
      </c>
      <c r="H112">
        <v>26.354199999999999</v>
      </c>
      <c r="I112">
        <v>195000</v>
      </c>
      <c r="J112">
        <v>5.2900346113625183</v>
      </c>
      <c r="K112" t="b">
        <v>1</v>
      </c>
      <c r="L112">
        <v>23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C112" t="s">
        <v>18</v>
      </c>
      <c r="AD112" t="s">
        <v>18</v>
      </c>
      <c r="AE112" t="s">
        <v>18</v>
      </c>
      <c r="AF112" t="s">
        <v>18</v>
      </c>
      <c r="AG112" t="s">
        <v>18</v>
      </c>
      <c r="AH112" t="s">
        <v>18</v>
      </c>
      <c r="AI112" t="s">
        <v>18</v>
      </c>
      <c r="AJ112" t="s">
        <v>18</v>
      </c>
      <c r="AK112" t="s">
        <v>18</v>
      </c>
      <c r="AL112" t="s">
        <v>18</v>
      </c>
    </row>
    <row r="113" spans="3:38" x14ac:dyDescent="0.25">
      <c r="C113">
        <v>108</v>
      </c>
      <c r="D113">
        <v>37.594299999999997</v>
      </c>
      <c r="E113">
        <v>546.83699999999999</v>
      </c>
      <c r="F113">
        <v>2.7378578920556103</v>
      </c>
      <c r="G113" t="b">
        <v>1</v>
      </c>
      <c r="H113">
        <v>37.887799999999999</v>
      </c>
      <c r="I113">
        <v>75.018000000000001</v>
      </c>
      <c r="J113">
        <v>1.8751654815616767</v>
      </c>
      <c r="K113" t="b">
        <v>0</v>
      </c>
      <c r="L113">
        <v>23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C113" t="s">
        <v>18</v>
      </c>
      <c r="AD113" t="s">
        <v>18</v>
      </c>
      <c r="AE113" t="s">
        <v>18</v>
      </c>
      <c r="AF113" t="s">
        <v>18</v>
      </c>
      <c r="AG113" t="s">
        <v>18</v>
      </c>
      <c r="AH113" t="s">
        <v>18</v>
      </c>
      <c r="AI113" t="s">
        <v>18</v>
      </c>
      <c r="AJ113" t="s">
        <v>18</v>
      </c>
      <c r="AK113" t="s">
        <v>18</v>
      </c>
      <c r="AL113" t="s">
        <v>18</v>
      </c>
    </row>
    <row r="114" spans="3:38" x14ac:dyDescent="0.25">
      <c r="C114">
        <v>109</v>
      </c>
      <c r="D114">
        <v>18.183299999999999</v>
      </c>
      <c r="E114">
        <v>36300000</v>
      </c>
      <c r="F114">
        <v>7.5599066250361124</v>
      </c>
      <c r="G114" t="b">
        <v>1</v>
      </c>
      <c r="H114">
        <v>25.048300000000001</v>
      </c>
      <c r="I114">
        <v>551000</v>
      </c>
      <c r="J114">
        <v>5.7411515988517854</v>
      </c>
      <c r="K114" t="b">
        <v>1</v>
      </c>
      <c r="L114">
        <v>9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t="s">
        <v>18</v>
      </c>
      <c r="AH114" t="s">
        <v>18</v>
      </c>
      <c r="AI114" t="s">
        <v>18</v>
      </c>
      <c r="AJ114" t="s">
        <v>18</v>
      </c>
      <c r="AK114" t="s">
        <v>18</v>
      </c>
      <c r="AL114" t="s">
        <v>18</v>
      </c>
    </row>
    <row r="115" spans="3:38" x14ac:dyDescent="0.25">
      <c r="C115">
        <v>110</v>
      </c>
      <c r="D115">
        <v>21.218800000000002</v>
      </c>
      <c r="E115">
        <v>2850000</v>
      </c>
      <c r="F115">
        <v>6.4548448600085102</v>
      </c>
      <c r="G115" t="b">
        <v>1</v>
      </c>
      <c r="H115">
        <v>24.814900000000002</v>
      </c>
      <c r="I115">
        <v>636000</v>
      </c>
      <c r="J115">
        <v>5.8034571156484143</v>
      </c>
      <c r="K115" t="b">
        <v>1</v>
      </c>
      <c r="L115">
        <v>21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 t="s">
        <v>18</v>
      </c>
      <c r="AJ115" t="s">
        <v>18</v>
      </c>
      <c r="AK115" t="s">
        <v>18</v>
      </c>
      <c r="AL115" t="s">
        <v>18</v>
      </c>
    </row>
    <row r="116" spans="3:38" x14ac:dyDescent="0.25">
      <c r="C116">
        <v>111</v>
      </c>
      <c r="D116">
        <v>20.708100000000002</v>
      </c>
      <c r="E116">
        <v>7320000</v>
      </c>
      <c r="F116">
        <v>6.8645110810583923</v>
      </c>
      <c r="G116" t="b">
        <v>1</v>
      </c>
      <c r="H116">
        <v>28.2758</v>
      </c>
      <c r="I116">
        <v>75900</v>
      </c>
      <c r="J116">
        <v>4.8802417758954801</v>
      </c>
      <c r="K116" t="b">
        <v>1</v>
      </c>
      <c r="L116">
        <v>9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C116" t="s">
        <v>18</v>
      </c>
      <c r="AD116" t="s">
        <v>18</v>
      </c>
      <c r="AE116" t="s">
        <v>18</v>
      </c>
      <c r="AF116" t="s">
        <v>18</v>
      </c>
      <c r="AG116" t="s">
        <v>18</v>
      </c>
      <c r="AH116" t="s">
        <v>18</v>
      </c>
      <c r="AI116" t="s">
        <v>18</v>
      </c>
      <c r="AJ116" t="s">
        <v>18</v>
      </c>
      <c r="AK116" t="s">
        <v>18</v>
      </c>
      <c r="AL116" t="s">
        <v>18</v>
      </c>
    </row>
    <row r="117" spans="3:38" x14ac:dyDescent="0.25">
      <c r="C117">
        <v>112</v>
      </c>
      <c r="D117">
        <v>20.389399999999998</v>
      </c>
      <c r="E117">
        <v>4400000</v>
      </c>
      <c r="F117">
        <v>6.6434526764861879</v>
      </c>
      <c r="G117" t="b">
        <v>1</v>
      </c>
      <c r="H117">
        <v>25.028300000000002</v>
      </c>
      <c r="I117">
        <v>558000</v>
      </c>
      <c r="J117">
        <v>5.7466341989375787</v>
      </c>
      <c r="K117" t="b">
        <v>1</v>
      </c>
      <c r="L117">
        <v>14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  <c r="Z117" t="s">
        <v>18</v>
      </c>
      <c r="AC117" t="s">
        <v>18</v>
      </c>
      <c r="AD117" t="s">
        <v>18</v>
      </c>
      <c r="AE117" t="s">
        <v>18</v>
      </c>
      <c r="AF117" t="s">
        <v>18</v>
      </c>
      <c r="AG117" t="s">
        <v>18</v>
      </c>
      <c r="AH117" t="s">
        <v>18</v>
      </c>
      <c r="AI117" t="s">
        <v>18</v>
      </c>
      <c r="AJ117" t="s">
        <v>18</v>
      </c>
      <c r="AK117" t="s">
        <v>18</v>
      </c>
      <c r="AL117" t="s">
        <v>18</v>
      </c>
    </row>
    <row r="118" spans="3:38" x14ac:dyDescent="0.25">
      <c r="C118">
        <v>113</v>
      </c>
      <c r="D118">
        <v>23.1661</v>
      </c>
      <c r="E118">
        <v>1540000</v>
      </c>
      <c r="F118">
        <v>6.1875207208364627</v>
      </c>
      <c r="G118" t="b">
        <v>1</v>
      </c>
      <c r="H118" t="s">
        <v>39</v>
      </c>
      <c r="I118">
        <v>0</v>
      </c>
      <c r="J118" t="s">
        <v>18</v>
      </c>
      <c r="K118" t="b">
        <v>0</v>
      </c>
      <c r="L118">
        <v>7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C118" t="s">
        <v>18</v>
      </c>
      <c r="AD118" t="s">
        <v>18</v>
      </c>
      <c r="AE118" t="s">
        <v>18</v>
      </c>
      <c r="AF118" t="s">
        <v>18</v>
      </c>
      <c r="AG118" t="s">
        <v>18</v>
      </c>
      <c r="AH118" t="s">
        <v>18</v>
      </c>
      <c r="AI118" t="s">
        <v>18</v>
      </c>
      <c r="AJ118" t="s">
        <v>18</v>
      </c>
      <c r="AK118" t="s">
        <v>18</v>
      </c>
      <c r="AL118" t="s">
        <v>18</v>
      </c>
    </row>
    <row r="119" spans="3:38" x14ac:dyDescent="0.25">
      <c r="C119">
        <v>114</v>
      </c>
      <c r="D119">
        <v>30.798400000000001</v>
      </c>
      <c r="E119">
        <v>12100</v>
      </c>
      <c r="F119">
        <v>4.0827853703164498</v>
      </c>
      <c r="G119" t="b">
        <v>1</v>
      </c>
      <c r="H119">
        <v>39.256300000000003</v>
      </c>
      <c r="I119">
        <v>89.318799999999996</v>
      </c>
      <c r="J119">
        <v>1.9509428796828854</v>
      </c>
      <c r="K119" t="b">
        <v>0</v>
      </c>
      <c r="L119">
        <v>9</v>
      </c>
      <c r="Q119" t="s">
        <v>18</v>
      </c>
      <c r="R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t="s">
        <v>18</v>
      </c>
      <c r="AH119" t="s">
        <v>18</v>
      </c>
      <c r="AI119" t="s">
        <v>18</v>
      </c>
      <c r="AJ119" t="s">
        <v>18</v>
      </c>
      <c r="AK119" t="s">
        <v>18</v>
      </c>
      <c r="AL119" t="s">
        <v>18</v>
      </c>
    </row>
    <row r="120" spans="3:38" x14ac:dyDescent="0.25">
      <c r="C120">
        <v>115</v>
      </c>
      <c r="D120">
        <v>19.718699999999998</v>
      </c>
      <c r="E120">
        <v>13700000</v>
      </c>
      <c r="F120">
        <v>7.1367205671564067</v>
      </c>
      <c r="G120" t="b">
        <v>1</v>
      </c>
      <c r="H120">
        <v>28.1707</v>
      </c>
      <c r="I120">
        <v>81000</v>
      </c>
      <c r="J120">
        <v>4.9084850188786495</v>
      </c>
      <c r="K120" t="b">
        <v>1</v>
      </c>
      <c r="L120">
        <v>9</v>
      </c>
      <c r="Q120" t="s">
        <v>18</v>
      </c>
      <c r="R120" t="s">
        <v>18</v>
      </c>
      <c r="S120" t="s">
        <v>157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t="s">
        <v>18</v>
      </c>
      <c r="AH120" t="s">
        <v>18</v>
      </c>
      <c r="AI120" t="s">
        <v>18</v>
      </c>
      <c r="AJ120" t="s">
        <v>18</v>
      </c>
      <c r="AK120" t="s">
        <v>18</v>
      </c>
      <c r="AL120" t="s">
        <v>18</v>
      </c>
    </row>
    <row r="121" spans="3:38" x14ac:dyDescent="0.25">
      <c r="C121">
        <v>116</v>
      </c>
      <c r="D121">
        <v>22.186399999999999</v>
      </c>
      <c r="E121">
        <v>1720000</v>
      </c>
      <c r="F121">
        <v>6.2355284469075487</v>
      </c>
      <c r="G121" t="b">
        <v>1</v>
      </c>
      <c r="H121">
        <v>28.317399999999999</v>
      </c>
      <c r="I121">
        <v>74000</v>
      </c>
      <c r="J121">
        <v>4.8692317197309762</v>
      </c>
      <c r="K121" t="b">
        <v>1</v>
      </c>
      <c r="L121">
        <v>14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  <c r="Z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 t="s">
        <v>18</v>
      </c>
      <c r="AL121" t="s">
        <v>18</v>
      </c>
    </row>
    <row r="122" spans="3:38" x14ac:dyDescent="0.25">
      <c r="C122">
        <v>117</v>
      </c>
      <c r="D122">
        <v>21.201699999999999</v>
      </c>
      <c r="E122">
        <v>2870000</v>
      </c>
      <c r="F122">
        <v>6.4578818967339924</v>
      </c>
      <c r="G122" t="b">
        <v>1</v>
      </c>
      <c r="H122">
        <v>23.2028</v>
      </c>
      <c r="I122">
        <v>1710000</v>
      </c>
      <c r="J122">
        <v>6.2329961103921541</v>
      </c>
      <c r="K122" t="b">
        <v>1</v>
      </c>
      <c r="L122">
        <v>16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  <c r="Z122" t="s">
        <v>18</v>
      </c>
      <c r="AC122" t="s">
        <v>18</v>
      </c>
      <c r="AD122" t="s">
        <v>18</v>
      </c>
      <c r="AE122" t="s">
        <v>18</v>
      </c>
      <c r="AF122" t="s">
        <v>18</v>
      </c>
      <c r="AG122" t="s">
        <v>18</v>
      </c>
      <c r="AH122" t="s">
        <v>18</v>
      </c>
      <c r="AI122" t="s">
        <v>18</v>
      </c>
      <c r="AJ122" t="s">
        <v>18</v>
      </c>
      <c r="AK122" t="s">
        <v>18</v>
      </c>
      <c r="AL122" t="s">
        <v>18</v>
      </c>
    </row>
    <row r="123" spans="3:38" x14ac:dyDescent="0.25">
      <c r="C123">
        <v>118</v>
      </c>
      <c r="D123">
        <v>27.080300000000001</v>
      </c>
      <c r="E123">
        <v>128000</v>
      </c>
      <c r="F123">
        <v>5.1072099696478688</v>
      </c>
      <c r="G123" t="b">
        <v>1</v>
      </c>
      <c r="H123" t="s">
        <v>39</v>
      </c>
      <c r="I123">
        <v>0</v>
      </c>
      <c r="J123" t="s">
        <v>18</v>
      </c>
      <c r="K123" t="b">
        <v>0</v>
      </c>
      <c r="L123">
        <v>7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C123" t="s">
        <v>18</v>
      </c>
      <c r="AD123" t="s">
        <v>18</v>
      </c>
      <c r="AE123" t="s">
        <v>18</v>
      </c>
      <c r="AF123" t="s">
        <v>18</v>
      </c>
      <c r="AG123" t="s">
        <v>18</v>
      </c>
      <c r="AH123" t="s">
        <v>18</v>
      </c>
      <c r="AI123" t="s">
        <v>18</v>
      </c>
      <c r="AJ123" t="s">
        <v>18</v>
      </c>
      <c r="AK123" t="s">
        <v>18</v>
      </c>
      <c r="AL123" t="s">
        <v>18</v>
      </c>
    </row>
    <row r="124" spans="3:38" x14ac:dyDescent="0.25">
      <c r="C124">
        <v>119</v>
      </c>
      <c r="D124">
        <v>21.784800000000001</v>
      </c>
      <c r="E124">
        <v>2120000</v>
      </c>
      <c r="F124">
        <v>6.3263358609287517</v>
      </c>
      <c r="G124" t="b">
        <v>1</v>
      </c>
      <c r="H124">
        <v>24.0916</v>
      </c>
      <c r="I124">
        <v>992000</v>
      </c>
      <c r="J124">
        <v>5.9965116721541785</v>
      </c>
      <c r="K124" t="b">
        <v>1</v>
      </c>
      <c r="L124">
        <v>16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18</v>
      </c>
      <c r="AL124" t="s">
        <v>18</v>
      </c>
    </row>
    <row r="125" spans="3:38" x14ac:dyDescent="0.25">
      <c r="C125">
        <v>120</v>
      </c>
      <c r="D125">
        <v>20.340699999999998</v>
      </c>
      <c r="E125">
        <v>9240000</v>
      </c>
      <c r="F125">
        <v>6.9656719712201065</v>
      </c>
      <c r="G125" t="b">
        <v>1</v>
      </c>
      <c r="H125">
        <v>28.353899999999999</v>
      </c>
      <c r="I125">
        <v>72400</v>
      </c>
      <c r="J125">
        <v>4.8597385661971471</v>
      </c>
      <c r="K125" t="b">
        <v>1</v>
      </c>
      <c r="L125">
        <v>11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  <c r="Z125" t="s">
        <v>18</v>
      </c>
      <c r="AC125" t="s">
        <v>18</v>
      </c>
      <c r="AD125" t="s">
        <v>18</v>
      </c>
      <c r="AE125" t="s">
        <v>18</v>
      </c>
      <c r="AF125" t="s">
        <v>18</v>
      </c>
      <c r="AG125" t="s">
        <v>18</v>
      </c>
      <c r="AH125" t="s">
        <v>18</v>
      </c>
      <c r="AI125" t="s">
        <v>18</v>
      </c>
      <c r="AJ125" t="s">
        <v>18</v>
      </c>
      <c r="AK125" t="s">
        <v>18</v>
      </c>
      <c r="AL125" t="s">
        <v>18</v>
      </c>
    </row>
    <row r="129" spans="6:7" x14ac:dyDescent="0.25">
      <c r="F129" t="s">
        <v>54</v>
      </c>
      <c r="G129">
        <f>COUNTIF(Table3[Positive],"TRUE")</f>
        <v>94</v>
      </c>
    </row>
    <row r="130" spans="6:7" ht="45" x14ac:dyDescent="0.25">
      <c r="F130" s="184" t="s">
        <v>77</v>
      </c>
      <c r="G130">
        <f>COUNTIFS(Table3[Positive],TRUE,Table3[Disseminated],FALSE)</f>
        <v>21</v>
      </c>
    </row>
    <row r="131" spans="6:7" ht="30" x14ac:dyDescent="0.25">
      <c r="F131" s="184" t="s">
        <v>78</v>
      </c>
      <c r="G131">
        <f>COUNTIFS(Table3[Positive],TRUE,Table3[Disseminated],TRUE)</f>
        <v>68</v>
      </c>
    </row>
    <row r="132" spans="6:7" x14ac:dyDescent="0.25">
      <c r="F132" t="s">
        <v>79</v>
      </c>
      <c r="G132">
        <f>COUNTIF(Table3[Positive],FALSE)</f>
        <v>26</v>
      </c>
    </row>
  </sheetData>
  <sortState ref="AP6:AZ99">
    <sortCondition ref="AP6"/>
  </sortState>
  <mergeCells count="5">
    <mergeCell ref="D4:F4"/>
    <mergeCell ref="D1:K2"/>
    <mergeCell ref="H4:J4"/>
    <mergeCell ref="T3:W3"/>
    <mergeCell ref="AF3:AI3"/>
  </mergeCells>
  <conditionalFormatting sqref="K6:K125">
    <cfRule type="cellIs" dxfId="96" priority="3" operator="equal">
      <formula>TRUE</formula>
    </cfRule>
  </conditionalFormatting>
  <conditionalFormatting sqref="Q6:Q99">
    <cfRule type="duplicateValues" dxfId="95" priority="1"/>
  </conditionalFormatting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F4141"/>
  </sheetPr>
  <dimension ref="A1:AW194"/>
  <sheetViews>
    <sheetView workbookViewId="0"/>
  </sheetViews>
  <sheetFormatPr defaultRowHeight="15" x14ac:dyDescent="0.25"/>
  <cols>
    <col min="1" max="1" width="16.42578125" customWidth="1"/>
    <col min="3" max="3" width="15.5703125" customWidth="1"/>
    <col min="4" max="4" width="12.7109375" customWidth="1"/>
    <col min="5" max="5" width="15" bestFit="1" customWidth="1"/>
    <col min="6" max="11" width="13.140625" bestFit="1" customWidth="1"/>
    <col min="12" max="12" width="9.28515625" bestFit="1" customWidth="1"/>
    <col min="13" max="14" width="13.140625" bestFit="1" customWidth="1"/>
    <col min="15" max="15" width="11.5703125" bestFit="1" customWidth="1"/>
    <col min="16" max="16" width="11.28515625" customWidth="1"/>
    <col min="17" max="17" width="16" customWidth="1"/>
    <col min="18" max="18" width="14.140625" bestFit="1" customWidth="1"/>
    <col min="19" max="19" width="18.7109375" customWidth="1"/>
    <col min="20" max="20" width="11.85546875" customWidth="1"/>
    <col min="21" max="21" width="15.85546875" customWidth="1"/>
    <col min="22" max="22" width="13.85546875" bestFit="1" customWidth="1"/>
    <col min="23" max="23" width="17" bestFit="1" customWidth="1"/>
    <col min="24" max="24" width="10.85546875" customWidth="1"/>
    <col min="25" max="25" width="17" bestFit="1" customWidth="1"/>
    <col min="26" max="26" width="13.28515625" bestFit="1" customWidth="1"/>
    <col min="30" max="30" width="15.28515625" customWidth="1"/>
  </cols>
  <sheetData>
    <row r="1" spans="4:49" ht="36" customHeight="1" x14ac:dyDescent="0.25">
      <c r="D1" s="133" t="s">
        <v>7</v>
      </c>
      <c r="E1" s="2"/>
      <c r="F1" s="2"/>
      <c r="G1" s="2"/>
      <c r="H1" s="2"/>
      <c r="I1" s="369" t="s">
        <v>8</v>
      </c>
      <c r="J1" s="369"/>
      <c r="K1" s="369"/>
      <c r="L1" s="369"/>
      <c r="M1" s="369"/>
      <c r="N1" s="2"/>
      <c r="O1" s="132"/>
      <c r="P1" s="136" t="s">
        <v>61</v>
      </c>
      <c r="Q1" s="136"/>
      <c r="R1" s="137" t="s">
        <v>59</v>
      </c>
      <c r="S1" s="296"/>
      <c r="T1" s="125"/>
      <c r="U1" s="274"/>
      <c r="V1" s="202"/>
      <c r="W1" s="202"/>
      <c r="X1" s="226"/>
      <c r="Y1" s="202"/>
      <c r="Z1" s="202"/>
      <c r="AA1" s="202"/>
      <c r="AB1" s="202"/>
      <c r="AC1" s="202"/>
      <c r="AD1" s="125"/>
      <c r="AE1" s="125">
        <f>DATEDIF(AE3,O5,"D")</f>
        <v>4</v>
      </c>
      <c r="AF1" s="125"/>
      <c r="AG1" s="125"/>
      <c r="AH1" s="2"/>
    </row>
    <row r="2" spans="4:49" ht="25.5" x14ac:dyDescent="0.25">
      <c r="D2" s="17"/>
      <c r="E2" s="148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AW2" t="s">
        <v>66</v>
      </c>
    </row>
    <row r="3" spans="4:49" ht="15" customHeight="1" x14ac:dyDescent="0.25">
      <c r="D3" s="130"/>
      <c r="E3" s="352">
        <v>42838</v>
      </c>
      <c r="F3" s="352">
        <v>42843</v>
      </c>
      <c r="G3" s="352">
        <v>42846</v>
      </c>
      <c r="H3" s="352">
        <v>42850</v>
      </c>
      <c r="I3" s="352">
        <v>42853</v>
      </c>
      <c r="J3" s="352">
        <v>42857</v>
      </c>
      <c r="K3" s="352">
        <v>42860</v>
      </c>
      <c r="L3" s="352">
        <v>42864</v>
      </c>
      <c r="M3" s="352">
        <v>42867</v>
      </c>
      <c r="N3" s="352">
        <v>42871</v>
      </c>
      <c r="O3" s="131" t="s">
        <v>19</v>
      </c>
      <c r="P3" s="135" t="s">
        <v>54</v>
      </c>
      <c r="Q3" s="135" t="s">
        <v>33</v>
      </c>
      <c r="S3" s="346" t="s">
        <v>128</v>
      </c>
      <c r="T3" t="s">
        <v>104</v>
      </c>
      <c r="U3" t="s">
        <v>122</v>
      </c>
      <c r="W3" s="363" t="s">
        <v>114</v>
      </c>
      <c r="X3" s="364"/>
      <c r="Y3" s="364"/>
      <c r="Z3" s="365"/>
      <c r="AD3" s="236"/>
      <c r="AE3" s="235">
        <v>42838</v>
      </c>
      <c r="AF3" s="131">
        <v>42843</v>
      </c>
      <c r="AG3" s="131">
        <v>42846</v>
      </c>
      <c r="AH3" s="131">
        <v>42850</v>
      </c>
      <c r="AI3" s="131">
        <v>42853</v>
      </c>
      <c r="AJ3" s="131">
        <v>42857</v>
      </c>
      <c r="AK3" s="131">
        <v>42860</v>
      </c>
      <c r="AL3" s="131">
        <v>42864</v>
      </c>
      <c r="AM3" s="131">
        <v>42867</v>
      </c>
      <c r="AN3" s="131">
        <v>42871</v>
      </c>
      <c r="AW3" t="s">
        <v>67</v>
      </c>
    </row>
    <row r="4" spans="4:49" ht="15" customHeight="1" x14ac:dyDescent="0.25">
      <c r="D4" s="7" t="s">
        <v>49</v>
      </c>
      <c r="E4" s="14">
        <v>3</v>
      </c>
      <c r="F4" s="14">
        <v>8</v>
      </c>
      <c r="G4" s="14">
        <v>11</v>
      </c>
      <c r="H4" s="14">
        <v>15</v>
      </c>
      <c r="I4" s="14">
        <v>18</v>
      </c>
      <c r="J4" s="14">
        <v>22</v>
      </c>
      <c r="K4" s="14">
        <v>25</v>
      </c>
      <c r="L4" s="14">
        <v>29</v>
      </c>
      <c r="M4" s="14">
        <v>32</v>
      </c>
      <c r="N4" s="14">
        <v>36</v>
      </c>
      <c r="O4" s="131" t="s">
        <v>19</v>
      </c>
      <c r="P4" s="135" t="s">
        <v>54</v>
      </c>
      <c r="Q4" s="135" t="s">
        <v>33</v>
      </c>
      <c r="R4" s="345" t="s">
        <v>62</v>
      </c>
      <c r="S4" s="346" t="s">
        <v>128</v>
      </c>
      <c r="T4" t="s">
        <v>104</v>
      </c>
      <c r="U4" t="s">
        <v>122</v>
      </c>
      <c r="W4" s="135" t="s">
        <v>79</v>
      </c>
      <c r="X4" s="135" t="s">
        <v>54</v>
      </c>
      <c r="Y4" s="135" t="s">
        <v>115</v>
      </c>
      <c r="Z4" s="135" t="s">
        <v>33</v>
      </c>
      <c r="AA4" s="287" t="s">
        <v>6</v>
      </c>
      <c r="AD4" s="237"/>
      <c r="AE4" s="233">
        <v>3</v>
      </c>
      <c r="AF4" s="233">
        <v>8</v>
      </c>
      <c r="AG4" s="233">
        <v>11</v>
      </c>
      <c r="AH4" s="233">
        <v>15</v>
      </c>
      <c r="AI4" s="233">
        <v>18</v>
      </c>
      <c r="AJ4" s="233">
        <v>22</v>
      </c>
      <c r="AK4" s="233">
        <v>25</v>
      </c>
      <c r="AL4" s="233">
        <v>29</v>
      </c>
      <c r="AM4" s="233">
        <v>32</v>
      </c>
      <c r="AN4" s="234">
        <v>36</v>
      </c>
      <c r="AW4" t="s">
        <v>68</v>
      </c>
    </row>
    <row r="5" spans="4:49" ht="15.75" x14ac:dyDescent="0.25">
      <c r="D5" s="20">
        <v>1</v>
      </c>
      <c r="E5" s="182">
        <v>1</v>
      </c>
      <c r="F5" s="182"/>
      <c r="G5" s="182"/>
      <c r="H5" s="182"/>
      <c r="I5" s="182"/>
      <c r="J5" s="182"/>
      <c r="K5" s="182"/>
      <c r="L5" s="182"/>
      <c r="M5" s="182"/>
      <c r="N5" s="182"/>
      <c r="O5" s="56">
        <v>42842</v>
      </c>
      <c r="P5" s="134" t="b">
        <v>1</v>
      </c>
      <c r="Q5" s="134" t="b">
        <v>0</v>
      </c>
      <c r="R5">
        <f>IFERROR(AVERAGE(E5:N5),"N/A")</f>
        <v>1</v>
      </c>
      <c r="S5">
        <f>IFERROR(AVERAGEIF(E5:N5,"&gt;"&amp;0),"")</f>
        <v>1</v>
      </c>
      <c r="T5">
        <f>IFERROR(LARGE(E5:N5,1),"")</f>
        <v>1</v>
      </c>
      <c r="U5">
        <f>COUNTIF($E5:$N5,"&gt;"&amp;0)</f>
        <v>1</v>
      </c>
      <c r="W5" s="236" t="s">
        <v>18</v>
      </c>
      <c r="X5" s="236">
        <v>1</v>
      </c>
      <c r="Y5" s="236">
        <v>1</v>
      </c>
      <c r="Z5" s="236" t="s">
        <v>18</v>
      </c>
      <c r="AD5" s="236">
        <f t="shared" ref="AD5:AD36" si="0">D5</f>
        <v>1</v>
      </c>
      <c r="AE5" s="43">
        <f>IF(IFERROR(DATEDIF(AE$3,$O5,"D")&gt;=0,FALSE),IFERROR(AVERAGE($E5:E5),"N/A"),"")</f>
        <v>1</v>
      </c>
      <c r="AF5" s="43" t="str">
        <f>IF(IFERROR(DATEDIF(AF$3,$O5,"D")&gt;=0,FALSE),IFERROR(AVERAGE($E5:F5),"N/A"),"")</f>
        <v/>
      </c>
      <c r="AG5" s="43" t="str">
        <f>IF(IFERROR(DATEDIF(AG$3,$O5,"D")&gt;=0,FALSE),IFERROR(AVERAGE($E5:G5),"N/A"),"")</f>
        <v/>
      </c>
      <c r="AH5" s="43" t="str">
        <f>IF(IFERROR(DATEDIF(AH$3,$O5,"D")&gt;=0,FALSE),IFERROR(AVERAGE($E5:H5),"N/A"),"")</f>
        <v/>
      </c>
      <c r="AI5" s="43" t="str">
        <f>IF(IFERROR(DATEDIF(AI$3,$O5,"D")&gt;=0,FALSE),IFERROR(AVERAGE($E5:I5),"N/A"),"")</f>
        <v/>
      </c>
      <c r="AJ5" s="43" t="str">
        <f>IF(IFERROR(DATEDIF(AJ$3,$O5,"D")&gt;=0,FALSE),IFERROR(AVERAGE($E5:J5),"N/A"),"")</f>
        <v/>
      </c>
      <c r="AK5" s="43" t="str">
        <f>IF(IFERROR(DATEDIF(AK$3,$O5,"D")&gt;=0,FALSE),IFERROR(AVERAGE($E5:K5),"N/A"),"")</f>
        <v/>
      </c>
      <c r="AL5" s="43" t="str">
        <f>IF(IFERROR(DATEDIF(AL$3,$O5,"D")&gt;=0,FALSE),IFERROR(AVERAGE($E5:L5),"N/A"),"")</f>
        <v/>
      </c>
      <c r="AM5" s="43" t="str">
        <f>IF(IFERROR(DATEDIF(AM$3,$O5,"D")&gt;=0,FALSE),IFERROR(AVERAGE($E5:M5),"N/A"),"")</f>
        <v/>
      </c>
      <c r="AN5" s="128" t="str">
        <f>IF(IFERROR(DATEDIF(AN$3,$O5,"D")&gt;=0,FALSE),IFERROR(AVERAGE($E5:N5),"N/A"),"")</f>
        <v/>
      </c>
    </row>
    <row r="6" spans="4:49" ht="15.75" x14ac:dyDescent="0.25">
      <c r="D6" s="21">
        <v>2</v>
      </c>
      <c r="E6" s="182">
        <v>3</v>
      </c>
      <c r="F6" s="182">
        <v>0</v>
      </c>
      <c r="G6" s="182">
        <v>2</v>
      </c>
      <c r="H6" s="182">
        <v>0</v>
      </c>
      <c r="I6" s="182">
        <v>0</v>
      </c>
      <c r="J6" s="182">
        <v>1</v>
      </c>
      <c r="K6" s="182">
        <v>2</v>
      </c>
      <c r="L6" s="182">
        <v>2</v>
      </c>
      <c r="M6" s="182">
        <v>0</v>
      </c>
      <c r="N6" s="182">
        <v>0</v>
      </c>
      <c r="O6" s="56">
        <v>42872</v>
      </c>
      <c r="P6" s="134" t="b">
        <v>1</v>
      </c>
      <c r="Q6" s="134" t="b">
        <v>1</v>
      </c>
      <c r="R6">
        <f t="shared" ref="R6:R69" si="1">IFERROR(AVERAGE(E6:N6),"N/A")</f>
        <v>1</v>
      </c>
      <c r="S6">
        <f t="shared" ref="S6:S69" si="2">IFERROR(AVERAGEIF(E6:N6,"&gt;"&amp;0),"")</f>
        <v>2</v>
      </c>
      <c r="T6">
        <f t="shared" ref="T6:T69" si="3">IFERROR(LARGE(E6:N6,1),"")</f>
        <v>3</v>
      </c>
      <c r="U6">
        <f t="shared" ref="U6:U69" si="4">COUNTIF($E6:$N6,"&gt;"&amp;0)</f>
        <v>5</v>
      </c>
      <c r="W6" s="134" t="s">
        <v>18</v>
      </c>
      <c r="X6" s="134">
        <v>1</v>
      </c>
      <c r="Y6" s="134" t="s">
        <v>18</v>
      </c>
      <c r="Z6" s="134">
        <v>1</v>
      </c>
      <c r="AD6" s="134">
        <f t="shared" si="0"/>
        <v>2</v>
      </c>
      <c r="AE6" s="43">
        <f>IF(IFERROR(DATEDIF(AE$3,$O6,"D")&gt;=0,FALSE),IFERROR(AVERAGE($E6:E6),"N/A"),"")</f>
        <v>3</v>
      </c>
      <c r="AF6" s="43">
        <f>IF(IFERROR(DATEDIF(AF$3,$O6,"D")&gt;=0,FALSE),IFERROR(AVERAGE($E6:F6),"N/A"),"")</f>
        <v>1.5</v>
      </c>
      <c r="AG6" s="43">
        <f>IF(IFERROR(DATEDIF(AG$3,$O6,"D")&gt;=0,FALSE),IFERROR(AVERAGE($E6:G6),"N/A"),"")</f>
        <v>1.6666666666666667</v>
      </c>
      <c r="AH6" s="43">
        <f>IF(IFERROR(DATEDIF(AH$3,$O6,"D")&gt;=0,FALSE),IFERROR(AVERAGE($E6:H6),"N/A"),"")</f>
        <v>1.25</v>
      </c>
      <c r="AI6" s="43">
        <f>IF(IFERROR(DATEDIF(AI$3,$O6,"D")&gt;=0,FALSE),IFERROR(AVERAGE($E6:I6),"N/A"),"")</f>
        <v>1</v>
      </c>
      <c r="AJ6" s="43">
        <f>IF(IFERROR(DATEDIF(AJ$3,$O6,"D")&gt;=0,FALSE),IFERROR(AVERAGE($E6:J6),"N/A"),"")</f>
        <v>1</v>
      </c>
      <c r="AK6" s="43">
        <f>IF(IFERROR(DATEDIF(AK$3,$O6,"D")&gt;=0,FALSE),IFERROR(AVERAGE($E6:K6),"N/A"),"")</f>
        <v>1.1428571428571428</v>
      </c>
      <c r="AL6" s="43">
        <f>IF(IFERROR(DATEDIF(AL$3,$O6,"D")&gt;=0,FALSE),IFERROR(AVERAGE($E6:L6),"N/A"),"")</f>
        <v>1.25</v>
      </c>
      <c r="AM6" s="43">
        <f>IF(IFERROR(DATEDIF(AM$3,$O6,"D")&gt;=0,FALSE),IFERROR(AVERAGE($E6:M6),"N/A"),"")</f>
        <v>1.1111111111111112</v>
      </c>
      <c r="AN6" s="128">
        <f>IF(IFERROR(DATEDIF(AN$3,$O6,"D")&gt;=0,FALSE),IFERROR(AVERAGE($E6:N6),"N/A"),"")</f>
        <v>1</v>
      </c>
    </row>
    <row r="7" spans="4:49" ht="15" customHeight="1" x14ac:dyDescent="0.25">
      <c r="D7" s="20">
        <v>3</v>
      </c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56">
        <v>42836</v>
      </c>
      <c r="P7" s="134" t="b">
        <v>1</v>
      </c>
      <c r="Q7" s="134" t="s">
        <v>48</v>
      </c>
      <c r="R7" t="str">
        <f t="shared" si="1"/>
        <v>N/A</v>
      </c>
      <c r="S7" t="str">
        <f t="shared" si="2"/>
        <v/>
      </c>
      <c r="T7" t="str">
        <f t="shared" si="3"/>
        <v/>
      </c>
      <c r="U7">
        <f t="shared" si="4"/>
        <v>0</v>
      </c>
      <c r="W7" s="134" t="s">
        <v>18</v>
      </c>
      <c r="X7" s="134">
        <v>0</v>
      </c>
      <c r="Y7" s="134">
        <v>0</v>
      </c>
      <c r="Z7" s="134" t="s">
        <v>18</v>
      </c>
      <c r="AD7" s="134">
        <f t="shared" si="0"/>
        <v>3</v>
      </c>
      <c r="AE7" s="43" t="str">
        <f>IF(IFERROR(DATEDIF(AE$3,$O7,"D")&gt;=0,FALSE),IFERROR(AVERAGE($E7:E7),"N/A"),"")</f>
        <v/>
      </c>
      <c r="AF7" s="43" t="str">
        <f>IF(IFERROR(DATEDIF(AF$3,$O7,"D")&gt;=0,FALSE),IFERROR(AVERAGE($E7:F7),"N/A"),"")</f>
        <v/>
      </c>
      <c r="AG7" s="43" t="str">
        <f>IF(IFERROR(DATEDIF(AG$3,$O7,"D")&gt;=0,FALSE),IFERROR(AVERAGE($E7:G7),"N/A"),"")</f>
        <v/>
      </c>
      <c r="AH7" s="43" t="str">
        <f>IF(IFERROR(DATEDIF(AH$3,$O7,"D")&gt;=0,FALSE),IFERROR(AVERAGE($E7:H7),"N/A"),"")</f>
        <v/>
      </c>
      <c r="AI7" s="43" t="str">
        <f>IF(IFERROR(DATEDIF(AI$3,$O7,"D")&gt;=0,FALSE),IFERROR(AVERAGE($E7:I7),"N/A"),"")</f>
        <v/>
      </c>
      <c r="AJ7" s="43" t="str">
        <f>IF(IFERROR(DATEDIF(AJ$3,$O7,"D")&gt;=0,FALSE),IFERROR(AVERAGE($E7:J7),"N/A"),"")</f>
        <v/>
      </c>
      <c r="AK7" s="43" t="str">
        <f>IF(IFERROR(DATEDIF(AK$3,$O7,"D")&gt;=0,FALSE),IFERROR(AVERAGE($E7:K7),"N/A"),"")</f>
        <v/>
      </c>
      <c r="AL7" s="43" t="str">
        <f>IF(IFERROR(DATEDIF(AL$3,$O7,"D")&gt;=0,FALSE),IFERROR(AVERAGE($E7:L7),"N/A"),"")</f>
        <v/>
      </c>
      <c r="AM7" s="43" t="str">
        <f>IF(IFERROR(DATEDIF(AM$3,$O7,"D")&gt;=0,FALSE),IFERROR(AVERAGE($E7:M7),"N/A"),"")</f>
        <v/>
      </c>
      <c r="AN7" s="128" t="str">
        <f>IF(IFERROR(DATEDIF(AN$3,$O7,"D")&gt;=0,FALSE),IFERROR(AVERAGE($E7:N7),"N/A"),"")</f>
        <v/>
      </c>
    </row>
    <row r="8" spans="4:49" ht="15.75" x14ac:dyDescent="0.25">
      <c r="D8" s="20">
        <v>4</v>
      </c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56">
        <v>42838</v>
      </c>
      <c r="P8" s="134" t="b">
        <v>1</v>
      </c>
      <c r="Q8" s="134" t="s">
        <v>48</v>
      </c>
      <c r="R8" t="str">
        <f t="shared" si="1"/>
        <v>N/A</v>
      </c>
      <c r="S8" t="str">
        <f t="shared" si="2"/>
        <v/>
      </c>
      <c r="T8" t="str">
        <f t="shared" si="3"/>
        <v/>
      </c>
      <c r="U8">
        <f t="shared" si="4"/>
        <v>0</v>
      </c>
      <c r="W8" s="134" t="s">
        <v>18</v>
      </c>
      <c r="X8" s="134">
        <v>0</v>
      </c>
      <c r="Y8" s="134">
        <v>0</v>
      </c>
      <c r="Z8" s="134" t="s">
        <v>18</v>
      </c>
      <c r="AD8" s="134">
        <f t="shared" si="0"/>
        <v>4</v>
      </c>
      <c r="AE8" s="43" t="str">
        <f>IF(IFERROR(DATEDIF(AE$3,$O8,"D")&gt;=0,FALSE),IFERROR(AVERAGE($E8:E8),"N/A"),"")</f>
        <v>N/A</v>
      </c>
      <c r="AF8" s="43" t="str">
        <f>IF(IFERROR(DATEDIF(AF$3,$O8,"D")&gt;=0,FALSE),IFERROR(AVERAGE($E8:F8),"N/A"),"")</f>
        <v/>
      </c>
      <c r="AG8" s="43" t="str">
        <f>IF(IFERROR(DATEDIF(AG$3,$O8,"D")&gt;=0,FALSE),IFERROR(AVERAGE($E8:G8),"N/A"),"")</f>
        <v/>
      </c>
      <c r="AH8" s="43" t="str">
        <f>IF(IFERROR(DATEDIF(AH$3,$O8,"D")&gt;=0,FALSE),IFERROR(AVERAGE($E8:H8),"N/A"),"")</f>
        <v/>
      </c>
      <c r="AI8" s="43" t="str">
        <f>IF(IFERROR(DATEDIF(AI$3,$O8,"D")&gt;=0,FALSE),IFERROR(AVERAGE($E8:I8),"N/A"),"")</f>
        <v/>
      </c>
      <c r="AJ8" s="43" t="str">
        <f>IF(IFERROR(DATEDIF(AJ$3,$O8,"D")&gt;=0,FALSE),IFERROR(AVERAGE($E8:J8),"N/A"),"")</f>
        <v/>
      </c>
      <c r="AK8" s="43" t="str">
        <f>IF(IFERROR(DATEDIF(AK$3,$O8,"D")&gt;=0,FALSE),IFERROR(AVERAGE($E8:K8),"N/A"),"")</f>
        <v/>
      </c>
      <c r="AL8" s="43" t="str">
        <f>IF(IFERROR(DATEDIF(AL$3,$O8,"D")&gt;=0,FALSE),IFERROR(AVERAGE($E8:L8),"N/A"),"")</f>
        <v/>
      </c>
      <c r="AM8" s="43" t="str">
        <f>IF(IFERROR(DATEDIF(AM$3,$O8,"D")&gt;=0,FALSE),IFERROR(AVERAGE($E8:M8),"N/A"),"")</f>
        <v/>
      </c>
      <c r="AN8" s="128" t="str">
        <f>IF(IFERROR(DATEDIF(AN$3,$O8,"D")&gt;=0,FALSE),IFERROR(AVERAGE($E8:N8),"N/A"),"")</f>
        <v/>
      </c>
    </row>
    <row r="9" spans="4:49" ht="15.75" x14ac:dyDescent="0.25">
      <c r="D9" s="21">
        <v>5</v>
      </c>
      <c r="E9" s="182">
        <v>2</v>
      </c>
      <c r="F9" s="182">
        <v>3</v>
      </c>
      <c r="G9" s="182">
        <v>2</v>
      </c>
      <c r="H9" s="182"/>
      <c r="I9" s="182"/>
      <c r="J9" s="182"/>
      <c r="K9" s="182"/>
      <c r="L9" s="182"/>
      <c r="M9" s="182"/>
      <c r="N9" s="182"/>
      <c r="O9" s="56">
        <v>42849</v>
      </c>
      <c r="P9" s="134" t="b">
        <v>1</v>
      </c>
      <c r="Q9" s="134" t="b">
        <v>1</v>
      </c>
      <c r="R9">
        <f t="shared" si="1"/>
        <v>2.3333333333333335</v>
      </c>
      <c r="S9">
        <f t="shared" si="2"/>
        <v>2.3333333333333335</v>
      </c>
      <c r="T9">
        <f t="shared" si="3"/>
        <v>3</v>
      </c>
      <c r="U9">
        <f t="shared" si="4"/>
        <v>3</v>
      </c>
      <c r="W9" s="134" t="s">
        <v>18</v>
      </c>
      <c r="X9" s="134">
        <v>2.3333333333333335</v>
      </c>
      <c r="Y9" s="134" t="s">
        <v>18</v>
      </c>
      <c r="Z9" s="134">
        <v>2.3333333333333335</v>
      </c>
      <c r="AD9" s="134">
        <f t="shared" si="0"/>
        <v>5</v>
      </c>
      <c r="AE9" s="43">
        <f>IF(IFERROR(DATEDIF(AE$3,$O9,"D")&gt;=0,FALSE),IFERROR(AVERAGE($E9:E9),"N/A"),"")</f>
        <v>2</v>
      </c>
      <c r="AF9" s="43">
        <f>IF(IFERROR(DATEDIF(AF$3,$O9,"D")&gt;=0,FALSE),IFERROR(AVERAGE($E9:F9),"N/A"),"")</f>
        <v>2.5</v>
      </c>
      <c r="AG9" s="43">
        <f>IF(IFERROR(DATEDIF(AG$3,$O9,"D")&gt;=0,FALSE),IFERROR(AVERAGE($E9:G9),"N/A"),"")</f>
        <v>2.3333333333333335</v>
      </c>
      <c r="AH9" s="43" t="str">
        <f>IF(IFERROR(DATEDIF(AH$3,$O9,"D")&gt;=0,FALSE),IFERROR(AVERAGE($E9:H9),"N/A"),"")</f>
        <v/>
      </c>
      <c r="AI9" s="43" t="str">
        <f>IF(IFERROR(DATEDIF(AI$3,$O9,"D")&gt;=0,FALSE),IFERROR(AVERAGE($E9:I9),"N/A"),"")</f>
        <v/>
      </c>
      <c r="AJ9" s="43" t="str">
        <f>IF(IFERROR(DATEDIF(AJ$3,$O9,"D")&gt;=0,FALSE),IFERROR(AVERAGE($E9:J9),"N/A"),"")</f>
        <v/>
      </c>
      <c r="AK9" s="43" t="str">
        <f>IF(IFERROR(DATEDIF(AK$3,$O9,"D")&gt;=0,FALSE),IFERROR(AVERAGE($E9:K9),"N/A"),"")</f>
        <v/>
      </c>
      <c r="AL9" s="43" t="str">
        <f>IF(IFERROR(DATEDIF(AL$3,$O9,"D")&gt;=0,FALSE),IFERROR(AVERAGE($E9:L9),"N/A"),"")</f>
        <v/>
      </c>
      <c r="AM9" s="43" t="str">
        <f>IF(IFERROR(DATEDIF(AM$3,$O9,"D")&gt;=0,FALSE),IFERROR(AVERAGE($E9:M9),"N/A"),"")</f>
        <v/>
      </c>
      <c r="AN9" s="128" t="str">
        <f>IF(IFERROR(DATEDIF(AN$3,$O9,"D")&gt;=0,FALSE),IFERROR(AVERAGE($E9:N9),"N/A"),"")</f>
        <v/>
      </c>
    </row>
    <row r="10" spans="4:49" ht="15.75" x14ac:dyDescent="0.25">
      <c r="D10" s="20">
        <v>6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56">
        <v>42836</v>
      </c>
      <c r="P10" s="134" t="b">
        <v>1</v>
      </c>
      <c r="Q10" s="134" t="s">
        <v>48</v>
      </c>
      <c r="R10" t="str">
        <f t="shared" si="1"/>
        <v>N/A</v>
      </c>
      <c r="S10" t="str">
        <f t="shared" si="2"/>
        <v/>
      </c>
      <c r="T10" t="str">
        <f t="shared" si="3"/>
        <v/>
      </c>
      <c r="U10">
        <f t="shared" si="4"/>
        <v>0</v>
      </c>
      <c r="W10" s="134" t="s">
        <v>18</v>
      </c>
      <c r="X10" s="134">
        <v>0</v>
      </c>
      <c r="Y10" s="134">
        <v>0</v>
      </c>
      <c r="Z10" s="134" t="s">
        <v>18</v>
      </c>
      <c r="AD10" s="134">
        <f t="shared" si="0"/>
        <v>6</v>
      </c>
      <c r="AE10" s="43" t="str">
        <f>IF(IFERROR(DATEDIF(AE$3,$O10,"D")&gt;=0,FALSE),IFERROR(AVERAGE($E10:E10),"N/A"),"")</f>
        <v/>
      </c>
      <c r="AF10" s="43" t="str">
        <f>IF(IFERROR(DATEDIF(AF$3,$O10,"D")&gt;=0,FALSE),IFERROR(AVERAGE($E10:F10),"N/A"),"")</f>
        <v/>
      </c>
      <c r="AG10" s="43" t="str">
        <f>IF(IFERROR(DATEDIF(AG$3,$O10,"D")&gt;=0,FALSE),IFERROR(AVERAGE($E10:G10),"N/A"),"")</f>
        <v/>
      </c>
      <c r="AH10" s="43" t="str">
        <f>IF(IFERROR(DATEDIF(AH$3,$O10,"D")&gt;=0,FALSE),IFERROR(AVERAGE($E10:H10),"N/A"),"")</f>
        <v/>
      </c>
      <c r="AI10" s="43" t="str">
        <f>IF(IFERROR(DATEDIF(AI$3,$O10,"D")&gt;=0,FALSE),IFERROR(AVERAGE($E10:I10),"N/A"),"")</f>
        <v/>
      </c>
      <c r="AJ10" s="43" t="str">
        <f>IF(IFERROR(DATEDIF(AJ$3,$O10,"D")&gt;=0,FALSE),IFERROR(AVERAGE($E10:J10),"N/A"),"")</f>
        <v/>
      </c>
      <c r="AK10" s="43" t="str">
        <f>IF(IFERROR(DATEDIF(AK$3,$O10,"D")&gt;=0,FALSE),IFERROR(AVERAGE($E10:K10),"N/A"),"")</f>
        <v/>
      </c>
      <c r="AL10" s="43" t="str">
        <f>IF(IFERROR(DATEDIF(AL$3,$O10,"D")&gt;=0,FALSE),IFERROR(AVERAGE($E10:L10),"N/A"),"")</f>
        <v/>
      </c>
      <c r="AM10" s="43" t="str">
        <f>IF(IFERROR(DATEDIF(AM$3,$O10,"D")&gt;=0,FALSE),IFERROR(AVERAGE($E10:M10),"N/A"),"")</f>
        <v/>
      </c>
      <c r="AN10" s="128" t="str">
        <f>IF(IFERROR(DATEDIF(AN$3,$O10,"D")&gt;=0,FALSE),IFERROR(AVERAGE($E10:N10),"N/A"),"")</f>
        <v/>
      </c>
    </row>
    <row r="11" spans="4:49" ht="15.75" x14ac:dyDescent="0.25">
      <c r="D11" s="20">
        <v>7</v>
      </c>
      <c r="E11" s="182">
        <v>1</v>
      </c>
      <c r="F11" s="182">
        <v>3</v>
      </c>
      <c r="G11" s="182">
        <v>0</v>
      </c>
      <c r="H11" s="182">
        <v>1</v>
      </c>
      <c r="I11" s="182"/>
      <c r="J11" s="182"/>
      <c r="K11" s="182"/>
      <c r="L11" s="182"/>
      <c r="M11" s="182"/>
      <c r="N11" s="182"/>
      <c r="O11" s="56">
        <v>42853</v>
      </c>
      <c r="P11" s="134" t="b">
        <v>1</v>
      </c>
      <c r="Q11" s="134" t="b">
        <v>1</v>
      </c>
      <c r="R11">
        <f t="shared" si="1"/>
        <v>1.25</v>
      </c>
      <c r="S11">
        <f t="shared" si="2"/>
        <v>1.6666666666666667</v>
      </c>
      <c r="T11">
        <f t="shared" si="3"/>
        <v>3</v>
      </c>
      <c r="U11">
        <f t="shared" si="4"/>
        <v>3</v>
      </c>
      <c r="W11" s="134" t="s">
        <v>18</v>
      </c>
      <c r="X11" s="134">
        <v>1.25</v>
      </c>
      <c r="Y11" s="134" t="s">
        <v>18</v>
      </c>
      <c r="Z11" s="134">
        <v>1.25</v>
      </c>
      <c r="AD11" s="134">
        <f t="shared" si="0"/>
        <v>7</v>
      </c>
      <c r="AE11" s="43">
        <f>IF(IFERROR(DATEDIF(AE$3,$O11,"D")&gt;=0,FALSE),IFERROR(AVERAGE($E11:E11),"N/A"),"")</f>
        <v>1</v>
      </c>
      <c r="AF11" s="43">
        <f>IF(IFERROR(DATEDIF(AF$3,$O11,"D")&gt;=0,FALSE),IFERROR(AVERAGE($E11:F11),"N/A"),"")</f>
        <v>2</v>
      </c>
      <c r="AG11" s="43">
        <f>IF(IFERROR(DATEDIF(AG$3,$O11,"D")&gt;=0,FALSE),IFERROR(AVERAGE($E11:G11),"N/A"),"")</f>
        <v>1.3333333333333333</v>
      </c>
      <c r="AH11" s="43">
        <f>IF(IFERROR(DATEDIF(AH$3,$O11,"D")&gt;=0,FALSE),IFERROR(AVERAGE($E11:H11),"N/A"),"")</f>
        <v>1.25</v>
      </c>
      <c r="AI11" s="43">
        <f>IF(IFERROR(DATEDIF(AI$3,$O11,"D")&gt;=0,FALSE),IFERROR(AVERAGE($E11:I11),"N/A"),"")</f>
        <v>1.25</v>
      </c>
      <c r="AJ11" s="43" t="str">
        <f>IF(IFERROR(DATEDIF(AJ$3,$O11,"D")&gt;=0,FALSE),IFERROR(AVERAGE($E11:J11),"N/A"),"")</f>
        <v/>
      </c>
      <c r="AK11" s="43" t="str">
        <f>IF(IFERROR(DATEDIF(AK$3,$O11,"D")&gt;=0,FALSE),IFERROR(AVERAGE($E11:K11),"N/A"),"")</f>
        <v/>
      </c>
      <c r="AL11" s="43" t="str">
        <f>IF(IFERROR(DATEDIF(AL$3,$O11,"D")&gt;=0,FALSE),IFERROR(AVERAGE($E11:L11),"N/A"),"")</f>
        <v/>
      </c>
      <c r="AM11" s="43" t="str">
        <f>IF(IFERROR(DATEDIF(AM$3,$O11,"D")&gt;=0,FALSE),IFERROR(AVERAGE($E11:M11),"N/A"),"")</f>
        <v/>
      </c>
      <c r="AN11" s="128" t="str">
        <f>IF(IFERROR(DATEDIF(AN$3,$O11,"D")&gt;=0,FALSE),IFERROR(AVERAGE($E11:N11),"N/A"),"")</f>
        <v/>
      </c>
    </row>
    <row r="12" spans="4:49" ht="15.75" x14ac:dyDescent="0.25">
      <c r="D12" s="21">
        <v>8</v>
      </c>
      <c r="E12" s="182">
        <v>0</v>
      </c>
      <c r="F12" s="182">
        <v>2</v>
      </c>
      <c r="G12" s="182">
        <v>1</v>
      </c>
      <c r="H12" s="182">
        <v>2</v>
      </c>
      <c r="I12" s="182"/>
      <c r="J12" s="182"/>
      <c r="K12" s="182"/>
      <c r="L12" s="182"/>
      <c r="M12" s="182"/>
      <c r="N12" s="182"/>
      <c r="O12" s="56">
        <v>42851</v>
      </c>
      <c r="P12" s="134" t="b">
        <v>1</v>
      </c>
      <c r="Q12" s="134" t="b">
        <v>1</v>
      </c>
      <c r="R12">
        <f t="shared" si="1"/>
        <v>1.25</v>
      </c>
      <c r="S12">
        <f t="shared" si="2"/>
        <v>1.6666666666666667</v>
      </c>
      <c r="T12">
        <f t="shared" si="3"/>
        <v>2</v>
      </c>
      <c r="U12">
        <f t="shared" si="4"/>
        <v>3</v>
      </c>
      <c r="W12" s="134" t="s">
        <v>18</v>
      </c>
      <c r="X12" s="134">
        <v>1.25</v>
      </c>
      <c r="Y12" s="134" t="s">
        <v>18</v>
      </c>
      <c r="Z12" s="134">
        <v>1.25</v>
      </c>
      <c r="AD12" s="134">
        <f t="shared" si="0"/>
        <v>8</v>
      </c>
      <c r="AE12" s="43">
        <f>IF(IFERROR(DATEDIF(AE$3,$O12,"D")&gt;=0,FALSE),IFERROR(AVERAGE($E12:E12),"N/A"),"")</f>
        <v>0</v>
      </c>
      <c r="AF12" s="43">
        <f>IF(IFERROR(DATEDIF(AF$3,$O12,"D")&gt;=0,FALSE),IFERROR(AVERAGE($E12:F12),"N/A"),"")</f>
        <v>1</v>
      </c>
      <c r="AG12" s="43">
        <f>IF(IFERROR(DATEDIF(AG$3,$O12,"D")&gt;=0,FALSE),IFERROR(AVERAGE($E12:G12),"N/A"),"")</f>
        <v>1</v>
      </c>
      <c r="AH12" s="43">
        <f>IF(IFERROR(DATEDIF(AH$3,$O12,"D")&gt;=0,FALSE),IFERROR(AVERAGE($E12:H12),"N/A"),"")</f>
        <v>1.25</v>
      </c>
      <c r="AI12" s="43" t="str">
        <f>IF(IFERROR(DATEDIF(AI$3,$O12,"D")&gt;=0,FALSE),IFERROR(AVERAGE($E12:I12),"N/A"),"")</f>
        <v/>
      </c>
      <c r="AJ12" s="43" t="str">
        <f>IF(IFERROR(DATEDIF(AJ$3,$O12,"D")&gt;=0,FALSE),IFERROR(AVERAGE($E12:J12),"N/A"),"")</f>
        <v/>
      </c>
      <c r="AK12" s="43" t="str">
        <f>IF(IFERROR(DATEDIF(AK$3,$O12,"D")&gt;=0,FALSE),IFERROR(AVERAGE($E12:K12),"N/A"),"")</f>
        <v/>
      </c>
      <c r="AL12" s="43" t="str">
        <f>IF(IFERROR(DATEDIF(AL$3,$O12,"D")&gt;=0,FALSE),IFERROR(AVERAGE($E12:L12),"N/A"),"")</f>
        <v/>
      </c>
      <c r="AM12" s="43" t="str">
        <f>IF(IFERROR(DATEDIF(AM$3,$O12,"D")&gt;=0,FALSE),IFERROR(AVERAGE($E12:M12),"N/A"),"")</f>
        <v/>
      </c>
      <c r="AN12" s="128" t="str">
        <f>IF(IFERROR(DATEDIF(AN$3,$O12,"D")&gt;=0,FALSE),IFERROR(AVERAGE($E12:N12),"N/A"),"")</f>
        <v/>
      </c>
    </row>
    <row r="13" spans="4:49" ht="15.75" x14ac:dyDescent="0.25">
      <c r="D13" s="20">
        <v>9</v>
      </c>
      <c r="E13" s="182">
        <v>2</v>
      </c>
      <c r="F13" s="182">
        <v>3</v>
      </c>
      <c r="G13" s="182"/>
      <c r="H13" s="182"/>
      <c r="I13" s="182"/>
      <c r="J13" s="182"/>
      <c r="K13" s="182"/>
      <c r="L13" s="182"/>
      <c r="M13" s="182"/>
      <c r="N13" s="182"/>
      <c r="O13" s="56">
        <v>42846</v>
      </c>
      <c r="P13" s="134" t="b">
        <v>1</v>
      </c>
      <c r="Q13" s="134" t="b">
        <v>1</v>
      </c>
      <c r="R13">
        <f t="shared" si="1"/>
        <v>2.5</v>
      </c>
      <c r="S13">
        <f t="shared" si="2"/>
        <v>2.5</v>
      </c>
      <c r="T13">
        <f t="shared" si="3"/>
        <v>3</v>
      </c>
      <c r="U13">
        <f t="shared" si="4"/>
        <v>2</v>
      </c>
      <c r="W13" s="134" t="s">
        <v>18</v>
      </c>
      <c r="X13" s="134">
        <v>2.5</v>
      </c>
      <c r="Y13" s="134" t="s">
        <v>18</v>
      </c>
      <c r="Z13" s="134">
        <v>2.5</v>
      </c>
      <c r="AD13" s="134">
        <f t="shared" si="0"/>
        <v>9</v>
      </c>
      <c r="AE13" s="43">
        <f>IF(IFERROR(DATEDIF(AE$3,$O13,"D")&gt;=0,FALSE),IFERROR(AVERAGE($E13:E13),"N/A"),"")</f>
        <v>2</v>
      </c>
      <c r="AF13" s="43">
        <f>IF(IFERROR(DATEDIF(AF$3,$O13,"D")&gt;=0,FALSE),IFERROR(AVERAGE($E13:F13),"N/A"),"")</f>
        <v>2.5</v>
      </c>
      <c r="AG13" s="43">
        <f>IF(IFERROR(DATEDIF(AG$3,$O13,"D")&gt;=0,FALSE),IFERROR(AVERAGE($E13:G13),"N/A"),"")</f>
        <v>2.5</v>
      </c>
      <c r="AH13" s="43" t="str">
        <f>IF(IFERROR(DATEDIF(AH$3,$O13,"D")&gt;=0,FALSE),IFERROR(AVERAGE($E13:H13),"N/A"),"")</f>
        <v/>
      </c>
      <c r="AI13" s="43" t="str">
        <f>IF(IFERROR(DATEDIF(AI$3,$O13,"D")&gt;=0,FALSE),IFERROR(AVERAGE($E13:I13),"N/A"),"")</f>
        <v/>
      </c>
      <c r="AJ13" s="43" t="str">
        <f>IF(IFERROR(DATEDIF(AJ$3,$O13,"D")&gt;=0,FALSE),IFERROR(AVERAGE($E13:J13),"N/A"),"")</f>
        <v/>
      </c>
      <c r="AK13" s="43" t="str">
        <f>IF(IFERROR(DATEDIF(AK$3,$O13,"D")&gt;=0,FALSE),IFERROR(AVERAGE($E13:K13),"N/A"),"")</f>
        <v/>
      </c>
      <c r="AL13" s="43" t="str">
        <f>IF(IFERROR(DATEDIF(AL$3,$O13,"D")&gt;=0,FALSE),IFERROR(AVERAGE($E13:L13),"N/A"),"")</f>
        <v/>
      </c>
      <c r="AM13" s="43" t="str">
        <f>IF(IFERROR(DATEDIF(AM$3,$O13,"D")&gt;=0,FALSE),IFERROR(AVERAGE($E13:M13),"N/A"),"")</f>
        <v/>
      </c>
      <c r="AN13" s="128" t="str">
        <f>IF(IFERROR(DATEDIF(AN$3,$O13,"D")&gt;=0,FALSE),IFERROR(AVERAGE($E13:N13),"N/A"),"")</f>
        <v/>
      </c>
    </row>
    <row r="14" spans="4:49" ht="15.75" x14ac:dyDescent="0.25">
      <c r="D14" s="20">
        <v>10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/>
      <c r="K14" s="182"/>
      <c r="L14" s="182"/>
      <c r="M14" s="182"/>
      <c r="N14" s="182"/>
      <c r="O14" s="56">
        <v>42853</v>
      </c>
      <c r="P14" s="134" t="b">
        <v>0</v>
      </c>
      <c r="Q14" s="134" t="s">
        <v>48</v>
      </c>
      <c r="R14">
        <f t="shared" si="1"/>
        <v>0</v>
      </c>
      <c r="S14" t="str">
        <f t="shared" si="2"/>
        <v/>
      </c>
      <c r="T14">
        <f t="shared" si="3"/>
        <v>0</v>
      </c>
      <c r="U14">
        <f t="shared" si="4"/>
        <v>0</v>
      </c>
      <c r="W14" s="134">
        <v>0</v>
      </c>
      <c r="X14" s="134" t="s">
        <v>18</v>
      </c>
      <c r="Y14" s="134">
        <v>0</v>
      </c>
      <c r="Z14" s="134" t="s">
        <v>18</v>
      </c>
      <c r="AD14" s="134">
        <f t="shared" si="0"/>
        <v>10</v>
      </c>
      <c r="AE14" s="43">
        <f>IF(IFERROR(DATEDIF(AE$3,$O14,"D")&gt;=0,FALSE),IFERROR(AVERAGE($E14:E14),"N/A"),"")</f>
        <v>0</v>
      </c>
      <c r="AF14" s="43">
        <f>IF(IFERROR(DATEDIF(AF$3,$O14,"D")&gt;=0,FALSE),IFERROR(AVERAGE($E14:F14),"N/A"),"")</f>
        <v>0</v>
      </c>
      <c r="AG14" s="43">
        <f>IF(IFERROR(DATEDIF(AG$3,$O14,"D")&gt;=0,FALSE),IFERROR(AVERAGE($E14:G14),"N/A"),"")</f>
        <v>0</v>
      </c>
      <c r="AH14" s="43">
        <f>IF(IFERROR(DATEDIF(AH$3,$O14,"D")&gt;=0,FALSE),IFERROR(AVERAGE($E14:H14),"N/A"),"")</f>
        <v>0</v>
      </c>
      <c r="AI14" s="43">
        <f>IF(IFERROR(DATEDIF(AI$3,$O14,"D")&gt;=0,FALSE),IFERROR(AVERAGE($E14:I14),"N/A"),"")</f>
        <v>0</v>
      </c>
      <c r="AJ14" s="43" t="str">
        <f>IF(IFERROR(DATEDIF(AJ$3,$O14,"D")&gt;=0,FALSE),IFERROR(AVERAGE($E14:J14),"N/A"),"")</f>
        <v/>
      </c>
      <c r="AK14" s="43" t="str">
        <f>IF(IFERROR(DATEDIF(AK$3,$O14,"D")&gt;=0,FALSE),IFERROR(AVERAGE($E14:K14),"N/A"),"")</f>
        <v/>
      </c>
      <c r="AL14" s="43" t="str">
        <f>IF(IFERROR(DATEDIF(AL$3,$O14,"D")&gt;=0,FALSE),IFERROR(AVERAGE($E14:L14),"N/A"),"")</f>
        <v/>
      </c>
      <c r="AM14" s="43" t="str">
        <f>IF(IFERROR(DATEDIF(AM$3,$O14,"D")&gt;=0,FALSE),IFERROR(AVERAGE($E14:M14),"N/A"),"")</f>
        <v/>
      </c>
      <c r="AN14" s="128" t="str">
        <f>IF(IFERROR(DATEDIF(AN$3,$O14,"D")&gt;=0,FALSE),IFERROR(AVERAGE($E14:N14),"N/A"),"")</f>
        <v/>
      </c>
    </row>
    <row r="15" spans="4:49" ht="15.75" x14ac:dyDescent="0.25">
      <c r="D15" s="21">
        <v>11</v>
      </c>
      <c r="E15" s="182">
        <v>0</v>
      </c>
      <c r="F15" s="182">
        <v>1</v>
      </c>
      <c r="G15" s="182">
        <v>1</v>
      </c>
      <c r="H15" s="182">
        <v>1</v>
      </c>
      <c r="I15" s="182">
        <v>1</v>
      </c>
      <c r="J15" s="182">
        <v>3</v>
      </c>
      <c r="K15" s="182">
        <v>2</v>
      </c>
      <c r="L15" s="182"/>
      <c r="M15" s="182"/>
      <c r="N15" s="182"/>
      <c r="O15" s="56">
        <v>42864</v>
      </c>
      <c r="P15" s="134" t="b">
        <v>0</v>
      </c>
      <c r="Q15" s="134" t="s">
        <v>48</v>
      </c>
      <c r="R15">
        <f t="shared" si="1"/>
        <v>1.2857142857142858</v>
      </c>
      <c r="S15">
        <f t="shared" si="2"/>
        <v>1.5</v>
      </c>
      <c r="T15">
        <f t="shared" si="3"/>
        <v>3</v>
      </c>
      <c r="U15">
        <f t="shared" si="4"/>
        <v>6</v>
      </c>
      <c r="W15" s="134">
        <v>1.2857142857142858</v>
      </c>
      <c r="X15" s="134" t="s">
        <v>18</v>
      </c>
      <c r="Y15" s="134">
        <v>1.2857142857142858</v>
      </c>
      <c r="Z15" s="134" t="s">
        <v>18</v>
      </c>
      <c r="AD15" s="134">
        <f t="shared" si="0"/>
        <v>11</v>
      </c>
      <c r="AE15" s="43">
        <f>IF(IFERROR(DATEDIF(AE$3,$O15,"D")&gt;=0,FALSE),IFERROR(AVERAGE($E15:E15),"N/A"),"")</f>
        <v>0</v>
      </c>
      <c r="AF15" s="43">
        <f>IF(IFERROR(DATEDIF(AF$3,$O15,"D")&gt;=0,FALSE),IFERROR(AVERAGE($E15:F15),"N/A"),"")</f>
        <v>0.5</v>
      </c>
      <c r="AG15" s="43">
        <f>IF(IFERROR(DATEDIF(AG$3,$O15,"D")&gt;=0,FALSE),IFERROR(AVERAGE($E15:G15),"N/A"),"")</f>
        <v>0.66666666666666663</v>
      </c>
      <c r="AH15" s="43">
        <f>IF(IFERROR(DATEDIF(AH$3,$O15,"D")&gt;=0,FALSE),IFERROR(AVERAGE($E15:H15),"N/A"),"")</f>
        <v>0.75</v>
      </c>
      <c r="AI15" s="43">
        <f>IF(IFERROR(DATEDIF(AI$3,$O15,"D")&gt;=0,FALSE),IFERROR(AVERAGE($E15:I15),"N/A"),"")</f>
        <v>0.8</v>
      </c>
      <c r="AJ15" s="43">
        <f>IF(IFERROR(DATEDIF(AJ$3,$O15,"D")&gt;=0,FALSE),IFERROR(AVERAGE($E15:J15),"N/A"),"")</f>
        <v>1.1666666666666667</v>
      </c>
      <c r="AK15" s="43">
        <f>IF(IFERROR(DATEDIF(AK$3,$O15,"D")&gt;=0,FALSE),IFERROR(AVERAGE($E15:K15),"N/A"),"")</f>
        <v>1.2857142857142858</v>
      </c>
      <c r="AL15" s="43">
        <f>IF(IFERROR(DATEDIF(AL$3,$O15,"D")&gt;=0,FALSE),IFERROR(AVERAGE($E15:L15),"N/A"),"")</f>
        <v>1.2857142857142858</v>
      </c>
      <c r="AM15" s="43" t="str">
        <f>IF(IFERROR(DATEDIF(AM$3,$O15,"D")&gt;=0,FALSE),IFERROR(AVERAGE($E15:M15),"N/A"),"")</f>
        <v/>
      </c>
      <c r="AN15" s="128" t="str">
        <f>IF(IFERROR(DATEDIF(AN$3,$O15,"D")&gt;=0,FALSE),IFERROR(AVERAGE($E15:N15),"N/A"),"")</f>
        <v/>
      </c>
    </row>
    <row r="16" spans="4:49" ht="15.75" x14ac:dyDescent="0.25">
      <c r="D16" s="20">
        <v>12</v>
      </c>
      <c r="E16" s="182">
        <v>0</v>
      </c>
      <c r="F16" s="182"/>
      <c r="G16" s="182"/>
      <c r="H16" s="182"/>
      <c r="I16" s="182"/>
      <c r="J16" s="182"/>
      <c r="K16" s="182"/>
      <c r="L16" s="182"/>
      <c r="M16" s="182"/>
      <c r="N16" s="182"/>
      <c r="O16" s="56">
        <v>42842</v>
      </c>
      <c r="P16" s="134" t="b">
        <v>1</v>
      </c>
      <c r="Q16" s="134" t="b">
        <v>0</v>
      </c>
      <c r="R16">
        <f t="shared" si="1"/>
        <v>0</v>
      </c>
      <c r="S16" t="str">
        <f t="shared" si="2"/>
        <v/>
      </c>
      <c r="T16">
        <f t="shared" si="3"/>
        <v>0</v>
      </c>
      <c r="U16">
        <f t="shared" si="4"/>
        <v>0</v>
      </c>
      <c r="W16" s="134" t="s">
        <v>18</v>
      </c>
      <c r="X16" s="134">
        <v>0</v>
      </c>
      <c r="Y16" s="134">
        <v>0</v>
      </c>
      <c r="Z16" s="134" t="s">
        <v>18</v>
      </c>
      <c r="AD16" s="134">
        <f t="shared" si="0"/>
        <v>12</v>
      </c>
      <c r="AE16" s="43">
        <f>IF(IFERROR(DATEDIF(AE$3,$O16,"D")&gt;=0,FALSE),IFERROR(AVERAGE($E16:E16),"N/A"),"")</f>
        <v>0</v>
      </c>
      <c r="AF16" s="43" t="str">
        <f>IF(IFERROR(DATEDIF(AF$3,$O16,"D")&gt;=0,FALSE),IFERROR(AVERAGE($E16:F16),"N/A"),"")</f>
        <v/>
      </c>
      <c r="AG16" s="43" t="str">
        <f>IF(IFERROR(DATEDIF(AG$3,$O16,"D")&gt;=0,FALSE),IFERROR(AVERAGE($E16:G16),"N/A"),"")</f>
        <v/>
      </c>
      <c r="AH16" s="43" t="str">
        <f>IF(IFERROR(DATEDIF(AH$3,$O16,"D")&gt;=0,FALSE),IFERROR(AVERAGE($E16:H16),"N/A"),"")</f>
        <v/>
      </c>
      <c r="AI16" s="43" t="str">
        <f>IF(IFERROR(DATEDIF(AI$3,$O16,"D")&gt;=0,FALSE),IFERROR(AVERAGE($E16:I16),"N/A"),"")</f>
        <v/>
      </c>
      <c r="AJ16" s="43" t="str">
        <f>IF(IFERROR(DATEDIF(AJ$3,$O16,"D")&gt;=0,FALSE),IFERROR(AVERAGE($E16:J16),"N/A"),"")</f>
        <v/>
      </c>
      <c r="AK16" s="43" t="str">
        <f>IF(IFERROR(DATEDIF(AK$3,$O16,"D")&gt;=0,FALSE),IFERROR(AVERAGE($E16:K16),"N/A"),"")</f>
        <v/>
      </c>
      <c r="AL16" s="43" t="str">
        <f>IF(IFERROR(DATEDIF(AL$3,$O16,"D")&gt;=0,FALSE),IFERROR(AVERAGE($E16:L16),"N/A"),"")</f>
        <v/>
      </c>
      <c r="AM16" s="43" t="str">
        <f>IF(IFERROR(DATEDIF(AM$3,$O16,"D")&gt;=0,FALSE),IFERROR(AVERAGE($E16:M16),"N/A"),"")</f>
        <v/>
      </c>
      <c r="AN16" s="128" t="str">
        <f>IF(IFERROR(DATEDIF(AN$3,$O16,"D")&gt;=0,FALSE),IFERROR(AVERAGE($E16:N16),"N/A"),"")</f>
        <v/>
      </c>
    </row>
    <row r="17" spans="4:40" ht="15.75" x14ac:dyDescent="0.25">
      <c r="D17" s="20">
        <v>13</v>
      </c>
      <c r="E17" s="182">
        <v>0</v>
      </c>
      <c r="F17" s="182">
        <v>0</v>
      </c>
      <c r="G17" s="182">
        <v>2</v>
      </c>
      <c r="H17" s="182"/>
      <c r="I17" s="182"/>
      <c r="J17" s="182"/>
      <c r="K17" s="182"/>
      <c r="L17" s="182"/>
      <c r="M17" s="182"/>
      <c r="N17" s="182"/>
      <c r="O17" s="56">
        <v>42850</v>
      </c>
      <c r="P17" s="134" t="b">
        <v>1</v>
      </c>
      <c r="Q17" s="134" t="b">
        <v>0</v>
      </c>
      <c r="R17">
        <f t="shared" si="1"/>
        <v>0.66666666666666663</v>
      </c>
      <c r="S17">
        <f t="shared" si="2"/>
        <v>2</v>
      </c>
      <c r="T17">
        <f t="shared" si="3"/>
        <v>2</v>
      </c>
      <c r="U17">
        <f t="shared" si="4"/>
        <v>1</v>
      </c>
      <c r="W17" s="134" t="s">
        <v>18</v>
      </c>
      <c r="X17" s="134">
        <v>0.66666666666666663</v>
      </c>
      <c r="Y17" s="134">
        <v>0.66666666666666663</v>
      </c>
      <c r="Z17" s="134" t="s">
        <v>18</v>
      </c>
      <c r="AD17" s="134">
        <f t="shared" si="0"/>
        <v>13</v>
      </c>
      <c r="AE17" s="43">
        <f>IF(IFERROR(DATEDIF(AE$3,$O17,"D")&gt;=0,FALSE),IFERROR(AVERAGE($E17:E17),"N/A"),"")</f>
        <v>0</v>
      </c>
      <c r="AF17" s="43">
        <f>IF(IFERROR(DATEDIF(AF$3,$O17,"D")&gt;=0,FALSE),IFERROR(AVERAGE($E17:F17),"N/A"),"")</f>
        <v>0</v>
      </c>
      <c r="AG17" s="43">
        <f>IF(IFERROR(DATEDIF(AG$3,$O17,"D")&gt;=0,FALSE),IFERROR(AVERAGE($E17:G17),"N/A"),"")</f>
        <v>0.66666666666666663</v>
      </c>
      <c r="AH17" s="43">
        <f>IF(IFERROR(DATEDIF(AH$3,$O17,"D")&gt;=0,FALSE),IFERROR(AVERAGE($E17:H17),"N/A"),"")</f>
        <v>0.66666666666666663</v>
      </c>
      <c r="AI17" s="43" t="str">
        <f>IF(IFERROR(DATEDIF(AI$3,$O17,"D")&gt;=0,FALSE),IFERROR(AVERAGE($E17:I17),"N/A"),"")</f>
        <v/>
      </c>
      <c r="AJ17" s="43" t="str">
        <f>IF(IFERROR(DATEDIF(AJ$3,$O17,"D")&gt;=0,FALSE),IFERROR(AVERAGE($E17:J17),"N/A"),"")</f>
        <v/>
      </c>
      <c r="AK17" s="43" t="str">
        <f>IF(IFERROR(DATEDIF(AK$3,$O17,"D")&gt;=0,FALSE),IFERROR(AVERAGE($E17:K17),"N/A"),"")</f>
        <v/>
      </c>
      <c r="AL17" s="43" t="str">
        <f>IF(IFERROR(DATEDIF(AL$3,$O17,"D")&gt;=0,FALSE),IFERROR(AVERAGE($E17:L17),"N/A"),"")</f>
        <v/>
      </c>
      <c r="AM17" s="43" t="str">
        <f>IF(IFERROR(DATEDIF(AM$3,$O17,"D")&gt;=0,FALSE),IFERROR(AVERAGE($E17:M17),"N/A"),"")</f>
        <v/>
      </c>
      <c r="AN17" s="128" t="str">
        <f>IF(IFERROR(DATEDIF(AN$3,$O17,"D")&gt;=0,FALSE),IFERROR(AVERAGE($E17:N17),"N/A"),"")</f>
        <v/>
      </c>
    </row>
    <row r="18" spans="4:40" ht="15.75" x14ac:dyDescent="0.25">
      <c r="D18" s="21">
        <v>14</v>
      </c>
      <c r="E18" s="182">
        <v>2</v>
      </c>
      <c r="F18" s="182">
        <v>1</v>
      </c>
      <c r="G18" s="182">
        <v>1</v>
      </c>
      <c r="H18" s="182"/>
      <c r="I18" s="182"/>
      <c r="J18" s="182"/>
      <c r="K18" s="182"/>
      <c r="L18" s="182"/>
      <c r="M18" s="182"/>
      <c r="N18" s="182"/>
      <c r="O18" s="56">
        <v>42849</v>
      </c>
      <c r="P18" s="134" t="b">
        <v>1</v>
      </c>
      <c r="Q18" s="134" t="b">
        <v>1</v>
      </c>
      <c r="R18">
        <f t="shared" si="1"/>
        <v>1.3333333333333333</v>
      </c>
      <c r="S18">
        <f t="shared" si="2"/>
        <v>1.3333333333333333</v>
      </c>
      <c r="T18">
        <f t="shared" si="3"/>
        <v>2</v>
      </c>
      <c r="U18">
        <f t="shared" si="4"/>
        <v>3</v>
      </c>
      <c r="W18" s="134" t="s">
        <v>18</v>
      </c>
      <c r="X18" s="134">
        <v>1.3333333333333333</v>
      </c>
      <c r="Y18" s="134" t="s">
        <v>18</v>
      </c>
      <c r="Z18" s="134">
        <v>1.3333333333333333</v>
      </c>
      <c r="AD18" s="134">
        <f t="shared" si="0"/>
        <v>14</v>
      </c>
      <c r="AE18" s="43">
        <f>IF(IFERROR(DATEDIF(AE$3,$O18,"D")&gt;=0,FALSE),IFERROR(AVERAGE($E18:E18),"N/A"),"")</f>
        <v>2</v>
      </c>
      <c r="AF18" s="43">
        <f>IF(IFERROR(DATEDIF(AF$3,$O18,"D")&gt;=0,FALSE),IFERROR(AVERAGE($E18:F18),"N/A"),"")</f>
        <v>1.5</v>
      </c>
      <c r="AG18" s="43">
        <f>IF(IFERROR(DATEDIF(AG$3,$O18,"D")&gt;=0,FALSE),IFERROR(AVERAGE($E18:G18),"N/A"),"")</f>
        <v>1.3333333333333333</v>
      </c>
      <c r="AH18" s="43" t="str">
        <f>IF(IFERROR(DATEDIF(AH$3,$O18,"D")&gt;=0,FALSE),IFERROR(AVERAGE($E18:H18),"N/A"),"")</f>
        <v/>
      </c>
      <c r="AI18" s="43" t="str">
        <f>IF(IFERROR(DATEDIF(AI$3,$O18,"D")&gt;=0,FALSE),IFERROR(AVERAGE($E18:I18),"N/A"),"")</f>
        <v/>
      </c>
      <c r="AJ18" s="43" t="str">
        <f>IF(IFERROR(DATEDIF(AJ$3,$O18,"D")&gt;=0,FALSE),IFERROR(AVERAGE($E18:J18),"N/A"),"")</f>
        <v/>
      </c>
      <c r="AK18" s="43" t="str">
        <f>IF(IFERROR(DATEDIF(AK$3,$O18,"D")&gt;=0,FALSE),IFERROR(AVERAGE($E18:K18),"N/A"),"")</f>
        <v/>
      </c>
      <c r="AL18" s="43" t="str">
        <f>IF(IFERROR(DATEDIF(AL$3,$O18,"D")&gt;=0,FALSE),IFERROR(AVERAGE($E18:L18),"N/A"),"")</f>
        <v/>
      </c>
      <c r="AM18" s="43" t="str">
        <f>IF(IFERROR(DATEDIF(AM$3,$O18,"D")&gt;=0,FALSE),IFERROR(AVERAGE($E18:M18),"N/A"),"")</f>
        <v/>
      </c>
      <c r="AN18" s="128" t="str">
        <f>IF(IFERROR(DATEDIF(AN$3,$O18,"D")&gt;=0,FALSE),IFERROR(AVERAGE($E18:N18),"N/A"),"")</f>
        <v/>
      </c>
    </row>
    <row r="19" spans="4:40" ht="15.75" x14ac:dyDescent="0.25">
      <c r="D19" s="20">
        <v>15</v>
      </c>
      <c r="E19" s="182">
        <v>2</v>
      </c>
      <c r="F19" s="182">
        <v>0</v>
      </c>
      <c r="G19" s="182"/>
      <c r="H19" s="182"/>
      <c r="I19" s="182"/>
      <c r="J19" s="182"/>
      <c r="K19" s="182"/>
      <c r="L19" s="182"/>
      <c r="M19" s="182"/>
      <c r="N19" s="182"/>
      <c r="O19" s="56">
        <v>42845</v>
      </c>
      <c r="P19" s="134" t="b">
        <v>1</v>
      </c>
      <c r="Q19" s="134" t="b">
        <v>1</v>
      </c>
      <c r="R19">
        <f t="shared" si="1"/>
        <v>1</v>
      </c>
      <c r="S19">
        <f t="shared" si="2"/>
        <v>2</v>
      </c>
      <c r="T19">
        <f t="shared" si="3"/>
        <v>2</v>
      </c>
      <c r="U19">
        <f t="shared" si="4"/>
        <v>1</v>
      </c>
      <c r="W19" s="134" t="s">
        <v>18</v>
      </c>
      <c r="X19" s="134">
        <v>1</v>
      </c>
      <c r="Y19" s="134" t="s">
        <v>18</v>
      </c>
      <c r="Z19" s="134">
        <v>1</v>
      </c>
      <c r="AD19" s="134">
        <f t="shared" si="0"/>
        <v>15</v>
      </c>
      <c r="AE19" s="43">
        <f>IF(IFERROR(DATEDIF(AE$3,$O19,"D")&gt;=0,FALSE),IFERROR(AVERAGE($E19:E19),"N/A"),"")</f>
        <v>2</v>
      </c>
      <c r="AF19" s="43">
        <f>IF(IFERROR(DATEDIF(AF$3,$O19,"D")&gt;=0,FALSE),IFERROR(AVERAGE($E19:F19),"N/A"),"")</f>
        <v>1</v>
      </c>
      <c r="AG19" s="43" t="str">
        <f>IF(IFERROR(DATEDIF(AG$3,$O19,"D")&gt;=0,FALSE),IFERROR(AVERAGE($E19:G19),"N/A"),"")</f>
        <v/>
      </c>
      <c r="AH19" s="43" t="str">
        <f>IF(IFERROR(DATEDIF(AH$3,$O19,"D")&gt;=0,FALSE),IFERROR(AVERAGE($E19:H19),"N/A"),"")</f>
        <v/>
      </c>
      <c r="AI19" s="43" t="str">
        <f>IF(IFERROR(DATEDIF(AI$3,$O19,"D")&gt;=0,FALSE),IFERROR(AVERAGE($E19:I19),"N/A"),"")</f>
        <v/>
      </c>
      <c r="AJ19" s="43" t="str">
        <f>IF(IFERROR(DATEDIF(AJ$3,$O19,"D")&gt;=0,FALSE),IFERROR(AVERAGE($E19:J19),"N/A"),"")</f>
        <v/>
      </c>
      <c r="AK19" s="43" t="str">
        <f>IF(IFERROR(DATEDIF(AK$3,$O19,"D")&gt;=0,FALSE),IFERROR(AVERAGE($E19:K19),"N/A"),"")</f>
        <v/>
      </c>
      <c r="AL19" s="43" t="str">
        <f>IF(IFERROR(DATEDIF(AL$3,$O19,"D")&gt;=0,FALSE),IFERROR(AVERAGE($E19:L19),"N/A"),"")</f>
        <v/>
      </c>
      <c r="AM19" s="43" t="str">
        <f>IF(IFERROR(DATEDIF(AM$3,$O19,"D")&gt;=0,FALSE),IFERROR(AVERAGE($E19:M19),"N/A"),"")</f>
        <v/>
      </c>
      <c r="AN19" s="128" t="str">
        <f>IF(IFERROR(DATEDIF(AN$3,$O19,"D")&gt;=0,FALSE),IFERROR(AVERAGE($E19:N19),"N/A"),"")</f>
        <v/>
      </c>
    </row>
    <row r="20" spans="4:40" ht="15.75" x14ac:dyDescent="0.25">
      <c r="D20" s="20">
        <v>16</v>
      </c>
      <c r="E20" s="182">
        <v>1</v>
      </c>
      <c r="F20" s="182">
        <v>0</v>
      </c>
      <c r="G20" s="182">
        <v>0</v>
      </c>
      <c r="H20" s="182">
        <v>3</v>
      </c>
      <c r="I20" s="182">
        <v>1</v>
      </c>
      <c r="J20" s="182">
        <v>0</v>
      </c>
      <c r="K20" s="182">
        <v>0</v>
      </c>
      <c r="L20" s="182">
        <v>2</v>
      </c>
      <c r="M20" s="182">
        <v>0</v>
      </c>
      <c r="N20" s="182">
        <v>0</v>
      </c>
      <c r="O20" s="56">
        <v>42874</v>
      </c>
      <c r="P20" s="134" t="b">
        <v>1</v>
      </c>
      <c r="Q20" s="134" t="b">
        <v>1</v>
      </c>
      <c r="R20">
        <f t="shared" si="1"/>
        <v>0.7</v>
      </c>
      <c r="S20">
        <f t="shared" si="2"/>
        <v>1.75</v>
      </c>
      <c r="T20">
        <f t="shared" si="3"/>
        <v>3</v>
      </c>
      <c r="U20">
        <f t="shared" si="4"/>
        <v>4</v>
      </c>
      <c r="W20" s="134" t="s">
        <v>18</v>
      </c>
      <c r="X20" s="134">
        <v>0.7</v>
      </c>
      <c r="Y20" s="134" t="s">
        <v>18</v>
      </c>
      <c r="Z20" s="134">
        <v>0.7</v>
      </c>
      <c r="AD20" s="134">
        <f t="shared" si="0"/>
        <v>16</v>
      </c>
      <c r="AE20" s="43">
        <f>IF(IFERROR(DATEDIF(AE$3,$O20,"D")&gt;=0,FALSE),IFERROR(AVERAGE($E20:E20),"N/A"),"")</f>
        <v>1</v>
      </c>
      <c r="AF20" s="43">
        <f>IF(IFERROR(DATEDIF(AF$3,$O20,"D")&gt;=0,FALSE),IFERROR(AVERAGE($E20:F20),"N/A"),"")</f>
        <v>0.5</v>
      </c>
      <c r="AG20" s="43">
        <f>IF(IFERROR(DATEDIF(AG$3,$O20,"D")&gt;=0,FALSE),IFERROR(AVERAGE($E20:G20),"N/A"),"")</f>
        <v>0.33333333333333331</v>
      </c>
      <c r="AH20" s="43">
        <f>IF(IFERROR(DATEDIF(AH$3,$O20,"D")&gt;=0,FALSE),IFERROR(AVERAGE($E20:H20),"N/A"),"")</f>
        <v>1</v>
      </c>
      <c r="AI20" s="43">
        <f>IF(IFERROR(DATEDIF(AI$3,$O20,"D")&gt;=0,FALSE),IFERROR(AVERAGE($E20:I20),"N/A"),"")</f>
        <v>1</v>
      </c>
      <c r="AJ20" s="43">
        <f>IF(IFERROR(DATEDIF(AJ$3,$O20,"D")&gt;=0,FALSE),IFERROR(AVERAGE($E20:J20),"N/A"),"")</f>
        <v>0.83333333333333337</v>
      </c>
      <c r="AK20" s="43">
        <f>IF(IFERROR(DATEDIF(AK$3,$O20,"D")&gt;=0,FALSE),IFERROR(AVERAGE($E20:K20),"N/A"),"")</f>
        <v>0.7142857142857143</v>
      </c>
      <c r="AL20" s="43">
        <f>IF(IFERROR(DATEDIF(AL$3,$O20,"D")&gt;=0,FALSE),IFERROR(AVERAGE($E20:L20),"N/A"),"")</f>
        <v>0.875</v>
      </c>
      <c r="AM20" s="43">
        <f>IF(IFERROR(DATEDIF(AM$3,$O20,"D")&gt;=0,FALSE),IFERROR(AVERAGE($E20:M20),"N/A"),"")</f>
        <v>0.77777777777777779</v>
      </c>
      <c r="AN20" s="128">
        <f>IF(IFERROR(DATEDIF(AN$3,$O20,"D")&gt;=0,FALSE),IFERROR(AVERAGE($E20:N20),"N/A"),"")</f>
        <v>0.7</v>
      </c>
    </row>
    <row r="21" spans="4:40" ht="15.75" x14ac:dyDescent="0.25">
      <c r="D21" s="21">
        <v>17</v>
      </c>
      <c r="E21" s="182">
        <v>1</v>
      </c>
      <c r="F21" s="182">
        <v>0</v>
      </c>
      <c r="G21" s="182">
        <v>1</v>
      </c>
      <c r="H21" s="182">
        <v>1</v>
      </c>
      <c r="I21" s="182">
        <v>1</v>
      </c>
      <c r="J21" s="182">
        <v>1</v>
      </c>
      <c r="K21" s="182"/>
      <c r="L21" s="182"/>
      <c r="M21" s="182"/>
      <c r="N21" s="182"/>
      <c r="O21" s="56">
        <v>42858</v>
      </c>
      <c r="P21" s="134" t="b">
        <v>1</v>
      </c>
      <c r="Q21" s="134" t="b">
        <v>1</v>
      </c>
      <c r="R21">
        <f t="shared" si="1"/>
        <v>0.83333333333333337</v>
      </c>
      <c r="S21">
        <f t="shared" si="2"/>
        <v>1</v>
      </c>
      <c r="T21">
        <f t="shared" si="3"/>
        <v>1</v>
      </c>
      <c r="U21">
        <f t="shared" si="4"/>
        <v>5</v>
      </c>
      <c r="W21" s="134" t="s">
        <v>18</v>
      </c>
      <c r="X21" s="134">
        <v>0.83333333333333337</v>
      </c>
      <c r="Y21" s="134" t="s">
        <v>18</v>
      </c>
      <c r="Z21" s="134">
        <v>0.83333333333333337</v>
      </c>
      <c r="AD21" s="134">
        <f t="shared" si="0"/>
        <v>17</v>
      </c>
      <c r="AE21" s="43">
        <f>IF(IFERROR(DATEDIF(AE$3,$O21,"D")&gt;=0,FALSE),IFERROR(AVERAGE($E21:E21),"N/A"),"")</f>
        <v>1</v>
      </c>
      <c r="AF21" s="43">
        <f>IF(IFERROR(DATEDIF(AF$3,$O21,"D")&gt;=0,FALSE),IFERROR(AVERAGE($E21:F21),"N/A"),"")</f>
        <v>0.5</v>
      </c>
      <c r="AG21" s="43">
        <f>IF(IFERROR(DATEDIF(AG$3,$O21,"D")&gt;=0,FALSE),IFERROR(AVERAGE($E21:G21),"N/A"),"")</f>
        <v>0.66666666666666663</v>
      </c>
      <c r="AH21" s="43">
        <f>IF(IFERROR(DATEDIF(AH$3,$O21,"D")&gt;=0,FALSE),IFERROR(AVERAGE($E21:H21),"N/A"),"")</f>
        <v>0.75</v>
      </c>
      <c r="AI21" s="43">
        <f>IF(IFERROR(DATEDIF(AI$3,$O21,"D")&gt;=0,FALSE),IFERROR(AVERAGE($E21:I21),"N/A"),"")</f>
        <v>0.8</v>
      </c>
      <c r="AJ21" s="43">
        <f>IF(IFERROR(DATEDIF(AJ$3,$O21,"D")&gt;=0,FALSE),IFERROR(AVERAGE($E21:J21),"N/A"),"")</f>
        <v>0.83333333333333337</v>
      </c>
      <c r="AK21" s="43" t="str">
        <f>IF(IFERROR(DATEDIF(AK$3,$O21,"D")&gt;=0,FALSE),IFERROR(AVERAGE($E21:K21),"N/A"),"")</f>
        <v/>
      </c>
      <c r="AL21" s="43" t="str">
        <f>IF(IFERROR(DATEDIF(AL$3,$O21,"D")&gt;=0,FALSE),IFERROR(AVERAGE($E21:L21),"N/A"),"")</f>
        <v/>
      </c>
      <c r="AM21" s="43" t="str">
        <f>IF(IFERROR(DATEDIF(AM$3,$O21,"D")&gt;=0,FALSE),IFERROR(AVERAGE($E21:M21),"N/A"),"")</f>
        <v/>
      </c>
      <c r="AN21" s="128" t="str">
        <f>IF(IFERROR(DATEDIF(AN$3,$O21,"D")&gt;=0,FALSE),IFERROR(AVERAGE($E21:N21),"N/A"),"")</f>
        <v/>
      </c>
    </row>
    <row r="22" spans="4:40" ht="15.75" x14ac:dyDescent="0.25">
      <c r="D22" s="20">
        <v>18</v>
      </c>
      <c r="E22" s="182">
        <v>0</v>
      </c>
      <c r="F22" s="182"/>
      <c r="G22" s="182"/>
      <c r="H22" s="182"/>
      <c r="I22" s="182"/>
      <c r="J22" s="182"/>
      <c r="K22" s="182"/>
      <c r="L22" s="182"/>
      <c r="M22" s="182"/>
      <c r="N22" s="182"/>
      <c r="O22" s="56">
        <v>42842</v>
      </c>
      <c r="P22" s="134" t="b">
        <v>1</v>
      </c>
      <c r="Q22" s="134" t="b">
        <v>1</v>
      </c>
      <c r="R22">
        <f t="shared" si="1"/>
        <v>0</v>
      </c>
      <c r="S22" t="str">
        <f t="shared" si="2"/>
        <v/>
      </c>
      <c r="T22">
        <f t="shared" si="3"/>
        <v>0</v>
      </c>
      <c r="U22">
        <f t="shared" si="4"/>
        <v>0</v>
      </c>
      <c r="W22" s="134" t="s">
        <v>18</v>
      </c>
      <c r="X22" s="134">
        <v>0</v>
      </c>
      <c r="Y22" s="134" t="s">
        <v>18</v>
      </c>
      <c r="Z22" s="134">
        <v>0</v>
      </c>
      <c r="AD22" s="134">
        <f t="shared" si="0"/>
        <v>18</v>
      </c>
      <c r="AE22" s="43">
        <f>IF(IFERROR(DATEDIF(AE$3,$O22,"D")&gt;=0,FALSE),IFERROR(AVERAGE($E22:E22),"N/A"),"")</f>
        <v>0</v>
      </c>
      <c r="AF22" s="43" t="str">
        <f>IF(IFERROR(DATEDIF(AF$3,$O22,"D")&gt;=0,FALSE),IFERROR(AVERAGE($E22:F22),"N/A"),"")</f>
        <v/>
      </c>
      <c r="AG22" s="43" t="str">
        <f>IF(IFERROR(DATEDIF(AG$3,$O22,"D")&gt;=0,FALSE),IFERROR(AVERAGE($E22:G22),"N/A"),"")</f>
        <v/>
      </c>
      <c r="AH22" s="43" t="str">
        <f>IF(IFERROR(DATEDIF(AH$3,$O22,"D")&gt;=0,FALSE),IFERROR(AVERAGE($E22:H22),"N/A"),"")</f>
        <v/>
      </c>
      <c r="AI22" s="43" t="str">
        <f>IF(IFERROR(DATEDIF(AI$3,$O22,"D")&gt;=0,FALSE),IFERROR(AVERAGE($E22:I22),"N/A"),"")</f>
        <v/>
      </c>
      <c r="AJ22" s="43" t="str">
        <f>IF(IFERROR(DATEDIF(AJ$3,$O22,"D")&gt;=0,FALSE),IFERROR(AVERAGE($E22:J22),"N/A"),"")</f>
        <v/>
      </c>
      <c r="AK22" s="43" t="str">
        <f>IF(IFERROR(DATEDIF(AK$3,$O22,"D")&gt;=0,FALSE),IFERROR(AVERAGE($E22:K22),"N/A"),"")</f>
        <v/>
      </c>
      <c r="AL22" s="43" t="str">
        <f>IF(IFERROR(DATEDIF(AL$3,$O22,"D")&gt;=0,FALSE),IFERROR(AVERAGE($E22:L22),"N/A"),"")</f>
        <v/>
      </c>
      <c r="AM22" s="43" t="str">
        <f>IF(IFERROR(DATEDIF(AM$3,$O22,"D")&gt;=0,FALSE),IFERROR(AVERAGE($E22:M22),"N/A"),"")</f>
        <v/>
      </c>
      <c r="AN22" s="128" t="str">
        <f>IF(IFERROR(DATEDIF(AN$3,$O22,"D")&gt;=0,FALSE),IFERROR(AVERAGE($E22:N22),"N/A"),"")</f>
        <v/>
      </c>
    </row>
    <row r="23" spans="4:40" ht="15.75" x14ac:dyDescent="0.25">
      <c r="D23" s="20">
        <v>19</v>
      </c>
      <c r="E23" s="182">
        <v>1</v>
      </c>
      <c r="F23" s="182">
        <v>1</v>
      </c>
      <c r="G23" s="182">
        <v>0</v>
      </c>
      <c r="H23" s="182">
        <v>0</v>
      </c>
      <c r="I23" s="182">
        <v>0</v>
      </c>
      <c r="J23" s="182"/>
      <c r="K23" s="182"/>
      <c r="L23" s="182"/>
      <c r="M23" s="182"/>
      <c r="N23" s="182"/>
      <c r="O23" s="56">
        <v>42856</v>
      </c>
      <c r="P23" s="134" t="b">
        <v>1</v>
      </c>
      <c r="Q23" s="134" t="b">
        <v>1</v>
      </c>
      <c r="R23">
        <f t="shared" si="1"/>
        <v>0.4</v>
      </c>
      <c r="S23">
        <f t="shared" si="2"/>
        <v>1</v>
      </c>
      <c r="T23">
        <f t="shared" si="3"/>
        <v>1</v>
      </c>
      <c r="U23">
        <f t="shared" si="4"/>
        <v>2</v>
      </c>
      <c r="W23" s="134" t="s">
        <v>18</v>
      </c>
      <c r="X23" s="134">
        <v>0.4</v>
      </c>
      <c r="Y23" s="134" t="s">
        <v>18</v>
      </c>
      <c r="Z23" s="134">
        <v>0.4</v>
      </c>
      <c r="AD23" s="134">
        <f t="shared" si="0"/>
        <v>19</v>
      </c>
      <c r="AE23" s="43">
        <f>IF(IFERROR(DATEDIF(AE$3,$O23,"D")&gt;=0,FALSE),IFERROR(AVERAGE($E23:E23),"N/A"),"")</f>
        <v>1</v>
      </c>
      <c r="AF23" s="43">
        <f>IF(IFERROR(DATEDIF(AF$3,$O23,"D")&gt;=0,FALSE),IFERROR(AVERAGE($E23:F23),"N/A"),"")</f>
        <v>1</v>
      </c>
      <c r="AG23" s="43">
        <f>IF(IFERROR(DATEDIF(AG$3,$O23,"D")&gt;=0,FALSE),IFERROR(AVERAGE($E23:G23),"N/A"),"")</f>
        <v>0.66666666666666663</v>
      </c>
      <c r="AH23" s="43">
        <f>IF(IFERROR(DATEDIF(AH$3,$O23,"D")&gt;=0,FALSE),IFERROR(AVERAGE($E23:H23),"N/A"),"")</f>
        <v>0.5</v>
      </c>
      <c r="AI23" s="43">
        <f>IF(IFERROR(DATEDIF(AI$3,$O23,"D")&gt;=0,FALSE),IFERROR(AVERAGE($E23:I23),"N/A"),"")</f>
        <v>0.4</v>
      </c>
      <c r="AJ23" s="43" t="str">
        <f>IF(IFERROR(DATEDIF(AJ$3,$O23,"D")&gt;=0,FALSE),IFERROR(AVERAGE($E23:J23),"N/A"),"")</f>
        <v/>
      </c>
      <c r="AK23" s="43" t="str">
        <f>IF(IFERROR(DATEDIF(AK$3,$O23,"D")&gt;=0,FALSE),IFERROR(AVERAGE($E23:K23),"N/A"),"")</f>
        <v/>
      </c>
      <c r="AL23" s="43" t="str">
        <f>IF(IFERROR(DATEDIF(AL$3,$O23,"D")&gt;=0,FALSE),IFERROR(AVERAGE($E23:L23),"N/A"),"")</f>
        <v/>
      </c>
      <c r="AM23" s="43" t="str">
        <f>IF(IFERROR(DATEDIF(AM$3,$O23,"D")&gt;=0,FALSE),IFERROR(AVERAGE($E23:M23),"N/A"),"")</f>
        <v/>
      </c>
      <c r="AN23" s="128" t="str">
        <f>IF(IFERROR(DATEDIF(AN$3,$O23,"D")&gt;=0,FALSE),IFERROR(AVERAGE($E23:N23),"N/A"),"")</f>
        <v/>
      </c>
    </row>
    <row r="24" spans="4:40" ht="15.75" x14ac:dyDescent="0.25">
      <c r="D24" s="21">
        <v>20</v>
      </c>
      <c r="E24" s="182">
        <v>0</v>
      </c>
      <c r="F24" s="182">
        <v>2</v>
      </c>
      <c r="G24" s="182">
        <v>0</v>
      </c>
      <c r="H24" s="182">
        <v>0</v>
      </c>
      <c r="I24" s="182"/>
      <c r="J24" s="182"/>
      <c r="K24" s="182"/>
      <c r="L24" s="182"/>
      <c r="M24" s="182"/>
      <c r="N24" s="182"/>
      <c r="O24" s="56">
        <v>42851</v>
      </c>
      <c r="P24" s="134" t="b">
        <v>1</v>
      </c>
      <c r="Q24" s="134" t="b">
        <v>1</v>
      </c>
      <c r="R24">
        <f t="shared" si="1"/>
        <v>0.5</v>
      </c>
      <c r="S24">
        <f t="shared" si="2"/>
        <v>2</v>
      </c>
      <c r="T24">
        <f t="shared" si="3"/>
        <v>2</v>
      </c>
      <c r="U24">
        <f t="shared" si="4"/>
        <v>1</v>
      </c>
      <c r="W24" s="134" t="s">
        <v>18</v>
      </c>
      <c r="X24" s="134">
        <v>0.5</v>
      </c>
      <c r="Y24" s="134" t="s">
        <v>18</v>
      </c>
      <c r="Z24" s="134">
        <v>0.5</v>
      </c>
      <c r="AD24" s="134">
        <f t="shared" si="0"/>
        <v>20</v>
      </c>
      <c r="AE24" s="43">
        <f>IF(IFERROR(DATEDIF(AE$3,$O24,"D")&gt;=0,FALSE),IFERROR(AVERAGE($E24:E24),"N/A"),"")</f>
        <v>0</v>
      </c>
      <c r="AF24" s="43">
        <f>IF(IFERROR(DATEDIF(AF$3,$O24,"D")&gt;=0,FALSE),IFERROR(AVERAGE($E24:F24),"N/A"),"")</f>
        <v>1</v>
      </c>
      <c r="AG24" s="43">
        <f>IF(IFERROR(DATEDIF(AG$3,$O24,"D")&gt;=0,FALSE),IFERROR(AVERAGE($E24:G24),"N/A"),"")</f>
        <v>0.66666666666666663</v>
      </c>
      <c r="AH24" s="43">
        <f>IF(IFERROR(DATEDIF(AH$3,$O24,"D")&gt;=0,FALSE),IFERROR(AVERAGE($E24:H24),"N/A"),"")</f>
        <v>0.5</v>
      </c>
      <c r="AI24" s="43" t="str">
        <f>IF(IFERROR(DATEDIF(AI$3,$O24,"D")&gt;=0,FALSE),IFERROR(AVERAGE($E24:I24),"N/A"),"")</f>
        <v/>
      </c>
      <c r="AJ24" s="43" t="str">
        <f>IF(IFERROR(DATEDIF(AJ$3,$O24,"D")&gt;=0,FALSE),IFERROR(AVERAGE($E24:J24),"N/A"),"")</f>
        <v/>
      </c>
      <c r="AK24" s="43" t="str">
        <f>IF(IFERROR(DATEDIF(AK$3,$O24,"D")&gt;=0,FALSE),IFERROR(AVERAGE($E24:K24),"N/A"),"")</f>
        <v/>
      </c>
      <c r="AL24" s="43" t="str">
        <f>IF(IFERROR(DATEDIF(AL$3,$O24,"D")&gt;=0,FALSE),IFERROR(AVERAGE($E24:L24),"N/A"),"")</f>
        <v/>
      </c>
      <c r="AM24" s="43" t="str">
        <f>IF(IFERROR(DATEDIF(AM$3,$O24,"D")&gt;=0,FALSE),IFERROR(AVERAGE($E24:M24),"N/A"),"")</f>
        <v/>
      </c>
      <c r="AN24" s="128" t="str">
        <f>IF(IFERROR(DATEDIF(AN$3,$O24,"D")&gt;=0,FALSE),IFERROR(AVERAGE($E24:N24),"N/A"),"")</f>
        <v/>
      </c>
    </row>
    <row r="25" spans="4:40" ht="15.75" x14ac:dyDescent="0.25">
      <c r="D25" s="20">
        <v>21</v>
      </c>
      <c r="E25" s="182">
        <v>2</v>
      </c>
      <c r="F25" s="182">
        <v>2</v>
      </c>
      <c r="G25" s="182">
        <v>2</v>
      </c>
      <c r="H25" s="182">
        <v>2</v>
      </c>
      <c r="I25" s="182"/>
      <c r="J25" s="182"/>
      <c r="K25" s="182"/>
      <c r="L25" s="182"/>
      <c r="M25" s="182"/>
      <c r="N25" s="182"/>
      <c r="O25" s="56">
        <v>42853</v>
      </c>
      <c r="P25" s="134" t="b">
        <v>1</v>
      </c>
      <c r="Q25" s="134" t="b">
        <v>1</v>
      </c>
      <c r="R25">
        <f t="shared" si="1"/>
        <v>2</v>
      </c>
      <c r="S25">
        <f t="shared" si="2"/>
        <v>2</v>
      </c>
      <c r="T25">
        <f t="shared" si="3"/>
        <v>2</v>
      </c>
      <c r="U25">
        <f t="shared" si="4"/>
        <v>4</v>
      </c>
      <c r="W25" s="134" t="s">
        <v>18</v>
      </c>
      <c r="X25" s="134">
        <v>2</v>
      </c>
      <c r="Y25" s="134" t="s">
        <v>18</v>
      </c>
      <c r="Z25" s="134">
        <v>2</v>
      </c>
      <c r="AD25" s="134">
        <f t="shared" si="0"/>
        <v>21</v>
      </c>
      <c r="AE25" s="43">
        <f>IF(IFERROR(DATEDIF(AE$3,$O25,"D")&gt;=0,FALSE),IFERROR(AVERAGE($E25:E25),"N/A"),"")</f>
        <v>2</v>
      </c>
      <c r="AF25" s="43">
        <f>IF(IFERROR(DATEDIF(AF$3,$O25,"D")&gt;=0,FALSE),IFERROR(AVERAGE($E25:F25),"N/A"),"")</f>
        <v>2</v>
      </c>
      <c r="AG25" s="43">
        <f>IF(IFERROR(DATEDIF(AG$3,$O25,"D")&gt;=0,FALSE),IFERROR(AVERAGE($E25:G25),"N/A"),"")</f>
        <v>2</v>
      </c>
      <c r="AH25" s="43">
        <f>IF(IFERROR(DATEDIF(AH$3,$O25,"D")&gt;=0,FALSE),IFERROR(AVERAGE($E25:H25),"N/A"),"")</f>
        <v>2</v>
      </c>
      <c r="AI25" s="43">
        <f>IF(IFERROR(DATEDIF(AI$3,$O25,"D")&gt;=0,FALSE),IFERROR(AVERAGE($E25:I25),"N/A"),"")</f>
        <v>2</v>
      </c>
      <c r="AJ25" s="43" t="str">
        <f>IF(IFERROR(DATEDIF(AJ$3,$O25,"D")&gt;=0,FALSE),IFERROR(AVERAGE($E25:J25),"N/A"),"")</f>
        <v/>
      </c>
      <c r="AK25" s="43" t="str">
        <f>IF(IFERROR(DATEDIF(AK$3,$O25,"D")&gt;=0,FALSE),IFERROR(AVERAGE($E25:K25),"N/A"),"")</f>
        <v/>
      </c>
      <c r="AL25" s="43" t="str">
        <f>IF(IFERROR(DATEDIF(AL$3,$O25,"D")&gt;=0,FALSE),IFERROR(AVERAGE($E25:L25),"N/A"),"")</f>
        <v/>
      </c>
      <c r="AM25" s="43" t="str">
        <f>IF(IFERROR(DATEDIF(AM$3,$O25,"D")&gt;=0,FALSE),IFERROR(AVERAGE($E25:M25),"N/A"),"")</f>
        <v/>
      </c>
      <c r="AN25" s="128" t="str">
        <f>IF(IFERROR(DATEDIF(AN$3,$O25,"D")&gt;=0,FALSE),IFERROR(AVERAGE($E25:N25),"N/A"),"")</f>
        <v/>
      </c>
    </row>
    <row r="26" spans="4:40" ht="15.75" x14ac:dyDescent="0.25">
      <c r="D26" s="20">
        <v>22</v>
      </c>
      <c r="E26" s="182">
        <v>1</v>
      </c>
      <c r="F26" s="182">
        <v>0</v>
      </c>
      <c r="G26" s="182">
        <v>0</v>
      </c>
      <c r="H26" s="182">
        <v>1</v>
      </c>
      <c r="I26" s="182">
        <v>0</v>
      </c>
      <c r="J26" s="182">
        <v>3</v>
      </c>
      <c r="K26" s="182"/>
      <c r="L26" s="182"/>
      <c r="M26" s="182"/>
      <c r="N26" s="182"/>
      <c r="O26" s="56">
        <v>42858</v>
      </c>
      <c r="P26" s="134" t="b">
        <v>1</v>
      </c>
      <c r="Q26" s="134" t="b">
        <v>1</v>
      </c>
      <c r="R26">
        <f t="shared" si="1"/>
        <v>0.83333333333333337</v>
      </c>
      <c r="S26">
        <f t="shared" si="2"/>
        <v>1.6666666666666667</v>
      </c>
      <c r="T26">
        <f t="shared" si="3"/>
        <v>3</v>
      </c>
      <c r="U26">
        <f t="shared" si="4"/>
        <v>3</v>
      </c>
      <c r="W26" s="134" t="s">
        <v>18</v>
      </c>
      <c r="X26" s="134">
        <v>0.83333333333333337</v>
      </c>
      <c r="Y26" s="134" t="s">
        <v>18</v>
      </c>
      <c r="Z26" s="134">
        <v>0.83333333333333337</v>
      </c>
      <c r="AD26" s="134">
        <f t="shared" si="0"/>
        <v>22</v>
      </c>
      <c r="AE26" s="43">
        <f>IF(IFERROR(DATEDIF(AE$3,$O26,"D")&gt;=0,FALSE),IFERROR(AVERAGE($E26:E26),"N/A"),"")</f>
        <v>1</v>
      </c>
      <c r="AF26" s="43">
        <f>IF(IFERROR(DATEDIF(AF$3,$O26,"D")&gt;=0,FALSE),IFERROR(AVERAGE($E26:F26),"N/A"),"")</f>
        <v>0.5</v>
      </c>
      <c r="AG26" s="43">
        <f>IF(IFERROR(DATEDIF(AG$3,$O26,"D")&gt;=0,FALSE),IFERROR(AVERAGE($E26:G26),"N/A"),"")</f>
        <v>0.33333333333333331</v>
      </c>
      <c r="AH26" s="43">
        <f>IF(IFERROR(DATEDIF(AH$3,$O26,"D")&gt;=0,FALSE),IFERROR(AVERAGE($E26:H26),"N/A"),"")</f>
        <v>0.5</v>
      </c>
      <c r="AI26" s="43">
        <f>IF(IFERROR(DATEDIF(AI$3,$O26,"D")&gt;=0,FALSE),IFERROR(AVERAGE($E26:I26),"N/A"),"")</f>
        <v>0.4</v>
      </c>
      <c r="AJ26" s="43">
        <f>IF(IFERROR(DATEDIF(AJ$3,$O26,"D")&gt;=0,FALSE),IFERROR(AVERAGE($E26:J26),"N/A"),"")</f>
        <v>0.83333333333333337</v>
      </c>
      <c r="AK26" s="43" t="str">
        <f>IF(IFERROR(DATEDIF(AK$3,$O26,"D")&gt;=0,FALSE),IFERROR(AVERAGE($E26:K26),"N/A"),"")</f>
        <v/>
      </c>
      <c r="AL26" s="43" t="str">
        <f>IF(IFERROR(DATEDIF(AL$3,$O26,"D")&gt;=0,FALSE),IFERROR(AVERAGE($E26:L26),"N/A"),"")</f>
        <v/>
      </c>
      <c r="AM26" s="43" t="str">
        <f>IF(IFERROR(DATEDIF(AM$3,$O26,"D")&gt;=0,FALSE),IFERROR(AVERAGE($E26:M26),"N/A"),"")</f>
        <v/>
      </c>
      <c r="AN26" s="128" t="str">
        <f>IF(IFERROR(DATEDIF(AN$3,$O26,"D")&gt;=0,FALSE),IFERROR(AVERAGE($E26:N26),"N/A"),"")</f>
        <v/>
      </c>
    </row>
    <row r="27" spans="4:40" ht="15.75" x14ac:dyDescent="0.25">
      <c r="D27" s="21">
        <v>23</v>
      </c>
      <c r="E27" s="182">
        <v>0</v>
      </c>
      <c r="F27" s="182">
        <v>0</v>
      </c>
      <c r="G27" s="182">
        <v>3</v>
      </c>
      <c r="H27" s="182">
        <v>0</v>
      </c>
      <c r="I27" s="182">
        <v>1</v>
      </c>
      <c r="J27" s="182"/>
      <c r="K27" s="182"/>
      <c r="L27" s="182"/>
      <c r="M27" s="182"/>
      <c r="N27" s="182"/>
      <c r="O27" s="56">
        <v>42856</v>
      </c>
      <c r="P27" s="134" t="b">
        <v>0</v>
      </c>
      <c r="Q27" s="134" t="s">
        <v>48</v>
      </c>
      <c r="R27">
        <f t="shared" si="1"/>
        <v>0.8</v>
      </c>
      <c r="S27">
        <f t="shared" si="2"/>
        <v>2</v>
      </c>
      <c r="T27">
        <f t="shared" si="3"/>
        <v>3</v>
      </c>
      <c r="U27">
        <f t="shared" si="4"/>
        <v>2</v>
      </c>
      <c r="W27" s="134">
        <v>0.8</v>
      </c>
      <c r="X27" s="134" t="s">
        <v>18</v>
      </c>
      <c r="Y27" s="134">
        <v>0.8</v>
      </c>
      <c r="Z27" s="134" t="s">
        <v>18</v>
      </c>
      <c r="AD27" s="134">
        <f t="shared" si="0"/>
        <v>23</v>
      </c>
      <c r="AE27" s="43">
        <f>IF(IFERROR(DATEDIF(AE$3,$O27,"D")&gt;=0,FALSE),IFERROR(AVERAGE($E27:E27),"N/A"),"")</f>
        <v>0</v>
      </c>
      <c r="AF27" s="43">
        <f>IF(IFERROR(DATEDIF(AF$3,$O27,"D")&gt;=0,FALSE),IFERROR(AVERAGE($E27:F27),"N/A"),"")</f>
        <v>0</v>
      </c>
      <c r="AG27" s="43">
        <f>IF(IFERROR(DATEDIF(AG$3,$O27,"D")&gt;=0,FALSE),IFERROR(AVERAGE($E27:G27),"N/A"),"")</f>
        <v>1</v>
      </c>
      <c r="AH27" s="43">
        <f>IF(IFERROR(DATEDIF(AH$3,$O27,"D")&gt;=0,FALSE),IFERROR(AVERAGE($E27:H27),"N/A"),"")</f>
        <v>0.75</v>
      </c>
      <c r="AI27" s="43">
        <f>IF(IFERROR(DATEDIF(AI$3,$O27,"D")&gt;=0,FALSE),IFERROR(AVERAGE($E27:I27),"N/A"),"")</f>
        <v>0.8</v>
      </c>
      <c r="AJ27" s="43" t="str">
        <f>IF(IFERROR(DATEDIF(AJ$3,$O27,"D")&gt;=0,FALSE),IFERROR(AVERAGE($E27:J27),"N/A"),"")</f>
        <v/>
      </c>
      <c r="AK27" s="43" t="str">
        <f>IF(IFERROR(DATEDIF(AK$3,$O27,"D")&gt;=0,FALSE),IFERROR(AVERAGE($E27:K27),"N/A"),"")</f>
        <v/>
      </c>
      <c r="AL27" s="43" t="str">
        <f>IF(IFERROR(DATEDIF(AL$3,$O27,"D")&gt;=0,FALSE),IFERROR(AVERAGE($E27:L27),"N/A"),"")</f>
        <v/>
      </c>
      <c r="AM27" s="43" t="str">
        <f>IF(IFERROR(DATEDIF(AM$3,$O27,"D")&gt;=0,FALSE),IFERROR(AVERAGE($E27:M27),"N/A"),"")</f>
        <v/>
      </c>
      <c r="AN27" s="128" t="str">
        <f>IF(IFERROR(DATEDIF(AN$3,$O27,"D")&gt;=0,FALSE),IFERROR(AVERAGE($E27:N27),"N/A"),"")</f>
        <v/>
      </c>
    </row>
    <row r="28" spans="4:40" ht="15.75" x14ac:dyDescent="0.25">
      <c r="D28" s="20">
        <v>24</v>
      </c>
      <c r="E28" s="182">
        <v>2</v>
      </c>
      <c r="F28" s="182">
        <v>1</v>
      </c>
      <c r="G28" s="182">
        <v>0</v>
      </c>
      <c r="H28" s="182"/>
      <c r="I28" s="182"/>
      <c r="J28" s="182"/>
      <c r="K28" s="182"/>
      <c r="L28" s="182"/>
      <c r="M28" s="182"/>
      <c r="N28" s="182"/>
      <c r="O28" s="56">
        <v>42849</v>
      </c>
      <c r="P28" s="134" t="b">
        <v>1</v>
      </c>
      <c r="Q28" s="134" t="b">
        <v>1</v>
      </c>
      <c r="R28">
        <f t="shared" si="1"/>
        <v>1</v>
      </c>
      <c r="S28">
        <f t="shared" si="2"/>
        <v>1.5</v>
      </c>
      <c r="T28">
        <f t="shared" si="3"/>
        <v>2</v>
      </c>
      <c r="U28">
        <f t="shared" si="4"/>
        <v>2</v>
      </c>
      <c r="W28" s="134" t="s">
        <v>18</v>
      </c>
      <c r="X28" s="134">
        <v>1</v>
      </c>
      <c r="Y28" s="134" t="s">
        <v>18</v>
      </c>
      <c r="Z28" s="134">
        <v>1</v>
      </c>
      <c r="AD28" s="134">
        <f t="shared" si="0"/>
        <v>24</v>
      </c>
      <c r="AE28" s="43">
        <f>IF(IFERROR(DATEDIF(AE$3,$O28,"D")&gt;=0,FALSE),IFERROR(AVERAGE($E28:E28),"N/A"),"")</f>
        <v>2</v>
      </c>
      <c r="AF28" s="43">
        <f>IF(IFERROR(DATEDIF(AF$3,$O28,"D")&gt;=0,FALSE),IFERROR(AVERAGE($E28:F28),"N/A"),"")</f>
        <v>1.5</v>
      </c>
      <c r="AG28" s="43">
        <f>IF(IFERROR(DATEDIF(AG$3,$O28,"D")&gt;=0,FALSE),IFERROR(AVERAGE($E28:G28),"N/A"),"")</f>
        <v>1</v>
      </c>
      <c r="AH28" s="43" t="str">
        <f>IF(IFERROR(DATEDIF(AH$3,$O28,"D")&gt;=0,FALSE),IFERROR(AVERAGE($E28:H28),"N/A"),"")</f>
        <v/>
      </c>
      <c r="AI28" s="43" t="str">
        <f>IF(IFERROR(DATEDIF(AI$3,$O28,"D")&gt;=0,FALSE),IFERROR(AVERAGE($E28:I28),"N/A"),"")</f>
        <v/>
      </c>
      <c r="AJ28" s="43" t="str">
        <f>IF(IFERROR(DATEDIF(AJ$3,$O28,"D")&gt;=0,FALSE),IFERROR(AVERAGE($E28:J28),"N/A"),"")</f>
        <v/>
      </c>
      <c r="AK28" s="43" t="str">
        <f>IF(IFERROR(DATEDIF(AK$3,$O28,"D")&gt;=0,FALSE),IFERROR(AVERAGE($E28:K28),"N/A"),"")</f>
        <v/>
      </c>
      <c r="AL28" s="43" t="str">
        <f>IF(IFERROR(DATEDIF(AL$3,$O28,"D")&gt;=0,FALSE),IFERROR(AVERAGE($E28:L28),"N/A"),"")</f>
        <v/>
      </c>
      <c r="AM28" s="43" t="str">
        <f>IF(IFERROR(DATEDIF(AM$3,$O28,"D")&gt;=0,FALSE),IFERROR(AVERAGE($E28:M28),"N/A"),"")</f>
        <v/>
      </c>
      <c r="AN28" s="128" t="str">
        <f>IF(IFERROR(DATEDIF(AN$3,$O28,"D")&gt;=0,FALSE),IFERROR(AVERAGE($E28:N28),"N/A"),"")</f>
        <v/>
      </c>
    </row>
    <row r="29" spans="4:40" ht="15.75" x14ac:dyDescent="0.25">
      <c r="D29" s="20">
        <v>25</v>
      </c>
      <c r="E29" s="182">
        <v>2</v>
      </c>
      <c r="F29" s="182">
        <v>1</v>
      </c>
      <c r="G29" s="182"/>
      <c r="H29" s="182"/>
      <c r="I29" s="182"/>
      <c r="J29" s="182"/>
      <c r="K29" s="182"/>
      <c r="L29" s="182"/>
      <c r="M29" s="182"/>
      <c r="N29" s="182"/>
      <c r="O29" s="56">
        <v>42845</v>
      </c>
      <c r="P29" s="134" t="b">
        <v>1</v>
      </c>
      <c r="Q29" s="134" t="b">
        <v>1</v>
      </c>
      <c r="R29">
        <f t="shared" si="1"/>
        <v>1.5</v>
      </c>
      <c r="S29">
        <f t="shared" si="2"/>
        <v>1.5</v>
      </c>
      <c r="T29">
        <f t="shared" si="3"/>
        <v>2</v>
      </c>
      <c r="U29">
        <f t="shared" si="4"/>
        <v>2</v>
      </c>
      <c r="W29" s="134" t="s">
        <v>18</v>
      </c>
      <c r="X29" s="134">
        <v>1.5</v>
      </c>
      <c r="Y29" s="134" t="s">
        <v>18</v>
      </c>
      <c r="Z29" s="134">
        <v>1.5</v>
      </c>
      <c r="AD29" s="134">
        <f t="shared" si="0"/>
        <v>25</v>
      </c>
      <c r="AE29" s="43">
        <f>IF(IFERROR(DATEDIF(AE$3,$O29,"D")&gt;=0,FALSE),IFERROR(AVERAGE($E29:E29),"N/A"),"")</f>
        <v>2</v>
      </c>
      <c r="AF29" s="43">
        <f>IF(IFERROR(DATEDIF(AF$3,$O29,"D")&gt;=0,FALSE),IFERROR(AVERAGE($E29:F29),"N/A"),"")</f>
        <v>1.5</v>
      </c>
      <c r="AG29" s="43" t="str">
        <f>IF(IFERROR(DATEDIF(AG$3,$O29,"D")&gt;=0,FALSE),IFERROR(AVERAGE($E29:G29),"N/A"),"")</f>
        <v/>
      </c>
      <c r="AH29" s="43" t="str">
        <f>IF(IFERROR(DATEDIF(AH$3,$O29,"D")&gt;=0,FALSE),IFERROR(AVERAGE($E29:H29),"N/A"),"")</f>
        <v/>
      </c>
      <c r="AI29" s="43" t="str">
        <f>IF(IFERROR(DATEDIF(AI$3,$O29,"D")&gt;=0,FALSE),IFERROR(AVERAGE($E29:I29),"N/A"),"")</f>
        <v/>
      </c>
      <c r="AJ29" s="43" t="str">
        <f>IF(IFERROR(DATEDIF(AJ$3,$O29,"D")&gt;=0,FALSE),IFERROR(AVERAGE($E29:J29),"N/A"),"")</f>
        <v/>
      </c>
      <c r="AK29" s="43" t="str">
        <f>IF(IFERROR(DATEDIF(AK$3,$O29,"D")&gt;=0,FALSE),IFERROR(AVERAGE($E29:K29),"N/A"),"")</f>
        <v/>
      </c>
      <c r="AL29" s="43" t="str">
        <f>IF(IFERROR(DATEDIF(AL$3,$O29,"D")&gt;=0,FALSE),IFERROR(AVERAGE($E29:L29),"N/A"),"")</f>
        <v/>
      </c>
      <c r="AM29" s="43" t="str">
        <f>IF(IFERROR(DATEDIF(AM$3,$O29,"D")&gt;=0,FALSE),IFERROR(AVERAGE($E29:M29),"N/A"),"")</f>
        <v/>
      </c>
      <c r="AN29" s="128" t="str">
        <f>IF(IFERROR(DATEDIF(AN$3,$O29,"D")&gt;=0,FALSE),IFERROR(AVERAGE($E29:N29),"N/A"),"")</f>
        <v/>
      </c>
    </row>
    <row r="30" spans="4:40" ht="15.75" x14ac:dyDescent="0.25">
      <c r="D30" s="21">
        <v>26</v>
      </c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56">
        <v>42837</v>
      </c>
      <c r="P30" s="134" t="b">
        <v>0</v>
      </c>
      <c r="Q30" s="134" t="s">
        <v>48</v>
      </c>
      <c r="R30" t="str">
        <f t="shared" si="1"/>
        <v>N/A</v>
      </c>
      <c r="S30" t="str">
        <f t="shared" si="2"/>
        <v/>
      </c>
      <c r="T30" t="str">
        <f t="shared" si="3"/>
        <v/>
      </c>
      <c r="U30">
        <f t="shared" si="4"/>
        <v>0</v>
      </c>
      <c r="W30" s="134">
        <v>0</v>
      </c>
      <c r="X30" s="134" t="s">
        <v>18</v>
      </c>
      <c r="Y30" s="134">
        <v>0</v>
      </c>
      <c r="Z30" s="134" t="s">
        <v>18</v>
      </c>
      <c r="AD30" s="134">
        <f t="shared" si="0"/>
        <v>26</v>
      </c>
      <c r="AE30" s="43" t="str">
        <f>IF(IFERROR(DATEDIF(AE$3,$O30,"D")&gt;=0,FALSE),IFERROR(AVERAGE($E30:E30),"N/A"),"")</f>
        <v/>
      </c>
      <c r="AF30" s="43" t="str">
        <f>IF(IFERROR(DATEDIF(AF$3,$O30,"D")&gt;=0,FALSE),IFERROR(AVERAGE($E30:F30),"N/A"),"")</f>
        <v/>
      </c>
      <c r="AG30" s="43" t="str">
        <f>IF(IFERROR(DATEDIF(AG$3,$O30,"D")&gt;=0,FALSE),IFERROR(AVERAGE($E30:G30),"N/A"),"")</f>
        <v/>
      </c>
      <c r="AH30" s="43" t="str">
        <f>IF(IFERROR(DATEDIF(AH$3,$O30,"D")&gt;=0,FALSE),IFERROR(AVERAGE($E30:H30),"N/A"),"")</f>
        <v/>
      </c>
      <c r="AI30" s="43" t="str">
        <f>IF(IFERROR(DATEDIF(AI$3,$O30,"D")&gt;=0,FALSE),IFERROR(AVERAGE($E30:I30),"N/A"),"")</f>
        <v/>
      </c>
      <c r="AJ30" s="43" t="str">
        <f>IF(IFERROR(DATEDIF(AJ$3,$O30,"D")&gt;=0,FALSE),IFERROR(AVERAGE($E30:J30),"N/A"),"")</f>
        <v/>
      </c>
      <c r="AK30" s="43" t="str">
        <f>IF(IFERROR(DATEDIF(AK$3,$O30,"D")&gt;=0,FALSE),IFERROR(AVERAGE($E30:K30),"N/A"),"")</f>
        <v/>
      </c>
      <c r="AL30" s="43" t="str">
        <f>IF(IFERROR(DATEDIF(AL$3,$O30,"D")&gt;=0,FALSE),IFERROR(AVERAGE($E30:L30),"N/A"),"")</f>
        <v/>
      </c>
      <c r="AM30" s="43" t="str">
        <f>IF(IFERROR(DATEDIF(AM$3,$O30,"D")&gt;=0,FALSE),IFERROR(AVERAGE($E30:M30),"N/A"),"")</f>
        <v/>
      </c>
      <c r="AN30" s="128" t="str">
        <f>IF(IFERROR(DATEDIF(AN$3,$O30,"D")&gt;=0,FALSE),IFERROR(AVERAGE($E30:N30),"N/A"),"")</f>
        <v/>
      </c>
    </row>
    <row r="31" spans="4:40" ht="15.75" x14ac:dyDescent="0.25">
      <c r="D31" s="20">
        <v>27</v>
      </c>
      <c r="E31" s="182">
        <v>2</v>
      </c>
      <c r="F31" s="182">
        <v>1</v>
      </c>
      <c r="G31" s="182">
        <v>1</v>
      </c>
      <c r="H31" s="182">
        <v>2</v>
      </c>
      <c r="I31" s="182">
        <v>1</v>
      </c>
      <c r="J31" s="182">
        <v>3</v>
      </c>
      <c r="K31" s="182">
        <v>1</v>
      </c>
      <c r="L31" s="182"/>
      <c r="M31" s="182"/>
      <c r="N31" s="182"/>
      <c r="O31" s="56">
        <v>42864</v>
      </c>
      <c r="P31" s="134" t="b">
        <v>1</v>
      </c>
      <c r="Q31" s="134" t="b">
        <v>1</v>
      </c>
      <c r="R31">
        <f t="shared" si="1"/>
        <v>1.5714285714285714</v>
      </c>
      <c r="S31">
        <f t="shared" si="2"/>
        <v>1.5714285714285714</v>
      </c>
      <c r="T31">
        <f t="shared" si="3"/>
        <v>3</v>
      </c>
      <c r="U31">
        <f t="shared" si="4"/>
        <v>7</v>
      </c>
      <c r="W31" s="134" t="s">
        <v>18</v>
      </c>
      <c r="X31" s="134">
        <v>1.5714285714285714</v>
      </c>
      <c r="Y31" s="134" t="s">
        <v>18</v>
      </c>
      <c r="Z31" s="134">
        <v>1.5714285714285714</v>
      </c>
      <c r="AD31" s="134">
        <f t="shared" si="0"/>
        <v>27</v>
      </c>
      <c r="AE31" s="43">
        <f>IF(IFERROR(DATEDIF(AE$3,$O31,"D")&gt;=0,FALSE),IFERROR(AVERAGE($E31:E31),"N/A"),"")</f>
        <v>2</v>
      </c>
      <c r="AF31" s="43">
        <f>IF(IFERROR(DATEDIF(AF$3,$O31,"D")&gt;=0,FALSE),IFERROR(AVERAGE($E31:F31),"N/A"),"")</f>
        <v>1.5</v>
      </c>
      <c r="AG31" s="43">
        <f>IF(IFERROR(DATEDIF(AG$3,$O31,"D")&gt;=0,FALSE),IFERROR(AVERAGE($E31:G31),"N/A"),"")</f>
        <v>1.3333333333333333</v>
      </c>
      <c r="AH31" s="43">
        <f>IF(IFERROR(DATEDIF(AH$3,$O31,"D")&gt;=0,FALSE),IFERROR(AVERAGE($E31:H31),"N/A"),"")</f>
        <v>1.5</v>
      </c>
      <c r="AI31" s="43">
        <f>IF(IFERROR(DATEDIF(AI$3,$O31,"D")&gt;=0,FALSE),IFERROR(AVERAGE($E31:I31),"N/A"),"")</f>
        <v>1.4</v>
      </c>
      <c r="AJ31" s="43">
        <f>IF(IFERROR(DATEDIF(AJ$3,$O31,"D")&gt;=0,FALSE),IFERROR(AVERAGE($E31:J31),"N/A"),"")</f>
        <v>1.6666666666666667</v>
      </c>
      <c r="AK31" s="43">
        <f>IF(IFERROR(DATEDIF(AK$3,$O31,"D")&gt;=0,FALSE),IFERROR(AVERAGE($E31:K31),"N/A"),"")</f>
        <v>1.5714285714285714</v>
      </c>
      <c r="AL31" s="43">
        <f>IF(IFERROR(DATEDIF(AL$3,$O31,"D")&gt;=0,FALSE),IFERROR(AVERAGE($E31:L31),"N/A"),"")</f>
        <v>1.5714285714285714</v>
      </c>
      <c r="AM31" s="43" t="str">
        <f>IF(IFERROR(DATEDIF(AM$3,$O31,"D")&gt;=0,FALSE),IFERROR(AVERAGE($E31:M31),"N/A"),"")</f>
        <v/>
      </c>
      <c r="AN31" s="128" t="str">
        <f>IF(IFERROR(DATEDIF(AN$3,$O31,"D")&gt;=0,FALSE),IFERROR(AVERAGE($E31:N31),"N/A"),"")</f>
        <v/>
      </c>
    </row>
    <row r="32" spans="4:40" ht="15.75" x14ac:dyDescent="0.25">
      <c r="D32" s="20">
        <v>28</v>
      </c>
      <c r="E32" s="182">
        <v>3</v>
      </c>
      <c r="F32" s="182">
        <v>2</v>
      </c>
      <c r="G32" s="182">
        <v>0</v>
      </c>
      <c r="H32" s="182"/>
      <c r="I32" s="182"/>
      <c r="J32" s="182"/>
      <c r="K32" s="182"/>
      <c r="L32" s="182"/>
      <c r="M32" s="182"/>
      <c r="N32" s="182"/>
      <c r="O32" s="56">
        <v>42849</v>
      </c>
      <c r="P32" s="134" t="b">
        <v>1</v>
      </c>
      <c r="Q32" s="134" t="b">
        <v>0</v>
      </c>
      <c r="R32">
        <f t="shared" si="1"/>
        <v>1.6666666666666667</v>
      </c>
      <c r="S32">
        <f t="shared" si="2"/>
        <v>2.5</v>
      </c>
      <c r="T32">
        <f t="shared" si="3"/>
        <v>3</v>
      </c>
      <c r="U32">
        <f t="shared" si="4"/>
        <v>2</v>
      </c>
      <c r="W32" s="134" t="s">
        <v>18</v>
      </c>
      <c r="X32" s="134">
        <v>1.6666666666666667</v>
      </c>
      <c r="Y32" s="134">
        <v>1.6666666666666667</v>
      </c>
      <c r="Z32" s="134" t="s">
        <v>18</v>
      </c>
      <c r="AD32" s="134">
        <f t="shared" si="0"/>
        <v>28</v>
      </c>
      <c r="AE32" s="43">
        <f>IF(IFERROR(DATEDIF(AE$3,$O32,"D")&gt;=0,FALSE),IFERROR(AVERAGE($E32:E32),"N/A"),"")</f>
        <v>3</v>
      </c>
      <c r="AF32" s="43">
        <f>IF(IFERROR(DATEDIF(AF$3,$O32,"D")&gt;=0,FALSE),IFERROR(AVERAGE($E32:F32),"N/A"),"")</f>
        <v>2.5</v>
      </c>
      <c r="AG32" s="43">
        <f>IF(IFERROR(DATEDIF(AG$3,$O32,"D")&gt;=0,FALSE),IFERROR(AVERAGE($E32:G32),"N/A"),"")</f>
        <v>1.6666666666666667</v>
      </c>
      <c r="AH32" s="43" t="str">
        <f>IF(IFERROR(DATEDIF(AH$3,$O32,"D")&gt;=0,FALSE),IFERROR(AVERAGE($E32:H32),"N/A"),"")</f>
        <v/>
      </c>
      <c r="AI32" s="43" t="str">
        <f>IF(IFERROR(DATEDIF(AI$3,$O32,"D")&gt;=0,FALSE),IFERROR(AVERAGE($E32:I32),"N/A"),"")</f>
        <v/>
      </c>
      <c r="AJ32" s="43" t="str">
        <f>IF(IFERROR(DATEDIF(AJ$3,$O32,"D")&gt;=0,FALSE),IFERROR(AVERAGE($E32:J32),"N/A"),"")</f>
        <v/>
      </c>
      <c r="AK32" s="43" t="str">
        <f>IF(IFERROR(DATEDIF(AK$3,$O32,"D")&gt;=0,FALSE),IFERROR(AVERAGE($E32:K32),"N/A"),"")</f>
        <v/>
      </c>
      <c r="AL32" s="43" t="str">
        <f>IF(IFERROR(DATEDIF(AL$3,$O32,"D")&gt;=0,FALSE),IFERROR(AVERAGE($E32:L32),"N/A"),"")</f>
        <v/>
      </c>
      <c r="AM32" s="43" t="str">
        <f>IF(IFERROR(DATEDIF(AM$3,$O32,"D")&gt;=0,FALSE),IFERROR(AVERAGE($E32:M32),"N/A"),"")</f>
        <v/>
      </c>
      <c r="AN32" s="128" t="str">
        <f>IF(IFERROR(DATEDIF(AN$3,$O32,"D")&gt;=0,FALSE),IFERROR(AVERAGE($E32:N32),"N/A"),"")</f>
        <v/>
      </c>
    </row>
    <row r="33" spans="4:40" ht="15.75" x14ac:dyDescent="0.25">
      <c r="D33" s="21">
        <v>29</v>
      </c>
      <c r="E33" s="182">
        <v>2</v>
      </c>
      <c r="F33" s="182">
        <v>3</v>
      </c>
      <c r="G33" s="182">
        <v>2</v>
      </c>
      <c r="H33" s="182">
        <v>2</v>
      </c>
      <c r="I33" s="182">
        <v>2</v>
      </c>
      <c r="J33" s="182">
        <v>3</v>
      </c>
      <c r="K33" s="182">
        <v>2</v>
      </c>
      <c r="L33" s="182">
        <v>3</v>
      </c>
      <c r="M33" s="182">
        <v>1</v>
      </c>
      <c r="N33" s="182">
        <v>0</v>
      </c>
      <c r="O33" s="56">
        <v>42874</v>
      </c>
      <c r="P33" s="134" t="b">
        <v>0</v>
      </c>
      <c r="Q33" s="134" t="s">
        <v>48</v>
      </c>
      <c r="R33">
        <f t="shared" si="1"/>
        <v>2</v>
      </c>
      <c r="S33">
        <f t="shared" si="2"/>
        <v>2.2222222222222223</v>
      </c>
      <c r="T33">
        <f t="shared" si="3"/>
        <v>3</v>
      </c>
      <c r="U33">
        <f t="shared" si="4"/>
        <v>9</v>
      </c>
      <c r="W33" s="134">
        <v>2</v>
      </c>
      <c r="X33" s="134" t="s">
        <v>18</v>
      </c>
      <c r="Y33" s="134">
        <v>2</v>
      </c>
      <c r="Z33" s="134" t="s">
        <v>18</v>
      </c>
      <c r="AD33" s="134">
        <f t="shared" si="0"/>
        <v>29</v>
      </c>
      <c r="AE33" s="43">
        <f>IF(IFERROR(DATEDIF(AE$3,$O33,"D")&gt;=0,FALSE),IFERROR(AVERAGE($E33:E33),"N/A"),"")</f>
        <v>2</v>
      </c>
      <c r="AF33" s="43">
        <f>IF(IFERROR(DATEDIF(AF$3,$O33,"D")&gt;=0,FALSE),IFERROR(AVERAGE($E33:F33),"N/A"),"")</f>
        <v>2.5</v>
      </c>
      <c r="AG33" s="43">
        <f>IF(IFERROR(DATEDIF(AG$3,$O33,"D")&gt;=0,FALSE),IFERROR(AVERAGE($E33:G33),"N/A"),"")</f>
        <v>2.3333333333333335</v>
      </c>
      <c r="AH33" s="43">
        <f>IF(IFERROR(DATEDIF(AH$3,$O33,"D")&gt;=0,FALSE),IFERROR(AVERAGE($E33:H33),"N/A"),"")</f>
        <v>2.25</v>
      </c>
      <c r="AI33" s="43">
        <f>IF(IFERROR(DATEDIF(AI$3,$O33,"D")&gt;=0,FALSE),IFERROR(AVERAGE($E33:I33),"N/A"),"")</f>
        <v>2.2000000000000002</v>
      </c>
      <c r="AJ33" s="43">
        <f>IF(IFERROR(DATEDIF(AJ$3,$O33,"D")&gt;=0,FALSE),IFERROR(AVERAGE($E33:J33),"N/A"),"")</f>
        <v>2.3333333333333335</v>
      </c>
      <c r="AK33" s="43">
        <f>IF(IFERROR(DATEDIF(AK$3,$O33,"D")&gt;=0,FALSE),IFERROR(AVERAGE($E33:K33),"N/A"),"")</f>
        <v>2.2857142857142856</v>
      </c>
      <c r="AL33" s="43">
        <f>IF(IFERROR(DATEDIF(AL$3,$O33,"D")&gt;=0,FALSE),IFERROR(AVERAGE($E33:L33),"N/A"),"")</f>
        <v>2.375</v>
      </c>
      <c r="AM33" s="43">
        <f>IF(IFERROR(DATEDIF(AM$3,$O33,"D")&gt;=0,FALSE),IFERROR(AVERAGE($E33:M33),"N/A"),"")</f>
        <v>2.2222222222222223</v>
      </c>
      <c r="AN33" s="128">
        <f>IF(IFERROR(DATEDIF(AN$3,$O33,"D")&gt;=0,FALSE),IFERROR(AVERAGE($E33:N33),"N/A"),"")</f>
        <v>2</v>
      </c>
    </row>
    <row r="34" spans="4:40" ht="15.75" x14ac:dyDescent="0.25">
      <c r="D34" s="20">
        <v>30</v>
      </c>
      <c r="E34" s="182">
        <v>3</v>
      </c>
      <c r="F34" s="182">
        <v>2</v>
      </c>
      <c r="G34" s="182">
        <v>1</v>
      </c>
      <c r="H34" s="182"/>
      <c r="I34" s="182"/>
      <c r="J34" s="182"/>
      <c r="K34" s="182"/>
      <c r="L34" s="182"/>
      <c r="M34" s="182"/>
      <c r="N34" s="182"/>
      <c r="O34" s="56">
        <v>42849</v>
      </c>
      <c r="P34" s="134" t="b">
        <v>1</v>
      </c>
      <c r="Q34" s="134" t="b">
        <v>1</v>
      </c>
      <c r="R34">
        <f t="shared" si="1"/>
        <v>2</v>
      </c>
      <c r="S34">
        <f t="shared" si="2"/>
        <v>2</v>
      </c>
      <c r="T34">
        <f t="shared" si="3"/>
        <v>3</v>
      </c>
      <c r="U34">
        <f t="shared" si="4"/>
        <v>3</v>
      </c>
      <c r="W34" s="134" t="s">
        <v>18</v>
      </c>
      <c r="X34" s="134">
        <v>2</v>
      </c>
      <c r="Y34" s="134" t="s">
        <v>18</v>
      </c>
      <c r="Z34" s="134">
        <v>2</v>
      </c>
      <c r="AD34" s="134">
        <f t="shared" si="0"/>
        <v>30</v>
      </c>
      <c r="AE34" s="43">
        <f>IF(IFERROR(DATEDIF(AE$3,$O34,"D")&gt;=0,FALSE),IFERROR(AVERAGE($E34:E34),"N/A"),"")</f>
        <v>3</v>
      </c>
      <c r="AF34" s="43">
        <f>IF(IFERROR(DATEDIF(AF$3,$O34,"D")&gt;=0,FALSE),IFERROR(AVERAGE($E34:F34),"N/A"),"")</f>
        <v>2.5</v>
      </c>
      <c r="AG34" s="43">
        <f>IF(IFERROR(DATEDIF(AG$3,$O34,"D")&gt;=0,FALSE),IFERROR(AVERAGE($E34:G34),"N/A"),"")</f>
        <v>2</v>
      </c>
      <c r="AH34" s="43" t="str">
        <f>IF(IFERROR(DATEDIF(AH$3,$O34,"D")&gt;=0,FALSE),IFERROR(AVERAGE($E34:H34),"N/A"),"")</f>
        <v/>
      </c>
      <c r="AI34" s="43" t="str">
        <f>IF(IFERROR(DATEDIF(AI$3,$O34,"D")&gt;=0,FALSE),IFERROR(AVERAGE($E34:I34),"N/A"),"")</f>
        <v/>
      </c>
      <c r="AJ34" s="43" t="str">
        <f>IF(IFERROR(DATEDIF(AJ$3,$O34,"D")&gt;=0,FALSE),IFERROR(AVERAGE($E34:J34),"N/A"),"")</f>
        <v/>
      </c>
      <c r="AK34" s="43" t="str">
        <f>IF(IFERROR(DATEDIF(AK$3,$O34,"D")&gt;=0,FALSE),IFERROR(AVERAGE($E34:K34),"N/A"),"")</f>
        <v/>
      </c>
      <c r="AL34" s="43" t="str">
        <f>IF(IFERROR(DATEDIF(AL$3,$O34,"D")&gt;=0,FALSE),IFERROR(AVERAGE($E34:L34),"N/A"),"")</f>
        <v/>
      </c>
      <c r="AM34" s="43" t="str">
        <f>IF(IFERROR(DATEDIF(AM$3,$O34,"D")&gt;=0,FALSE),IFERROR(AVERAGE($E34:M34),"N/A"),"")</f>
        <v/>
      </c>
      <c r="AN34" s="128" t="str">
        <f>IF(IFERROR(DATEDIF(AN$3,$O34,"D")&gt;=0,FALSE),IFERROR(AVERAGE($E34:N34),"N/A"),"")</f>
        <v/>
      </c>
    </row>
    <row r="35" spans="4:40" ht="15.75" x14ac:dyDescent="0.25">
      <c r="D35" s="20">
        <v>31</v>
      </c>
      <c r="E35" s="182">
        <v>2</v>
      </c>
      <c r="F35" s="182">
        <v>0</v>
      </c>
      <c r="G35" s="182">
        <v>1</v>
      </c>
      <c r="H35" s="182">
        <v>2</v>
      </c>
      <c r="I35" s="182">
        <v>3</v>
      </c>
      <c r="J35" s="182"/>
      <c r="K35" s="182"/>
      <c r="L35" s="182"/>
      <c r="M35" s="182"/>
      <c r="N35" s="182"/>
      <c r="O35" s="56">
        <v>42856</v>
      </c>
      <c r="P35" s="134" t="b">
        <v>1</v>
      </c>
      <c r="Q35" s="134" t="b">
        <v>1</v>
      </c>
      <c r="R35">
        <f t="shared" si="1"/>
        <v>1.6</v>
      </c>
      <c r="S35">
        <f t="shared" si="2"/>
        <v>2</v>
      </c>
      <c r="T35">
        <f t="shared" si="3"/>
        <v>3</v>
      </c>
      <c r="U35">
        <f t="shared" si="4"/>
        <v>4</v>
      </c>
      <c r="W35" s="134" t="s">
        <v>18</v>
      </c>
      <c r="X35" s="134">
        <v>1.6</v>
      </c>
      <c r="Y35" s="134" t="s">
        <v>18</v>
      </c>
      <c r="Z35" s="134">
        <v>1.6</v>
      </c>
      <c r="AD35" s="134">
        <f t="shared" si="0"/>
        <v>31</v>
      </c>
      <c r="AE35" s="43">
        <f>IF(IFERROR(DATEDIF(AE$3,$O35,"D")&gt;=0,FALSE),IFERROR(AVERAGE($E35:E35),"N/A"),"")</f>
        <v>2</v>
      </c>
      <c r="AF35" s="43">
        <f>IF(IFERROR(DATEDIF(AF$3,$O35,"D")&gt;=0,FALSE),IFERROR(AVERAGE($E35:F35),"N/A"),"")</f>
        <v>1</v>
      </c>
      <c r="AG35" s="43">
        <f>IF(IFERROR(DATEDIF(AG$3,$O35,"D")&gt;=0,FALSE),IFERROR(AVERAGE($E35:G35),"N/A"),"")</f>
        <v>1</v>
      </c>
      <c r="AH35" s="43">
        <f>IF(IFERROR(DATEDIF(AH$3,$O35,"D")&gt;=0,FALSE),IFERROR(AVERAGE($E35:H35),"N/A"),"")</f>
        <v>1.25</v>
      </c>
      <c r="AI35" s="43">
        <f>IF(IFERROR(DATEDIF(AI$3,$O35,"D")&gt;=0,FALSE),IFERROR(AVERAGE($E35:I35),"N/A"),"")</f>
        <v>1.6</v>
      </c>
      <c r="AJ35" s="43" t="str">
        <f>IF(IFERROR(DATEDIF(AJ$3,$O35,"D")&gt;=0,FALSE),IFERROR(AVERAGE($E35:J35),"N/A"),"")</f>
        <v/>
      </c>
      <c r="AK35" s="43" t="str">
        <f>IF(IFERROR(DATEDIF(AK$3,$O35,"D")&gt;=0,FALSE),IFERROR(AVERAGE($E35:K35),"N/A"),"")</f>
        <v/>
      </c>
      <c r="AL35" s="43" t="str">
        <f>IF(IFERROR(DATEDIF(AL$3,$O35,"D")&gt;=0,FALSE),IFERROR(AVERAGE($E35:L35),"N/A"),"")</f>
        <v/>
      </c>
      <c r="AM35" s="43" t="str">
        <f>IF(IFERROR(DATEDIF(AM$3,$O35,"D")&gt;=0,FALSE),IFERROR(AVERAGE($E35:M35),"N/A"),"")</f>
        <v/>
      </c>
      <c r="AN35" s="128" t="str">
        <f>IF(IFERROR(DATEDIF(AN$3,$O35,"D")&gt;=0,FALSE),IFERROR(AVERAGE($E35:N35),"N/A"),"")</f>
        <v/>
      </c>
    </row>
    <row r="36" spans="4:40" ht="15.75" x14ac:dyDescent="0.25">
      <c r="D36" s="21">
        <v>32</v>
      </c>
      <c r="E36" s="182">
        <v>2</v>
      </c>
      <c r="F36" s="182">
        <v>0</v>
      </c>
      <c r="G36" s="182">
        <v>0</v>
      </c>
      <c r="H36" s="182"/>
      <c r="I36" s="182"/>
      <c r="J36" s="182"/>
      <c r="K36" s="182"/>
      <c r="L36" s="182"/>
      <c r="M36" s="182"/>
      <c r="N36" s="182"/>
      <c r="O36" s="56">
        <v>42849</v>
      </c>
      <c r="P36" s="134" t="b">
        <v>1</v>
      </c>
      <c r="Q36" s="134" t="b">
        <v>1</v>
      </c>
      <c r="R36">
        <f t="shared" si="1"/>
        <v>0.66666666666666663</v>
      </c>
      <c r="S36">
        <f t="shared" si="2"/>
        <v>2</v>
      </c>
      <c r="T36">
        <f t="shared" si="3"/>
        <v>2</v>
      </c>
      <c r="U36">
        <f t="shared" si="4"/>
        <v>1</v>
      </c>
      <c r="W36" s="134" t="s">
        <v>18</v>
      </c>
      <c r="X36" s="134">
        <v>0.66666666666666663</v>
      </c>
      <c r="Y36" s="134" t="s">
        <v>18</v>
      </c>
      <c r="Z36" s="134">
        <v>0.66666666666666663</v>
      </c>
      <c r="AD36" s="134">
        <f t="shared" si="0"/>
        <v>32</v>
      </c>
      <c r="AE36" s="43">
        <f>IF(IFERROR(DATEDIF(AE$3,$O36,"D")&gt;=0,FALSE),IFERROR(AVERAGE($E36:E36),"N/A"),"")</f>
        <v>2</v>
      </c>
      <c r="AF36" s="43">
        <f>IF(IFERROR(DATEDIF(AF$3,$O36,"D")&gt;=0,FALSE),IFERROR(AVERAGE($E36:F36),"N/A"),"")</f>
        <v>1</v>
      </c>
      <c r="AG36" s="43">
        <f>IF(IFERROR(DATEDIF(AG$3,$O36,"D")&gt;=0,FALSE),IFERROR(AVERAGE($E36:G36),"N/A"),"")</f>
        <v>0.66666666666666663</v>
      </c>
      <c r="AH36" s="43" t="str">
        <f>IF(IFERROR(DATEDIF(AH$3,$O36,"D")&gt;=0,FALSE),IFERROR(AVERAGE($E36:H36),"N/A"),"")</f>
        <v/>
      </c>
      <c r="AI36" s="43" t="str">
        <f>IF(IFERROR(DATEDIF(AI$3,$O36,"D")&gt;=0,FALSE),IFERROR(AVERAGE($E36:I36),"N/A"),"")</f>
        <v/>
      </c>
      <c r="AJ36" s="43" t="str">
        <f>IF(IFERROR(DATEDIF(AJ$3,$O36,"D")&gt;=0,FALSE),IFERROR(AVERAGE($E36:J36),"N/A"),"")</f>
        <v/>
      </c>
      <c r="AK36" s="43" t="str">
        <f>IF(IFERROR(DATEDIF(AK$3,$O36,"D")&gt;=0,FALSE),IFERROR(AVERAGE($E36:K36),"N/A"),"")</f>
        <v/>
      </c>
      <c r="AL36" s="43" t="str">
        <f>IF(IFERROR(DATEDIF(AL$3,$O36,"D")&gt;=0,FALSE),IFERROR(AVERAGE($E36:L36),"N/A"),"")</f>
        <v/>
      </c>
      <c r="AM36" s="43" t="str">
        <f>IF(IFERROR(DATEDIF(AM$3,$O36,"D")&gt;=0,FALSE),IFERROR(AVERAGE($E36:M36),"N/A"),"")</f>
        <v/>
      </c>
      <c r="AN36" s="128" t="str">
        <f>IF(IFERROR(DATEDIF(AN$3,$O36,"D")&gt;=0,FALSE),IFERROR(AVERAGE($E36:N36),"N/A"),"")</f>
        <v/>
      </c>
    </row>
    <row r="37" spans="4:40" ht="15.75" x14ac:dyDescent="0.25">
      <c r="D37" s="20">
        <v>33</v>
      </c>
      <c r="E37" s="182">
        <v>0</v>
      </c>
      <c r="F37" s="182">
        <v>0</v>
      </c>
      <c r="G37" s="182">
        <v>0</v>
      </c>
      <c r="H37" s="182">
        <v>1</v>
      </c>
      <c r="I37" s="182">
        <v>3</v>
      </c>
      <c r="J37" s="182">
        <v>3</v>
      </c>
      <c r="K37" s="182">
        <v>1</v>
      </c>
      <c r="L37" s="182"/>
      <c r="M37" s="182"/>
      <c r="N37" s="182"/>
      <c r="O37" s="56">
        <v>42863</v>
      </c>
      <c r="P37" s="134" t="b">
        <v>1</v>
      </c>
      <c r="Q37" s="134" t="b">
        <v>1</v>
      </c>
      <c r="R37">
        <f t="shared" si="1"/>
        <v>1.1428571428571428</v>
      </c>
      <c r="S37">
        <f t="shared" si="2"/>
        <v>2</v>
      </c>
      <c r="T37">
        <f t="shared" si="3"/>
        <v>3</v>
      </c>
      <c r="U37">
        <f t="shared" si="4"/>
        <v>4</v>
      </c>
      <c r="W37" s="134" t="s">
        <v>18</v>
      </c>
      <c r="X37" s="134">
        <v>1.1428571428571428</v>
      </c>
      <c r="Y37" s="134" t="s">
        <v>18</v>
      </c>
      <c r="Z37" s="134">
        <v>1.1428571428571428</v>
      </c>
      <c r="AD37" s="134">
        <f t="shared" ref="AD37:AD68" si="5">D37</f>
        <v>33</v>
      </c>
      <c r="AE37" s="43">
        <f>IF(IFERROR(DATEDIF(AE$3,$O37,"D")&gt;=0,FALSE),IFERROR(AVERAGE($E37:E37),"N/A"),"")</f>
        <v>0</v>
      </c>
      <c r="AF37" s="43">
        <f>IF(IFERROR(DATEDIF(AF$3,$O37,"D")&gt;=0,FALSE),IFERROR(AVERAGE($E37:F37),"N/A"),"")</f>
        <v>0</v>
      </c>
      <c r="AG37" s="43">
        <f>IF(IFERROR(DATEDIF(AG$3,$O37,"D")&gt;=0,FALSE),IFERROR(AVERAGE($E37:G37),"N/A"),"")</f>
        <v>0</v>
      </c>
      <c r="AH37" s="43">
        <f>IF(IFERROR(DATEDIF(AH$3,$O37,"D")&gt;=0,FALSE),IFERROR(AVERAGE($E37:H37),"N/A"),"")</f>
        <v>0.25</v>
      </c>
      <c r="AI37" s="43">
        <f>IF(IFERROR(DATEDIF(AI$3,$O37,"D")&gt;=0,FALSE),IFERROR(AVERAGE($E37:I37),"N/A"),"")</f>
        <v>0.8</v>
      </c>
      <c r="AJ37" s="43">
        <f>IF(IFERROR(DATEDIF(AJ$3,$O37,"D")&gt;=0,FALSE),IFERROR(AVERAGE($E37:J37),"N/A"),"")</f>
        <v>1.1666666666666667</v>
      </c>
      <c r="AK37" s="43">
        <f>IF(IFERROR(DATEDIF(AK$3,$O37,"D")&gt;=0,FALSE),IFERROR(AVERAGE($E37:K37),"N/A"),"")</f>
        <v>1.1428571428571428</v>
      </c>
      <c r="AL37" s="43" t="str">
        <f>IF(IFERROR(DATEDIF(AL$3,$O37,"D")&gt;=0,FALSE),IFERROR(AVERAGE($E37:L37),"N/A"),"")</f>
        <v/>
      </c>
      <c r="AM37" s="43" t="str">
        <f>IF(IFERROR(DATEDIF(AM$3,$O37,"D")&gt;=0,FALSE),IFERROR(AVERAGE($E37:M37),"N/A"),"")</f>
        <v/>
      </c>
      <c r="AN37" s="128" t="str">
        <f>IF(IFERROR(DATEDIF(AN$3,$O37,"D")&gt;=0,FALSE),IFERROR(AVERAGE($E37:N37),"N/A"),"")</f>
        <v/>
      </c>
    </row>
    <row r="38" spans="4:40" ht="15.75" x14ac:dyDescent="0.25">
      <c r="D38" s="20">
        <v>34</v>
      </c>
      <c r="E38" s="182">
        <v>3</v>
      </c>
      <c r="F38" s="182">
        <v>2</v>
      </c>
      <c r="G38" s="182">
        <v>0</v>
      </c>
      <c r="H38" s="182">
        <v>2</v>
      </c>
      <c r="I38" s="182">
        <v>0</v>
      </c>
      <c r="J38" s="182">
        <v>2</v>
      </c>
      <c r="K38" s="182">
        <v>2</v>
      </c>
      <c r="L38" s="182"/>
      <c r="M38" s="182"/>
      <c r="N38" s="182"/>
      <c r="O38" s="56">
        <v>42863</v>
      </c>
      <c r="P38" s="134" t="b">
        <v>1</v>
      </c>
      <c r="Q38" s="134" t="b">
        <v>1</v>
      </c>
      <c r="R38">
        <f t="shared" si="1"/>
        <v>1.5714285714285714</v>
      </c>
      <c r="S38">
        <f t="shared" si="2"/>
        <v>2.2000000000000002</v>
      </c>
      <c r="T38">
        <f t="shared" si="3"/>
        <v>3</v>
      </c>
      <c r="U38">
        <f t="shared" si="4"/>
        <v>5</v>
      </c>
      <c r="W38" s="134" t="s">
        <v>18</v>
      </c>
      <c r="X38" s="134">
        <v>1.5714285714285714</v>
      </c>
      <c r="Y38" s="134" t="s">
        <v>18</v>
      </c>
      <c r="Z38" s="134">
        <v>1.5714285714285714</v>
      </c>
      <c r="AD38" s="134">
        <f t="shared" si="5"/>
        <v>34</v>
      </c>
      <c r="AE38" s="43">
        <f>IF(IFERROR(DATEDIF(AE$3,$O38,"D")&gt;=0,FALSE),IFERROR(AVERAGE($E38:E38),"N/A"),"")</f>
        <v>3</v>
      </c>
      <c r="AF38" s="43">
        <f>IF(IFERROR(DATEDIF(AF$3,$O38,"D")&gt;=0,FALSE),IFERROR(AVERAGE($E38:F38),"N/A"),"")</f>
        <v>2.5</v>
      </c>
      <c r="AG38" s="43">
        <f>IF(IFERROR(DATEDIF(AG$3,$O38,"D")&gt;=0,FALSE),IFERROR(AVERAGE($E38:G38),"N/A"),"")</f>
        <v>1.6666666666666667</v>
      </c>
      <c r="AH38" s="43">
        <f>IF(IFERROR(DATEDIF(AH$3,$O38,"D")&gt;=0,FALSE),IFERROR(AVERAGE($E38:H38),"N/A"),"")</f>
        <v>1.75</v>
      </c>
      <c r="AI38" s="43">
        <f>IF(IFERROR(DATEDIF(AI$3,$O38,"D")&gt;=0,FALSE),IFERROR(AVERAGE($E38:I38),"N/A"),"")</f>
        <v>1.4</v>
      </c>
      <c r="AJ38" s="43">
        <f>IF(IFERROR(DATEDIF(AJ$3,$O38,"D")&gt;=0,FALSE),IFERROR(AVERAGE($E38:J38),"N/A"),"")</f>
        <v>1.5</v>
      </c>
      <c r="AK38" s="43">
        <f>IF(IFERROR(DATEDIF(AK$3,$O38,"D")&gt;=0,FALSE),IFERROR(AVERAGE($E38:K38),"N/A"),"")</f>
        <v>1.5714285714285714</v>
      </c>
      <c r="AL38" s="43" t="str">
        <f>IF(IFERROR(DATEDIF(AL$3,$O38,"D")&gt;=0,FALSE),IFERROR(AVERAGE($E38:L38),"N/A"),"")</f>
        <v/>
      </c>
      <c r="AM38" s="43" t="str">
        <f>IF(IFERROR(DATEDIF(AM$3,$O38,"D")&gt;=0,FALSE),IFERROR(AVERAGE($E38:M38),"N/A"),"")</f>
        <v/>
      </c>
      <c r="AN38" s="128" t="str">
        <f>IF(IFERROR(DATEDIF(AN$3,$O38,"D")&gt;=0,FALSE),IFERROR(AVERAGE($E38:N38),"N/A"),"")</f>
        <v/>
      </c>
    </row>
    <row r="39" spans="4:40" ht="15.75" x14ac:dyDescent="0.25">
      <c r="D39" s="21">
        <v>35</v>
      </c>
      <c r="E39" s="182">
        <v>2</v>
      </c>
      <c r="F39" s="182">
        <v>2</v>
      </c>
      <c r="G39" s="182">
        <v>1</v>
      </c>
      <c r="H39" s="182">
        <v>3</v>
      </c>
      <c r="I39" s="182"/>
      <c r="J39" s="182"/>
      <c r="K39" s="182"/>
      <c r="L39" s="182"/>
      <c r="M39" s="182"/>
      <c r="N39" s="182"/>
      <c r="O39" s="56">
        <v>42853</v>
      </c>
      <c r="P39" s="134" t="b">
        <v>1</v>
      </c>
      <c r="Q39" s="134" t="b">
        <v>1</v>
      </c>
      <c r="R39">
        <f t="shared" si="1"/>
        <v>2</v>
      </c>
      <c r="S39">
        <f t="shared" si="2"/>
        <v>2</v>
      </c>
      <c r="T39">
        <f t="shared" si="3"/>
        <v>3</v>
      </c>
      <c r="U39">
        <f t="shared" si="4"/>
        <v>4</v>
      </c>
      <c r="W39" s="134" t="s">
        <v>18</v>
      </c>
      <c r="X39" s="134">
        <v>2</v>
      </c>
      <c r="Y39" s="134" t="s">
        <v>18</v>
      </c>
      <c r="Z39" s="134">
        <v>2</v>
      </c>
      <c r="AD39" s="134">
        <f t="shared" si="5"/>
        <v>35</v>
      </c>
      <c r="AE39" s="43">
        <f>IF(IFERROR(DATEDIF(AE$3,$O39,"D")&gt;=0,FALSE),IFERROR(AVERAGE($E39:E39),"N/A"),"")</f>
        <v>2</v>
      </c>
      <c r="AF39" s="43">
        <f>IF(IFERROR(DATEDIF(AF$3,$O39,"D")&gt;=0,FALSE),IFERROR(AVERAGE($E39:F39),"N/A"),"")</f>
        <v>2</v>
      </c>
      <c r="AG39" s="43">
        <f>IF(IFERROR(DATEDIF(AG$3,$O39,"D")&gt;=0,FALSE),IFERROR(AVERAGE($E39:G39),"N/A"),"")</f>
        <v>1.6666666666666667</v>
      </c>
      <c r="AH39" s="43">
        <f>IF(IFERROR(DATEDIF(AH$3,$O39,"D")&gt;=0,FALSE),IFERROR(AVERAGE($E39:H39),"N/A"),"")</f>
        <v>2</v>
      </c>
      <c r="AI39" s="43">
        <f>IF(IFERROR(DATEDIF(AI$3,$O39,"D")&gt;=0,FALSE),IFERROR(AVERAGE($E39:I39),"N/A"),"")</f>
        <v>2</v>
      </c>
      <c r="AJ39" s="43" t="str">
        <f>IF(IFERROR(DATEDIF(AJ$3,$O39,"D")&gt;=0,FALSE),IFERROR(AVERAGE($E39:J39),"N/A"),"")</f>
        <v/>
      </c>
      <c r="AK39" s="43" t="str">
        <f>IF(IFERROR(DATEDIF(AK$3,$O39,"D")&gt;=0,FALSE),IFERROR(AVERAGE($E39:K39),"N/A"),"")</f>
        <v/>
      </c>
      <c r="AL39" s="43" t="str">
        <f>IF(IFERROR(DATEDIF(AL$3,$O39,"D")&gt;=0,FALSE),IFERROR(AVERAGE($E39:L39),"N/A"),"")</f>
        <v/>
      </c>
      <c r="AM39" s="43" t="str">
        <f>IF(IFERROR(DATEDIF(AM$3,$O39,"D")&gt;=0,FALSE),IFERROR(AVERAGE($E39:M39),"N/A"),"")</f>
        <v/>
      </c>
      <c r="AN39" s="128" t="str">
        <f>IF(IFERROR(DATEDIF(AN$3,$O39,"D")&gt;=0,FALSE),IFERROR(AVERAGE($E39:N39),"N/A"),"")</f>
        <v/>
      </c>
    </row>
    <row r="40" spans="4:40" ht="15.75" x14ac:dyDescent="0.25">
      <c r="D40" s="20">
        <v>36</v>
      </c>
      <c r="E40" s="182">
        <v>2</v>
      </c>
      <c r="F40" s="182">
        <v>2</v>
      </c>
      <c r="G40" s="182">
        <v>1</v>
      </c>
      <c r="H40" s="182">
        <v>2</v>
      </c>
      <c r="I40" s="182">
        <v>2</v>
      </c>
      <c r="J40" s="182"/>
      <c r="K40" s="182"/>
      <c r="L40" s="182"/>
      <c r="M40" s="182"/>
      <c r="N40" s="182"/>
      <c r="O40" s="56">
        <v>42856</v>
      </c>
      <c r="P40" s="134" t="b">
        <v>1</v>
      </c>
      <c r="Q40" s="134" t="b">
        <v>0</v>
      </c>
      <c r="R40">
        <f t="shared" si="1"/>
        <v>1.8</v>
      </c>
      <c r="S40">
        <f t="shared" si="2"/>
        <v>1.8</v>
      </c>
      <c r="T40">
        <f t="shared" si="3"/>
        <v>2</v>
      </c>
      <c r="U40">
        <f t="shared" si="4"/>
        <v>5</v>
      </c>
      <c r="W40" s="134" t="s">
        <v>18</v>
      </c>
      <c r="X40" s="134">
        <v>1.8</v>
      </c>
      <c r="Y40" s="134">
        <v>1.8</v>
      </c>
      <c r="Z40" s="134" t="s">
        <v>18</v>
      </c>
      <c r="AD40" s="134">
        <f t="shared" si="5"/>
        <v>36</v>
      </c>
      <c r="AE40" s="43">
        <f>IF(IFERROR(DATEDIF(AE$3,$O40,"D")&gt;=0,FALSE),IFERROR(AVERAGE($E40:E40),"N/A"),"")</f>
        <v>2</v>
      </c>
      <c r="AF40" s="43">
        <f>IF(IFERROR(DATEDIF(AF$3,$O40,"D")&gt;=0,FALSE),IFERROR(AVERAGE($E40:F40),"N/A"),"")</f>
        <v>2</v>
      </c>
      <c r="AG40" s="43">
        <f>IF(IFERROR(DATEDIF(AG$3,$O40,"D")&gt;=0,FALSE),IFERROR(AVERAGE($E40:G40),"N/A"),"")</f>
        <v>1.6666666666666667</v>
      </c>
      <c r="AH40" s="43">
        <f>IF(IFERROR(DATEDIF(AH$3,$O40,"D")&gt;=0,FALSE),IFERROR(AVERAGE($E40:H40),"N/A"),"")</f>
        <v>1.75</v>
      </c>
      <c r="AI40" s="43">
        <f>IF(IFERROR(DATEDIF(AI$3,$O40,"D")&gt;=0,FALSE),IFERROR(AVERAGE($E40:I40),"N/A"),"")</f>
        <v>1.8</v>
      </c>
      <c r="AJ40" s="43" t="str">
        <f>IF(IFERROR(DATEDIF(AJ$3,$O40,"D")&gt;=0,FALSE),IFERROR(AVERAGE($E40:J40),"N/A"),"")</f>
        <v/>
      </c>
      <c r="AK40" s="43" t="str">
        <f>IF(IFERROR(DATEDIF(AK$3,$O40,"D")&gt;=0,FALSE),IFERROR(AVERAGE($E40:K40),"N/A"),"")</f>
        <v/>
      </c>
      <c r="AL40" s="43" t="str">
        <f>IF(IFERROR(DATEDIF(AL$3,$O40,"D")&gt;=0,FALSE),IFERROR(AVERAGE($E40:L40),"N/A"),"")</f>
        <v/>
      </c>
      <c r="AM40" s="43" t="str">
        <f>IF(IFERROR(DATEDIF(AM$3,$O40,"D")&gt;=0,FALSE),IFERROR(AVERAGE($E40:M40),"N/A"),"")</f>
        <v/>
      </c>
      <c r="AN40" s="128" t="str">
        <f>IF(IFERROR(DATEDIF(AN$3,$O40,"D")&gt;=0,FALSE),IFERROR(AVERAGE($E40:N40),"N/A"),"")</f>
        <v/>
      </c>
    </row>
    <row r="41" spans="4:40" ht="15.75" x14ac:dyDescent="0.25">
      <c r="D41" s="20">
        <v>37</v>
      </c>
      <c r="E41" s="182">
        <v>1</v>
      </c>
      <c r="F41" s="182"/>
      <c r="G41" s="182"/>
      <c r="H41" s="182"/>
      <c r="I41" s="182"/>
      <c r="J41" s="182"/>
      <c r="K41" s="182"/>
      <c r="L41" s="182"/>
      <c r="M41" s="182"/>
      <c r="N41" s="182"/>
      <c r="O41" s="56">
        <v>42843</v>
      </c>
      <c r="P41" s="134" t="b">
        <v>1</v>
      </c>
      <c r="Q41" s="134" t="b">
        <v>1</v>
      </c>
      <c r="R41">
        <f t="shared" si="1"/>
        <v>1</v>
      </c>
      <c r="S41">
        <f t="shared" si="2"/>
        <v>1</v>
      </c>
      <c r="T41">
        <f t="shared" si="3"/>
        <v>1</v>
      </c>
      <c r="U41">
        <f t="shared" si="4"/>
        <v>1</v>
      </c>
      <c r="W41" s="134" t="s">
        <v>18</v>
      </c>
      <c r="X41" s="134">
        <v>1</v>
      </c>
      <c r="Y41" s="134" t="s">
        <v>18</v>
      </c>
      <c r="Z41" s="134">
        <v>1</v>
      </c>
      <c r="AD41" s="134">
        <f t="shared" si="5"/>
        <v>37</v>
      </c>
      <c r="AE41" s="43">
        <f>IF(IFERROR(DATEDIF(AE$3,$O41,"D")&gt;=0,FALSE),IFERROR(AVERAGE($E41:E41),"N/A"),"")</f>
        <v>1</v>
      </c>
      <c r="AF41" s="43">
        <f>IF(IFERROR(DATEDIF(AF$3,$O41,"D")&gt;=0,FALSE),IFERROR(AVERAGE($E41:F41),"N/A"),"")</f>
        <v>1</v>
      </c>
      <c r="AG41" s="43" t="str">
        <f>IF(IFERROR(DATEDIF(AG$3,$O41,"D")&gt;=0,FALSE),IFERROR(AVERAGE($E41:G41),"N/A"),"")</f>
        <v/>
      </c>
      <c r="AH41" s="43" t="str">
        <f>IF(IFERROR(DATEDIF(AH$3,$O41,"D")&gt;=0,FALSE),IFERROR(AVERAGE($E41:H41),"N/A"),"")</f>
        <v/>
      </c>
      <c r="AI41" s="43" t="str">
        <f>IF(IFERROR(DATEDIF(AI$3,$O41,"D")&gt;=0,FALSE),IFERROR(AVERAGE($E41:I41),"N/A"),"")</f>
        <v/>
      </c>
      <c r="AJ41" s="43" t="str">
        <f>IF(IFERROR(DATEDIF(AJ$3,$O41,"D")&gt;=0,FALSE),IFERROR(AVERAGE($E41:J41),"N/A"),"")</f>
        <v/>
      </c>
      <c r="AK41" s="43" t="str">
        <f>IF(IFERROR(DATEDIF(AK$3,$O41,"D")&gt;=0,FALSE),IFERROR(AVERAGE($E41:K41),"N/A"),"")</f>
        <v/>
      </c>
      <c r="AL41" s="43" t="str">
        <f>IF(IFERROR(DATEDIF(AL$3,$O41,"D")&gt;=0,FALSE),IFERROR(AVERAGE($E41:L41),"N/A"),"")</f>
        <v/>
      </c>
      <c r="AM41" s="43" t="str">
        <f>IF(IFERROR(DATEDIF(AM$3,$O41,"D")&gt;=0,FALSE),IFERROR(AVERAGE($E41:M41),"N/A"),"")</f>
        <v/>
      </c>
      <c r="AN41" s="128" t="str">
        <f>IF(IFERROR(DATEDIF(AN$3,$O41,"D")&gt;=0,FALSE),IFERROR(AVERAGE($E41:N41),"N/A"),"")</f>
        <v/>
      </c>
    </row>
    <row r="42" spans="4:40" ht="15.75" x14ac:dyDescent="0.25">
      <c r="D42" s="21">
        <v>38</v>
      </c>
      <c r="E42" s="182">
        <v>0</v>
      </c>
      <c r="F42" s="182">
        <v>0</v>
      </c>
      <c r="G42" s="182">
        <v>0</v>
      </c>
      <c r="H42" s="182">
        <v>1</v>
      </c>
      <c r="I42" s="182"/>
      <c r="J42" s="182"/>
      <c r="K42" s="182"/>
      <c r="L42" s="182"/>
      <c r="M42" s="182"/>
      <c r="N42" s="182"/>
      <c r="O42" s="56">
        <v>42852</v>
      </c>
      <c r="P42" s="134" t="b">
        <v>1</v>
      </c>
      <c r="Q42" s="134" t="b">
        <v>1</v>
      </c>
      <c r="R42">
        <f t="shared" si="1"/>
        <v>0.25</v>
      </c>
      <c r="S42">
        <f t="shared" si="2"/>
        <v>1</v>
      </c>
      <c r="T42">
        <f t="shared" si="3"/>
        <v>1</v>
      </c>
      <c r="U42">
        <f t="shared" si="4"/>
        <v>1</v>
      </c>
      <c r="W42" s="134" t="s">
        <v>18</v>
      </c>
      <c r="X42" s="134">
        <v>0.25</v>
      </c>
      <c r="Y42" s="134" t="s">
        <v>18</v>
      </c>
      <c r="Z42" s="134">
        <v>0.25</v>
      </c>
      <c r="AD42" s="134">
        <f t="shared" si="5"/>
        <v>38</v>
      </c>
      <c r="AE42" s="43">
        <f>IF(IFERROR(DATEDIF(AE$3,$O42,"D")&gt;=0,FALSE),IFERROR(AVERAGE($E42:E42),"N/A"),"")</f>
        <v>0</v>
      </c>
      <c r="AF42" s="43">
        <f>IF(IFERROR(DATEDIF(AF$3,$O42,"D")&gt;=0,FALSE),IFERROR(AVERAGE($E42:F42),"N/A"),"")</f>
        <v>0</v>
      </c>
      <c r="AG42" s="43">
        <f>IF(IFERROR(DATEDIF(AG$3,$O42,"D")&gt;=0,FALSE),IFERROR(AVERAGE($E42:G42),"N/A"),"")</f>
        <v>0</v>
      </c>
      <c r="AH42" s="43">
        <f>IF(IFERROR(DATEDIF(AH$3,$O42,"D")&gt;=0,FALSE),IFERROR(AVERAGE($E42:H42),"N/A"),"")</f>
        <v>0.25</v>
      </c>
      <c r="AI42" s="43" t="str">
        <f>IF(IFERROR(DATEDIF(AI$3,$O42,"D")&gt;=0,FALSE),IFERROR(AVERAGE($E42:I42),"N/A"),"")</f>
        <v/>
      </c>
      <c r="AJ42" s="43" t="str">
        <f>IF(IFERROR(DATEDIF(AJ$3,$O42,"D")&gt;=0,FALSE),IFERROR(AVERAGE($E42:J42),"N/A"),"")</f>
        <v/>
      </c>
      <c r="AK42" s="43" t="str">
        <f>IF(IFERROR(DATEDIF(AK$3,$O42,"D")&gt;=0,FALSE),IFERROR(AVERAGE($E42:K42),"N/A"),"")</f>
        <v/>
      </c>
      <c r="AL42" s="43" t="str">
        <f>IF(IFERROR(DATEDIF(AL$3,$O42,"D")&gt;=0,FALSE),IFERROR(AVERAGE($E42:L42),"N/A"),"")</f>
        <v/>
      </c>
      <c r="AM42" s="43" t="str">
        <f>IF(IFERROR(DATEDIF(AM$3,$O42,"D")&gt;=0,FALSE),IFERROR(AVERAGE($E42:M42),"N/A"),"")</f>
        <v/>
      </c>
      <c r="AN42" s="128" t="str">
        <f>IF(IFERROR(DATEDIF(AN$3,$O42,"D")&gt;=0,FALSE),IFERROR(AVERAGE($E42:N42),"N/A"),"")</f>
        <v/>
      </c>
    </row>
    <row r="43" spans="4:40" ht="15.75" x14ac:dyDescent="0.25">
      <c r="D43" s="20">
        <v>39</v>
      </c>
      <c r="E43" s="182">
        <v>2</v>
      </c>
      <c r="F43" s="182">
        <v>1</v>
      </c>
      <c r="G43" s="182">
        <v>0</v>
      </c>
      <c r="H43" s="182">
        <v>1</v>
      </c>
      <c r="I43" s="182">
        <v>1</v>
      </c>
      <c r="J43" s="182">
        <v>0</v>
      </c>
      <c r="K43" s="182">
        <v>0</v>
      </c>
      <c r="L43" s="182"/>
      <c r="M43" s="182"/>
      <c r="N43" s="182"/>
      <c r="O43" s="56">
        <v>42863</v>
      </c>
      <c r="P43" s="134" t="b">
        <v>1</v>
      </c>
      <c r="Q43" s="134" t="b">
        <v>0</v>
      </c>
      <c r="R43">
        <f t="shared" si="1"/>
        <v>0.7142857142857143</v>
      </c>
      <c r="S43">
        <f t="shared" si="2"/>
        <v>1.25</v>
      </c>
      <c r="T43">
        <f t="shared" si="3"/>
        <v>2</v>
      </c>
      <c r="U43">
        <f t="shared" si="4"/>
        <v>4</v>
      </c>
      <c r="W43" s="134" t="s">
        <v>18</v>
      </c>
      <c r="X43" s="134">
        <v>0.7142857142857143</v>
      </c>
      <c r="Y43" s="134">
        <v>0.7142857142857143</v>
      </c>
      <c r="Z43" s="134" t="s">
        <v>18</v>
      </c>
      <c r="AD43" s="134">
        <f t="shared" si="5"/>
        <v>39</v>
      </c>
      <c r="AE43" s="43">
        <f>IF(IFERROR(DATEDIF(AE$3,$O43,"D")&gt;=0,FALSE),IFERROR(AVERAGE($E43:E43),"N/A"),"")</f>
        <v>2</v>
      </c>
      <c r="AF43" s="43">
        <f>IF(IFERROR(DATEDIF(AF$3,$O43,"D")&gt;=0,FALSE),IFERROR(AVERAGE($E43:F43),"N/A"),"")</f>
        <v>1.5</v>
      </c>
      <c r="AG43" s="43">
        <f>IF(IFERROR(DATEDIF(AG$3,$O43,"D")&gt;=0,FALSE),IFERROR(AVERAGE($E43:G43),"N/A"),"")</f>
        <v>1</v>
      </c>
      <c r="AH43" s="43">
        <f>IF(IFERROR(DATEDIF(AH$3,$O43,"D")&gt;=0,FALSE),IFERROR(AVERAGE($E43:H43),"N/A"),"")</f>
        <v>1</v>
      </c>
      <c r="AI43" s="43">
        <f>IF(IFERROR(DATEDIF(AI$3,$O43,"D")&gt;=0,FALSE),IFERROR(AVERAGE($E43:I43),"N/A"),"")</f>
        <v>1</v>
      </c>
      <c r="AJ43" s="43">
        <f>IF(IFERROR(DATEDIF(AJ$3,$O43,"D")&gt;=0,FALSE),IFERROR(AVERAGE($E43:J43),"N/A"),"")</f>
        <v>0.83333333333333337</v>
      </c>
      <c r="AK43" s="43">
        <f>IF(IFERROR(DATEDIF(AK$3,$O43,"D")&gt;=0,FALSE),IFERROR(AVERAGE($E43:K43),"N/A"),"")</f>
        <v>0.7142857142857143</v>
      </c>
      <c r="AL43" s="43" t="str">
        <f>IF(IFERROR(DATEDIF(AL$3,$O43,"D")&gt;=0,FALSE),IFERROR(AVERAGE($E43:L43),"N/A"),"")</f>
        <v/>
      </c>
      <c r="AM43" s="43" t="str">
        <f>IF(IFERROR(DATEDIF(AM$3,$O43,"D")&gt;=0,FALSE),IFERROR(AVERAGE($E43:M43),"N/A"),"")</f>
        <v/>
      </c>
      <c r="AN43" s="128" t="str">
        <f>IF(IFERROR(DATEDIF(AN$3,$O43,"D")&gt;=0,FALSE),IFERROR(AVERAGE($E43:N43),"N/A"),"")</f>
        <v/>
      </c>
    </row>
    <row r="44" spans="4:40" ht="15.75" x14ac:dyDescent="0.25">
      <c r="D44" s="20">
        <v>40</v>
      </c>
      <c r="E44" s="182">
        <v>3</v>
      </c>
      <c r="F44" s="182">
        <v>2</v>
      </c>
      <c r="G44" s="182">
        <v>0</v>
      </c>
      <c r="H44" s="182">
        <v>0</v>
      </c>
      <c r="I44" s="182">
        <v>0</v>
      </c>
      <c r="J44" s="182">
        <v>1</v>
      </c>
      <c r="K44" s="182">
        <v>0</v>
      </c>
      <c r="L44" s="182">
        <v>2</v>
      </c>
      <c r="M44" s="182">
        <v>0</v>
      </c>
      <c r="N44" s="182"/>
      <c r="O44" s="56">
        <v>42871</v>
      </c>
      <c r="P44" s="134" t="b">
        <v>1</v>
      </c>
      <c r="Q44" s="134" t="b">
        <v>1</v>
      </c>
      <c r="R44">
        <f t="shared" si="1"/>
        <v>0.88888888888888884</v>
      </c>
      <c r="S44">
        <f t="shared" si="2"/>
        <v>2</v>
      </c>
      <c r="T44">
        <f t="shared" si="3"/>
        <v>3</v>
      </c>
      <c r="U44">
        <f t="shared" si="4"/>
        <v>4</v>
      </c>
      <c r="W44" s="134" t="s">
        <v>18</v>
      </c>
      <c r="X44" s="134">
        <v>0.88888888888888884</v>
      </c>
      <c r="Y44" s="134" t="s">
        <v>18</v>
      </c>
      <c r="Z44" s="134">
        <v>0.88888888888888884</v>
      </c>
      <c r="AD44" s="134">
        <f t="shared" si="5"/>
        <v>40</v>
      </c>
      <c r="AE44" s="43">
        <f>IF(IFERROR(DATEDIF(AE$3,$O44,"D")&gt;=0,FALSE),IFERROR(AVERAGE($E44:E44),"N/A"),"")</f>
        <v>3</v>
      </c>
      <c r="AF44" s="43">
        <f>IF(IFERROR(DATEDIF(AF$3,$O44,"D")&gt;=0,FALSE),IFERROR(AVERAGE($E44:F44),"N/A"),"")</f>
        <v>2.5</v>
      </c>
      <c r="AG44" s="43">
        <f>IF(IFERROR(DATEDIF(AG$3,$O44,"D")&gt;=0,FALSE),IFERROR(AVERAGE($E44:G44),"N/A"),"")</f>
        <v>1.6666666666666667</v>
      </c>
      <c r="AH44" s="43">
        <f>IF(IFERROR(DATEDIF(AH$3,$O44,"D")&gt;=0,FALSE),IFERROR(AVERAGE($E44:H44),"N/A"),"")</f>
        <v>1.25</v>
      </c>
      <c r="AI44" s="43">
        <f>IF(IFERROR(DATEDIF(AI$3,$O44,"D")&gt;=0,FALSE),IFERROR(AVERAGE($E44:I44),"N/A"),"")</f>
        <v>1</v>
      </c>
      <c r="AJ44" s="43">
        <f>IF(IFERROR(DATEDIF(AJ$3,$O44,"D")&gt;=0,FALSE),IFERROR(AVERAGE($E44:J44),"N/A"),"")</f>
        <v>1</v>
      </c>
      <c r="AK44" s="43">
        <f>IF(IFERROR(DATEDIF(AK$3,$O44,"D")&gt;=0,FALSE),IFERROR(AVERAGE($E44:K44),"N/A"),"")</f>
        <v>0.8571428571428571</v>
      </c>
      <c r="AL44" s="43">
        <f>IF(IFERROR(DATEDIF(AL$3,$O44,"D")&gt;=0,FALSE),IFERROR(AVERAGE($E44:L44),"N/A"),"")</f>
        <v>1</v>
      </c>
      <c r="AM44" s="43">
        <f>IF(IFERROR(DATEDIF(AM$3,$O44,"D")&gt;=0,FALSE),IFERROR(AVERAGE($E44:M44),"N/A"),"")</f>
        <v>0.88888888888888884</v>
      </c>
      <c r="AN44" s="128">
        <f>IF(IFERROR(DATEDIF(AN$3,$O44,"D")&gt;=0,FALSE),IFERROR(AVERAGE($E44:N44),"N/A"),"")</f>
        <v>0.88888888888888884</v>
      </c>
    </row>
    <row r="45" spans="4:40" ht="15.75" x14ac:dyDescent="0.25">
      <c r="D45" s="21">
        <v>41</v>
      </c>
      <c r="E45" s="182">
        <v>2</v>
      </c>
      <c r="F45" s="182">
        <v>1</v>
      </c>
      <c r="G45" s="182">
        <v>0</v>
      </c>
      <c r="H45" s="182">
        <v>1</v>
      </c>
      <c r="I45" s="182">
        <v>1</v>
      </c>
      <c r="J45" s="182"/>
      <c r="K45" s="182"/>
      <c r="L45" s="182"/>
      <c r="M45" s="182"/>
      <c r="N45" s="182"/>
      <c r="O45" s="56">
        <v>42856</v>
      </c>
      <c r="P45" s="134" t="b">
        <v>1</v>
      </c>
      <c r="Q45" s="134" t="b">
        <v>1</v>
      </c>
      <c r="R45">
        <f t="shared" si="1"/>
        <v>1</v>
      </c>
      <c r="S45">
        <f t="shared" si="2"/>
        <v>1.25</v>
      </c>
      <c r="T45">
        <f t="shared" si="3"/>
        <v>2</v>
      </c>
      <c r="U45">
        <f t="shared" si="4"/>
        <v>4</v>
      </c>
      <c r="W45" s="134" t="s">
        <v>18</v>
      </c>
      <c r="X45" s="134">
        <v>1</v>
      </c>
      <c r="Y45" s="134" t="s">
        <v>18</v>
      </c>
      <c r="Z45" s="134">
        <v>1</v>
      </c>
      <c r="AD45" s="134">
        <f t="shared" si="5"/>
        <v>41</v>
      </c>
      <c r="AE45" s="43">
        <f>IF(IFERROR(DATEDIF(AE$3,$O45,"D")&gt;=0,FALSE),IFERROR(AVERAGE($E45:E45),"N/A"),"")</f>
        <v>2</v>
      </c>
      <c r="AF45" s="43">
        <f>IF(IFERROR(DATEDIF(AF$3,$O45,"D")&gt;=0,FALSE),IFERROR(AVERAGE($E45:F45),"N/A"),"")</f>
        <v>1.5</v>
      </c>
      <c r="AG45" s="43">
        <f>IF(IFERROR(DATEDIF(AG$3,$O45,"D")&gt;=0,FALSE),IFERROR(AVERAGE($E45:G45),"N/A"),"")</f>
        <v>1</v>
      </c>
      <c r="AH45" s="43">
        <f>IF(IFERROR(DATEDIF(AH$3,$O45,"D")&gt;=0,FALSE),IFERROR(AVERAGE($E45:H45),"N/A"),"")</f>
        <v>1</v>
      </c>
      <c r="AI45" s="43">
        <f>IF(IFERROR(DATEDIF(AI$3,$O45,"D")&gt;=0,FALSE),IFERROR(AVERAGE($E45:I45),"N/A"),"")</f>
        <v>1</v>
      </c>
      <c r="AJ45" s="43" t="str">
        <f>IF(IFERROR(DATEDIF(AJ$3,$O45,"D")&gt;=0,FALSE),IFERROR(AVERAGE($E45:J45),"N/A"),"")</f>
        <v/>
      </c>
      <c r="AK45" s="43" t="str">
        <f>IF(IFERROR(DATEDIF(AK$3,$O45,"D")&gt;=0,FALSE),IFERROR(AVERAGE($E45:K45),"N/A"),"")</f>
        <v/>
      </c>
      <c r="AL45" s="43" t="str">
        <f>IF(IFERROR(DATEDIF(AL$3,$O45,"D")&gt;=0,FALSE),IFERROR(AVERAGE($E45:L45),"N/A"),"")</f>
        <v/>
      </c>
      <c r="AM45" s="43" t="str">
        <f>IF(IFERROR(DATEDIF(AM$3,$O45,"D")&gt;=0,FALSE),IFERROR(AVERAGE($E45:M45),"N/A"),"")</f>
        <v/>
      </c>
      <c r="AN45" s="128" t="str">
        <f>IF(IFERROR(DATEDIF(AN$3,$O45,"D")&gt;=0,FALSE),IFERROR(AVERAGE($E45:N45),"N/A"),"")</f>
        <v/>
      </c>
    </row>
    <row r="46" spans="4:40" ht="15.75" x14ac:dyDescent="0.25">
      <c r="D46" s="20">
        <v>42</v>
      </c>
      <c r="E46" s="182">
        <v>2</v>
      </c>
      <c r="F46" s="182">
        <v>1</v>
      </c>
      <c r="G46" s="182">
        <v>2</v>
      </c>
      <c r="H46" s="182">
        <v>1</v>
      </c>
      <c r="I46" s="182">
        <v>2</v>
      </c>
      <c r="J46" s="182">
        <v>1</v>
      </c>
      <c r="K46" s="182"/>
      <c r="L46" s="182"/>
      <c r="M46" s="182"/>
      <c r="N46" s="182"/>
      <c r="O46" s="56">
        <v>42859</v>
      </c>
      <c r="P46" s="134" t="b">
        <v>1</v>
      </c>
      <c r="Q46" s="134" t="b">
        <v>1</v>
      </c>
      <c r="R46">
        <f t="shared" si="1"/>
        <v>1.5</v>
      </c>
      <c r="S46">
        <f t="shared" si="2"/>
        <v>1.5</v>
      </c>
      <c r="T46">
        <f t="shared" si="3"/>
        <v>2</v>
      </c>
      <c r="U46">
        <f t="shared" si="4"/>
        <v>6</v>
      </c>
      <c r="W46" s="134" t="s">
        <v>18</v>
      </c>
      <c r="X46" s="134">
        <v>1.5</v>
      </c>
      <c r="Y46" s="134" t="s">
        <v>18</v>
      </c>
      <c r="Z46" s="134">
        <v>1.5</v>
      </c>
      <c r="AD46" s="134">
        <f t="shared" si="5"/>
        <v>42</v>
      </c>
      <c r="AE46" s="43">
        <f>IF(IFERROR(DATEDIF(AE$3,$O46,"D")&gt;=0,FALSE),IFERROR(AVERAGE($E46:E46),"N/A"),"")</f>
        <v>2</v>
      </c>
      <c r="AF46" s="43">
        <f>IF(IFERROR(DATEDIF(AF$3,$O46,"D")&gt;=0,FALSE),IFERROR(AVERAGE($E46:F46),"N/A"),"")</f>
        <v>1.5</v>
      </c>
      <c r="AG46" s="43">
        <f>IF(IFERROR(DATEDIF(AG$3,$O46,"D")&gt;=0,FALSE),IFERROR(AVERAGE($E46:G46),"N/A"),"")</f>
        <v>1.6666666666666667</v>
      </c>
      <c r="AH46" s="43">
        <f>IF(IFERROR(DATEDIF(AH$3,$O46,"D")&gt;=0,FALSE),IFERROR(AVERAGE($E46:H46),"N/A"),"")</f>
        <v>1.5</v>
      </c>
      <c r="AI46" s="43">
        <f>IF(IFERROR(DATEDIF(AI$3,$O46,"D")&gt;=0,FALSE),IFERROR(AVERAGE($E46:I46),"N/A"),"")</f>
        <v>1.6</v>
      </c>
      <c r="AJ46" s="43">
        <f>IF(IFERROR(DATEDIF(AJ$3,$O46,"D")&gt;=0,FALSE),IFERROR(AVERAGE($E46:J46),"N/A"),"")</f>
        <v>1.5</v>
      </c>
      <c r="AK46" s="43" t="str">
        <f>IF(IFERROR(DATEDIF(AK$3,$O46,"D")&gt;=0,FALSE),IFERROR(AVERAGE($E46:K46),"N/A"),"")</f>
        <v/>
      </c>
      <c r="AL46" s="43" t="str">
        <f>IF(IFERROR(DATEDIF(AL$3,$O46,"D")&gt;=0,FALSE),IFERROR(AVERAGE($E46:L46),"N/A"),"")</f>
        <v/>
      </c>
      <c r="AM46" s="43" t="str">
        <f>IF(IFERROR(DATEDIF(AM$3,$O46,"D")&gt;=0,FALSE),IFERROR(AVERAGE($E46:M46),"N/A"),"")</f>
        <v/>
      </c>
      <c r="AN46" s="128" t="str">
        <f>IF(IFERROR(DATEDIF(AN$3,$O46,"D")&gt;=0,FALSE),IFERROR(AVERAGE($E46:N46),"N/A"),"")</f>
        <v/>
      </c>
    </row>
    <row r="47" spans="4:40" ht="15.75" x14ac:dyDescent="0.25">
      <c r="D47" s="20">
        <v>43</v>
      </c>
      <c r="E47" s="182">
        <v>4</v>
      </c>
      <c r="F47" s="182">
        <v>0</v>
      </c>
      <c r="G47" s="182">
        <v>2</v>
      </c>
      <c r="H47" s="182">
        <v>2</v>
      </c>
      <c r="I47" s="182">
        <v>1</v>
      </c>
      <c r="J47" s="182">
        <v>1</v>
      </c>
      <c r="K47" s="182"/>
      <c r="L47" s="182"/>
      <c r="M47" s="182"/>
      <c r="N47" s="182"/>
      <c r="O47" s="56">
        <v>42860</v>
      </c>
      <c r="P47" s="134" t="b">
        <v>1</v>
      </c>
      <c r="Q47" s="134" t="b">
        <v>1</v>
      </c>
      <c r="R47">
        <f t="shared" si="1"/>
        <v>1.6666666666666667</v>
      </c>
      <c r="S47">
        <f t="shared" si="2"/>
        <v>2</v>
      </c>
      <c r="T47">
        <f t="shared" si="3"/>
        <v>4</v>
      </c>
      <c r="U47">
        <f t="shared" si="4"/>
        <v>5</v>
      </c>
      <c r="W47" s="134" t="s">
        <v>18</v>
      </c>
      <c r="X47" s="134">
        <v>1.6666666666666667</v>
      </c>
      <c r="Y47" s="134" t="s">
        <v>18</v>
      </c>
      <c r="Z47" s="134">
        <v>1.6666666666666667</v>
      </c>
      <c r="AD47" s="134">
        <f t="shared" si="5"/>
        <v>43</v>
      </c>
      <c r="AE47" s="43">
        <f>IF(IFERROR(DATEDIF(AE$3,$O47,"D")&gt;=0,FALSE),IFERROR(AVERAGE($E47:E47),"N/A"),"")</f>
        <v>4</v>
      </c>
      <c r="AF47" s="43">
        <f>IF(IFERROR(DATEDIF(AF$3,$O47,"D")&gt;=0,FALSE),IFERROR(AVERAGE($E47:F47),"N/A"),"")</f>
        <v>2</v>
      </c>
      <c r="AG47" s="43">
        <f>IF(IFERROR(DATEDIF(AG$3,$O47,"D")&gt;=0,FALSE),IFERROR(AVERAGE($E47:G47),"N/A"),"")</f>
        <v>2</v>
      </c>
      <c r="AH47" s="43">
        <f>IF(IFERROR(DATEDIF(AH$3,$O47,"D")&gt;=0,FALSE),IFERROR(AVERAGE($E47:H47),"N/A"),"")</f>
        <v>2</v>
      </c>
      <c r="AI47" s="43">
        <f>IF(IFERROR(DATEDIF(AI$3,$O47,"D")&gt;=0,FALSE),IFERROR(AVERAGE($E47:I47),"N/A"),"")</f>
        <v>1.8</v>
      </c>
      <c r="AJ47" s="43">
        <f>IF(IFERROR(DATEDIF(AJ$3,$O47,"D")&gt;=0,FALSE),IFERROR(AVERAGE($E47:J47),"N/A"),"")</f>
        <v>1.6666666666666667</v>
      </c>
      <c r="AK47" s="43">
        <f>IF(IFERROR(DATEDIF(AK$3,$O47,"D")&gt;=0,FALSE),IFERROR(AVERAGE($E47:K47),"N/A"),"")</f>
        <v>1.6666666666666667</v>
      </c>
      <c r="AL47" s="43" t="str">
        <f>IF(IFERROR(DATEDIF(AL$3,$O47,"D")&gt;=0,FALSE),IFERROR(AVERAGE($E47:L47),"N/A"),"")</f>
        <v/>
      </c>
      <c r="AM47" s="43" t="str">
        <f>IF(IFERROR(DATEDIF(AM$3,$O47,"D")&gt;=0,FALSE),IFERROR(AVERAGE($E47:M47),"N/A"),"")</f>
        <v/>
      </c>
      <c r="AN47" s="128" t="str">
        <f>IF(IFERROR(DATEDIF(AN$3,$O47,"D")&gt;=0,FALSE),IFERROR(AVERAGE($E47:N47),"N/A"),"")</f>
        <v/>
      </c>
    </row>
    <row r="48" spans="4:40" ht="15.75" x14ac:dyDescent="0.25">
      <c r="D48" s="21">
        <v>44</v>
      </c>
      <c r="E48" s="182">
        <v>1</v>
      </c>
      <c r="F48" s="182">
        <v>2</v>
      </c>
      <c r="G48" s="182">
        <v>0</v>
      </c>
      <c r="H48" s="182">
        <v>3</v>
      </c>
      <c r="I48" s="182">
        <v>2</v>
      </c>
      <c r="J48" s="182"/>
      <c r="K48" s="182"/>
      <c r="L48" s="182"/>
      <c r="M48" s="182"/>
      <c r="N48" s="182"/>
      <c r="O48" s="56">
        <v>42857</v>
      </c>
      <c r="P48" s="134" t="b">
        <v>1</v>
      </c>
      <c r="Q48" s="134" t="b">
        <v>1</v>
      </c>
      <c r="R48">
        <f t="shared" si="1"/>
        <v>1.6</v>
      </c>
      <c r="S48">
        <f t="shared" si="2"/>
        <v>2</v>
      </c>
      <c r="T48">
        <f t="shared" si="3"/>
        <v>3</v>
      </c>
      <c r="U48">
        <f t="shared" si="4"/>
        <v>4</v>
      </c>
      <c r="W48" s="134" t="s">
        <v>18</v>
      </c>
      <c r="X48" s="134">
        <v>1.6</v>
      </c>
      <c r="Y48" s="134" t="s">
        <v>18</v>
      </c>
      <c r="Z48" s="134">
        <v>1.6</v>
      </c>
      <c r="AD48" s="134">
        <f t="shared" si="5"/>
        <v>44</v>
      </c>
      <c r="AE48" s="43">
        <f>IF(IFERROR(DATEDIF(AE$3,$O48,"D")&gt;=0,FALSE),IFERROR(AVERAGE($E48:E48),"N/A"),"")</f>
        <v>1</v>
      </c>
      <c r="AF48" s="43">
        <f>IF(IFERROR(DATEDIF(AF$3,$O48,"D")&gt;=0,FALSE),IFERROR(AVERAGE($E48:F48),"N/A"),"")</f>
        <v>1.5</v>
      </c>
      <c r="AG48" s="43">
        <f>IF(IFERROR(DATEDIF(AG$3,$O48,"D")&gt;=0,FALSE),IFERROR(AVERAGE($E48:G48),"N/A"),"")</f>
        <v>1</v>
      </c>
      <c r="AH48" s="43">
        <f>IF(IFERROR(DATEDIF(AH$3,$O48,"D")&gt;=0,FALSE),IFERROR(AVERAGE($E48:H48),"N/A"),"")</f>
        <v>1.5</v>
      </c>
      <c r="AI48" s="43">
        <f>IF(IFERROR(DATEDIF(AI$3,$O48,"D")&gt;=0,FALSE),IFERROR(AVERAGE($E48:I48),"N/A"),"")</f>
        <v>1.6</v>
      </c>
      <c r="AJ48" s="43">
        <f>IF(IFERROR(DATEDIF(AJ$3,$O48,"D")&gt;=0,FALSE),IFERROR(AVERAGE($E48:J48),"N/A"),"")</f>
        <v>1.6</v>
      </c>
      <c r="AK48" s="43" t="str">
        <f>IF(IFERROR(DATEDIF(AK$3,$O48,"D")&gt;=0,FALSE),IFERROR(AVERAGE($E48:K48),"N/A"),"")</f>
        <v/>
      </c>
      <c r="AL48" s="43" t="str">
        <f>IF(IFERROR(DATEDIF(AL$3,$O48,"D")&gt;=0,FALSE),IFERROR(AVERAGE($E48:L48),"N/A"),"")</f>
        <v/>
      </c>
      <c r="AM48" s="43" t="str">
        <f>IF(IFERROR(DATEDIF(AM$3,$O48,"D")&gt;=0,FALSE),IFERROR(AVERAGE($E48:M48),"N/A"),"")</f>
        <v/>
      </c>
      <c r="AN48" s="128" t="str">
        <f>IF(IFERROR(DATEDIF(AN$3,$O48,"D")&gt;=0,FALSE),IFERROR(AVERAGE($E48:N48),"N/A"),"")</f>
        <v/>
      </c>
    </row>
    <row r="49" spans="4:40" ht="15.75" x14ac:dyDescent="0.25">
      <c r="D49" s="20">
        <v>45</v>
      </c>
      <c r="E49" s="182">
        <v>4</v>
      </c>
      <c r="F49" s="182">
        <v>3</v>
      </c>
      <c r="G49" s="182">
        <v>1</v>
      </c>
      <c r="H49" s="182"/>
      <c r="I49" s="182"/>
      <c r="J49" s="182"/>
      <c r="K49" s="182"/>
      <c r="L49" s="182"/>
      <c r="M49" s="182"/>
      <c r="N49" s="182"/>
      <c r="O49" s="56">
        <v>42849</v>
      </c>
      <c r="P49" s="134" t="b">
        <v>1</v>
      </c>
      <c r="Q49" s="134" t="b">
        <v>1</v>
      </c>
      <c r="R49">
        <f t="shared" si="1"/>
        <v>2.6666666666666665</v>
      </c>
      <c r="S49">
        <f t="shared" si="2"/>
        <v>2.6666666666666665</v>
      </c>
      <c r="T49">
        <f t="shared" si="3"/>
        <v>4</v>
      </c>
      <c r="U49">
        <f t="shared" si="4"/>
        <v>3</v>
      </c>
      <c r="W49" s="134" t="s">
        <v>18</v>
      </c>
      <c r="X49" s="134">
        <v>2.6666666666666665</v>
      </c>
      <c r="Y49" s="134" t="s">
        <v>18</v>
      </c>
      <c r="Z49" s="134">
        <v>2.6666666666666665</v>
      </c>
      <c r="AD49" s="134">
        <f t="shared" si="5"/>
        <v>45</v>
      </c>
      <c r="AE49" s="43">
        <f>IF(IFERROR(DATEDIF(AE$3,$O49,"D")&gt;=0,FALSE),IFERROR(AVERAGE($E49:E49),"N/A"),"")</f>
        <v>4</v>
      </c>
      <c r="AF49" s="43">
        <f>IF(IFERROR(DATEDIF(AF$3,$O49,"D")&gt;=0,FALSE),IFERROR(AVERAGE($E49:F49),"N/A"),"")</f>
        <v>3.5</v>
      </c>
      <c r="AG49" s="43">
        <f>IF(IFERROR(DATEDIF(AG$3,$O49,"D")&gt;=0,FALSE),IFERROR(AVERAGE($E49:G49),"N/A"),"")</f>
        <v>2.6666666666666665</v>
      </c>
      <c r="AH49" s="43" t="str">
        <f>IF(IFERROR(DATEDIF(AH$3,$O49,"D")&gt;=0,FALSE),IFERROR(AVERAGE($E49:H49),"N/A"),"")</f>
        <v/>
      </c>
      <c r="AI49" s="43" t="str">
        <f>IF(IFERROR(DATEDIF(AI$3,$O49,"D")&gt;=0,FALSE),IFERROR(AVERAGE($E49:I49),"N/A"),"")</f>
        <v/>
      </c>
      <c r="AJ49" s="43" t="str">
        <f>IF(IFERROR(DATEDIF(AJ$3,$O49,"D")&gt;=0,FALSE),IFERROR(AVERAGE($E49:J49),"N/A"),"")</f>
        <v/>
      </c>
      <c r="AK49" s="43" t="str">
        <f>IF(IFERROR(DATEDIF(AK$3,$O49,"D")&gt;=0,FALSE),IFERROR(AVERAGE($E49:K49),"N/A"),"")</f>
        <v/>
      </c>
      <c r="AL49" s="43" t="str">
        <f>IF(IFERROR(DATEDIF(AL$3,$O49,"D")&gt;=0,FALSE),IFERROR(AVERAGE($E49:L49),"N/A"),"")</f>
        <v/>
      </c>
      <c r="AM49" s="43" t="str">
        <f>IF(IFERROR(DATEDIF(AM$3,$O49,"D")&gt;=0,FALSE),IFERROR(AVERAGE($E49:M49),"N/A"),"")</f>
        <v/>
      </c>
      <c r="AN49" s="128" t="str">
        <f>IF(IFERROR(DATEDIF(AN$3,$O49,"D")&gt;=0,FALSE),IFERROR(AVERAGE($E49:N49),"N/A"),"")</f>
        <v/>
      </c>
    </row>
    <row r="50" spans="4:40" ht="15.75" x14ac:dyDescent="0.25">
      <c r="D50" s="20">
        <v>46</v>
      </c>
      <c r="E50" s="182">
        <v>4</v>
      </c>
      <c r="F50" s="182">
        <v>1</v>
      </c>
      <c r="G50" s="182">
        <v>1</v>
      </c>
      <c r="H50" s="182"/>
      <c r="I50" s="182"/>
      <c r="J50" s="182"/>
      <c r="K50" s="182"/>
      <c r="L50" s="182"/>
      <c r="M50" s="182"/>
      <c r="N50" s="182"/>
      <c r="O50" s="56">
        <v>42850</v>
      </c>
      <c r="P50" s="134" t="b">
        <v>1</v>
      </c>
      <c r="Q50" s="134" t="b">
        <v>1</v>
      </c>
      <c r="R50">
        <f t="shared" si="1"/>
        <v>2</v>
      </c>
      <c r="S50">
        <f t="shared" si="2"/>
        <v>2</v>
      </c>
      <c r="T50">
        <f t="shared" si="3"/>
        <v>4</v>
      </c>
      <c r="U50">
        <f t="shared" si="4"/>
        <v>3</v>
      </c>
      <c r="W50" s="134" t="s">
        <v>18</v>
      </c>
      <c r="X50" s="134">
        <v>2</v>
      </c>
      <c r="Y50" s="134" t="s">
        <v>18</v>
      </c>
      <c r="Z50" s="134">
        <v>2</v>
      </c>
      <c r="AD50" s="134">
        <f t="shared" si="5"/>
        <v>46</v>
      </c>
      <c r="AE50" s="43">
        <f>IF(IFERROR(DATEDIF(AE$3,$O50,"D")&gt;=0,FALSE),IFERROR(AVERAGE($E50:E50),"N/A"),"")</f>
        <v>4</v>
      </c>
      <c r="AF50" s="43">
        <f>IF(IFERROR(DATEDIF(AF$3,$O50,"D")&gt;=0,FALSE),IFERROR(AVERAGE($E50:F50),"N/A"),"")</f>
        <v>2.5</v>
      </c>
      <c r="AG50" s="43">
        <f>IF(IFERROR(DATEDIF(AG$3,$O50,"D")&gt;=0,FALSE),IFERROR(AVERAGE($E50:G50),"N/A"),"")</f>
        <v>2</v>
      </c>
      <c r="AH50" s="43">
        <f>IF(IFERROR(DATEDIF(AH$3,$O50,"D")&gt;=0,FALSE),IFERROR(AVERAGE($E50:H50),"N/A"),"")</f>
        <v>2</v>
      </c>
      <c r="AI50" s="43" t="str">
        <f>IF(IFERROR(DATEDIF(AI$3,$O50,"D")&gt;=0,FALSE),IFERROR(AVERAGE($E50:I50),"N/A"),"")</f>
        <v/>
      </c>
      <c r="AJ50" s="43" t="str">
        <f>IF(IFERROR(DATEDIF(AJ$3,$O50,"D")&gt;=0,FALSE),IFERROR(AVERAGE($E50:J50),"N/A"),"")</f>
        <v/>
      </c>
      <c r="AK50" s="43" t="str">
        <f>IF(IFERROR(DATEDIF(AK$3,$O50,"D")&gt;=0,FALSE),IFERROR(AVERAGE($E50:K50),"N/A"),"")</f>
        <v/>
      </c>
      <c r="AL50" s="43" t="str">
        <f>IF(IFERROR(DATEDIF(AL$3,$O50,"D")&gt;=0,FALSE),IFERROR(AVERAGE($E50:L50),"N/A"),"")</f>
        <v/>
      </c>
      <c r="AM50" s="43" t="str">
        <f>IF(IFERROR(DATEDIF(AM$3,$O50,"D")&gt;=0,FALSE),IFERROR(AVERAGE($E50:M50),"N/A"),"")</f>
        <v/>
      </c>
      <c r="AN50" s="128" t="str">
        <f>IF(IFERROR(DATEDIF(AN$3,$O50,"D")&gt;=0,FALSE),IFERROR(AVERAGE($E50:N50),"N/A"),"")</f>
        <v/>
      </c>
    </row>
    <row r="51" spans="4:40" ht="15.75" x14ac:dyDescent="0.25">
      <c r="D51" s="21">
        <v>47</v>
      </c>
      <c r="E51" s="182">
        <v>0</v>
      </c>
      <c r="F51" s="182">
        <v>0</v>
      </c>
      <c r="G51" s="182">
        <v>0</v>
      </c>
      <c r="H51" s="182">
        <v>2</v>
      </c>
      <c r="I51" s="182">
        <v>1</v>
      </c>
      <c r="J51" s="182">
        <v>0</v>
      </c>
      <c r="K51" s="182">
        <v>0</v>
      </c>
      <c r="L51" s="182"/>
      <c r="M51" s="182"/>
      <c r="N51" s="182"/>
      <c r="O51" s="56">
        <v>42863</v>
      </c>
      <c r="P51" s="134" t="b">
        <v>1</v>
      </c>
      <c r="Q51" s="134" t="b">
        <v>1</v>
      </c>
      <c r="R51">
        <f t="shared" si="1"/>
        <v>0.42857142857142855</v>
      </c>
      <c r="S51">
        <f t="shared" si="2"/>
        <v>1.5</v>
      </c>
      <c r="T51">
        <f t="shared" si="3"/>
        <v>2</v>
      </c>
      <c r="U51">
        <f t="shared" si="4"/>
        <v>2</v>
      </c>
      <c r="W51" s="134" t="s">
        <v>18</v>
      </c>
      <c r="X51" s="134">
        <v>0.42857142857142855</v>
      </c>
      <c r="Y51" s="134" t="s">
        <v>18</v>
      </c>
      <c r="Z51" s="134">
        <v>0.42857142857142855</v>
      </c>
      <c r="AD51" s="134">
        <f t="shared" si="5"/>
        <v>47</v>
      </c>
      <c r="AE51" s="43">
        <f>IF(IFERROR(DATEDIF(AE$3,$O51,"D")&gt;=0,FALSE),IFERROR(AVERAGE($E51:E51),"N/A"),"")</f>
        <v>0</v>
      </c>
      <c r="AF51" s="43">
        <f>IF(IFERROR(DATEDIF(AF$3,$O51,"D")&gt;=0,FALSE),IFERROR(AVERAGE($E51:F51),"N/A"),"")</f>
        <v>0</v>
      </c>
      <c r="AG51" s="43">
        <f>IF(IFERROR(DATEDIF(AG$3,$O51,"D")&gt;=0,FALSE),IFERROR(AVERAGE($E51:G51),"N/A"),"")</f>
        <v>0</v>
      </c>
      <c r="AH51" s="43">
        <f>IF(IFERROR(DATEDIF(AH$3,$O51,"D")&gt;=0,FALSE),IFERROR(AVERAGE($E51:H51),"N/A"),"")</f>
        <v>0.5</v>
      </c>
      <c r="AI51" s="43">
        <f>IF(IFERROR(DATEDIF(AI$3,$O51,"D")&gt;=0,FALSE),IFERROR(AVERAGE($E51:I51),"N/A"),"")</f>
        <v>0.6</v>
      </c>
      <c r="AJ51" s="43">
        <f>IF(IFERROR(DATEDIF(AJ$3,$O51,"D")&gt;=0,FALSE),IFERROR(AVERAGE($E51:J51),"N/A"),"")</f>
        <v>0.5</v>
      </c>
      <c r="AK51" s="43">
        <f>IF(IFERROR(DATEDIF(AK$3,$O51,"D")&gt;=0,FALSE),IFERROR(AVERAGE($E51:K51),"N/A"),"")</f>
        <v>0.42857142857142855</v>
      </c>
      <c r="AL51" s="43" t="str">
        <f>IF(IFERROR(DATEDIF(AL$3,$O51,"D")&gt;=0,FALSE),IFERROR(AVERAGE($E51:L51),"N/A"),"")</f>
        <v/>
      </c>
      <c r="AM51" s="43" t="str">
        <f>IF(IFERROR(DATEDIF(AM$3,$O51,"D")&gt;=0,FALSE),IFERROR(AVERAGE($E51:M51),"N/A"),"")</f>
        <v/>
      </c>
      <c r="AN51" s="128" t="str">
        <f>IF(IFERROR(DATEDIF(AN$3,$O51,"D")&gt;=0,FALSE),IFERROR(AVERAGE($E51:N51),"N/A"),"")</f>
        <v/>
      </c>
    </row>
    <row r="52" spans="4:40" ht="15.75" x14ac:dyDescent="0.25">
      <c r="D52" s="20">
        <v>48</v>
      </c>
      <c r="E52" s="182">
        <v>2</v>
      </c>
      <c r="F52" s="182">
        <v>2</v>
      </c>
      <c r="G52" s="182"/>
      <c r="H52" s="182"/>
      <c r="I52" s="182"/>
      <c r="J52" s="182"/>
      <c r="K52" s="182"/>
      <c r="L52" s="182"/>
      <c r="M52" s="182"/>
      <c r="N52" s="182"/>
      <c r="O52" s="56">
        <v>42846</v>
      </c>
      <c r="P52" s="134" t="b">
        <v>1</v>
      </c>
      <c r="Q52" s="134" t="b">
        <v>1</v>
      </c>
      <c r="R52">
        <f t="shared" si="1"/>
        <v>2</v>
      </c>
      <c r="S52">
        <f t="shared" si="2"/>
        <v>2</v>
      </c>
      <c r="T52">
        <f t="shared" si="3"/>
        <v>2</v>
      </c>
      <c r="U52">
        <f t="shared" si="4"/>
        <v>2</v>
      </c>
      <c r="W52" s="134" t="s">
        <v>18</v>
      </c>
      <c r="X52" s="134">
        <v>2</v>
      </c>
      <c r="Y52" s="134" t="s">
        <v>18</v>
      </c>
      <c r="Z52" s="134">
        <v>2</v>
      </c>
      <c r="AD52" s="134">
        <f t="shared" si="5"/>
        <v>48</v>
      </c>
      <c r="AE52" s="43">
        <f>IF(IFERROR(DATEDIF(AE$3,$O52,"D")&gt;=0,FALSE),IFERROR(AVERAGE($E52:E52),"N/A"),"")</f>
        <v>2</v>
      </c>
      <c r="AF52" s="43">
        <f>IF(IFERROR(DATEDIF(AF$3,$O52,"D")&gt;=0,FALSE),IFERROR(AVERAGE($E52:F52),"N/A"),"")</f>
        <v>2</v>
      </c>
      <c r="AG52" s="43">
        <f>IF(IFERROR(DATEDIF(AG$3,$O52,"D")&gt;=0,FALSE),IFERROR(AVERAGE($E52:G52),"N/A"),"")</f>
        <v>2</v>
      </c>
      <c r="AH52" s="43" t="str">
        <f>IF(IFERROR(DATEDIF(AH$3,$O52,"D")&gt;=0,FALSE),IFERROR(AVERAGE($E52:H52),"N/A"),"")</f>
        <v/>
      </c>
      <c r="AI52" s="43" t="str">
        <f>IF(IFERROR(DATEDIF(AI$3,$O52,"D")&gt;=0,FALSE),IFERROR(AVERAGE($E52:I52),"N/A"),"")</f>
        <v/>
      </c>
      <c r="AJ52" s="43" t="str">
        <f>IF(IFERROR(DATEDIF(AJ$3,$O52,"D")&gt;=0,FALSE),IFERROR(AVERAGE($E52:J52),"N/A"),"")</f>
        <v/>
      </c>
      <c r="AK52" s="43" t="str">
        <f>IF(IFERROR(DATEDIF(AK$3,$O52,"D")&gt;=0,FALSE),IFERROR(AVERAGE($E52:K52),"N/A"),"")</f>
        <v/>
      </c>
      <c r="AL52" s="43" t="str">
        <f>IF(IFERROR(DATEDIF(AL$3,$O52,"D")&gt;=0,FALSE),IFERROR(AVERAGE($E52:L52),"N/A"),"")</f>
        <v/>
      </c>
      <c r="AM52" s="43" t="str">
        <f>IF(IFERROR(DATEDIF(AM$3,$O52,"D")&gt;=0,FALSE),IFERROR(AVERAGE($E52:M52),"N/A"),"")</f>
        <v/>
      </c>
      <c r="AN52" s="128" t="str">
        <f>IF(IFERROR(DATEDIF(AN$3,$O52,"D")&gt;=0,FALSE),IFERROR(AVERAGE($E52:N52),"N/A"),"")</f>
        <v/>
      </c>
    </row>
    <row r="53" spans="4:40" ht="15.75" x14ac:dyDescent="0.25">
      <c r="D53" s="20">
        <v>49</v>
      </c>
      <c r="E53" s="182">
        <v>0</v>
      </c>
      <c r="F53" s="182">
        <v>0</v>
      </c>
      <c r="G53" s="182">
        <v>0</v>
      </c>
      <c r="H53" s="182">
        <v>2</v>
      </c>
      <c r="I53" s="182">
        <v>1</v>
      </c>
      <c r="J53" s="182">
        <v>2</v>
      </c>
      <c r="K53" s="182">
        <v>2</v>
      </c>
      <c r="L53" s="182">
        <v>2</v>
      </c>
      <c r="M53" s="182"/>
      <c r="N53" s="182"/>
      <c r="O53" s="56">
        <v>42867</v>
      </c>
      <c r="P53" s="134" t="b">
        <v>1</v>
      </c>
      <c r="Q53" s="134" t="b">
        <v>1</v>
      </c>
      <c r="R53">
        <f t="shared" si="1"/>
        <v>1.125</v>
      </c>
      <c r="S53">
        <f t="shared" si="2"/>
        <v>1.8</v>
      </c>
      <c r="T53">
        <f t="shared" si="3"/>
        <v>2</v>
      </c>
      <c r="U53">
        <f t="shared" si="4"/>
        <v>5</v>
      </c>
      <c r="W53" s="134" t="s">
        <v>18</v>
      </c>
      <c r="X53" s="134">
        <v>1.125</v>
      </c>
      <c r="Y53" s="134" t="s">
        <v>18</v>
      </c>
      <c r="Z53" s="134">
        <v>1.125</v>
      </c>
      <c r="AD53" s="134">
        <f t="shared" si="5"/>
        <v>49</v>
      </c>
      <c r="AE53" s="43">
        <f>IF(IFERROR(DATEDIF(AE$3,$O53,"D")&gt;=0,FALSE),IFERROR(AVERAGE($E53:E53),"N/A"),"")</f>
        <v>0</v>
      </c>
      <c r="AF53" s="43">
        <f>IF(IFERROR(DATEDIF(AF$3,$O53,"D")&gt;=0,FALSE),IFERROR(AVERAGE($E53:F53),"N/A"),"")</f>
        <v>0</v>
      </c>
      <c r="AG53" s="43">
        <f>IF(IFERROR(DATEDIF(AG$3,$O53,"D")&gt;=0,FALSE),IFERROR(AVERAGE($E53:G53),"N/A"),"")</f>
        <v>0</v>
      </c>
      <c r="AH53" s="43">
        <f>IF(IFERROR(DATEDIF(AH$3,$O53,"D")&gt;=0,FALSE),IFERROR(AVERAGE($E53:H53),"N/A"),"")</f>
        <v>0.5</v>
      </c>
      <c r="AI53" s="43">
        <f>IF(IFERROR(DATEDIF(AI$3,$O53,"D")&gt;=0,FALSE),IFERROR(AVERAGE($E53:I53),"N/A"),"")</f>
        <v>0.6</v>
      </c>
      <c r="AJ53" s="43">
        <f>IF(IFERROR(DATEDIF(AJ$3,$O53,"D")&gt;=0,FALSE),IFERROR(AVERAGE($E53:J53),"N/A"),"")</f>
        <v>0.83333333333333337</v>
      </c>
      <c r="AK53" s="43">
        <f>IF(IFERROR(DATEDIF(AK$3,$O53,"D")&gt;=0,FALSE),IFERROR(AVERAGE($E53:K53),"N/A"),"")</f>
        <v>1</v>
      </c>
      <c r="AL53" s="43">
        <f>IF(IFERROR(DATEDIF(AL$3,$O53,"D")&gt;=0,FALSE),IFERROR(AVERAGE($E53:L53),"N/A"),"")</f>
        <v>1.125</v>
      </c>
      <c r="AM53" s="43">
        <f>IF(IFERROR(DATEDIF(AM$3,$O53,"D")&gt;=0,FALSE),IFERROR(AVERAGE($E53:M53),"N/A"),"")</f>
        <v>1.125</v>
      </c>
      <c r="AN53" s="128" t="str">
        <f>IF(IFERROR(DATEDIF(AN$3,$O53,"D")&gt;=0,FALSE),IFERROR(AVERAGE($E53:N53),"N/A"),"")</f>
        <v/>
      </c>
    </row>
    <row r="54" spans="4:40" ht="15.75" x14ac:dyDescent="0.25">
      <c r="D54" s="21">
        <v>50</v>
      </c>
      <c r="E54" s="182">
        <v>2</v>
      </c>
      <c r="F54" s="182">
        <v>0</v>
      </c>
      <c r="G54" s="182">
        <v>0</v>
      </c>
      <c r="H54" s="182">
        <v>0</v>
      </c>
      <c r="I54" s="182">
        <v>0</v>
      </c>
      <c r="J54" s="182">
        <v>2</v>
      </c>
      <c r="K54" s="182">
        <v>1</v>
      </c>
      <c r="L54" s="182">
        <v>3</v>
      </c>
      <c r="M54" s="182">
        <v>0</v>
      </c>
      <c r="N54" s="182"/>
      <c r="O54" s="56">
        <v>42871</v>
      </c>
      <c r="P54" s="134" t="b">
        <v>1</v>
      </c>
      <c r="Q54" s="134" t="b">
        <v>1</v>
      </c>
      <c r="R54">
        <f t="shared" si="1"/>
        <v>0.88888888888888884</v>
      </c>
      <c r="S54">
        <f t="shared" si="2"/>
        <v>2</v>
      </c>
      <c r="T54">
        <f t="shared" si="3"/>
        <v>3</v>
      </c>
      <c r="U54">
        <f t="shared" si="4"/>
        <v>4</v>
      </c>
      <c r="W54" s="134" t="s">
        <v>18</v>
      </c>
      <c r="X54" s="134">
        <v>0.88888888888888884</v>
      </c>
      <c r="Y54" s="134" t="s">
        <v>18</v>
      </c>
      <c r="Z54" s="134">
        <v>0.88888888888888884</v>
      </c>
      <c r="AD54" s="134">
        <f t="shared" si="5"/>
        <v>50</v>
      </c>
      <c r="AE54" s="43">
        <f>IF(IFERROR(DATEDIF(AE$3,$O54,"D")&gt;=0,FALSE),IFERROR(AVERAGE($E54:E54),"N/A"),"")</f>
        <v>2</v>
      </c>
      <c r="AF54" s="43">
        <f>IF(IFERROR(DATEDIF(AF$3,$O54,"D")&gt;=0,FALSE),IFERROR(AVERAGE($E54:F54),"N/A"),"")</f>
        <v>1</v>
      </c>
      <c r="AG54" s="43">
        <f>IF(IFERROR(DATEDIF(AG$3,$O54,"D")&gt;=0,FALSE),IFERROR(AVERAGE($E54:G54),"N/A"),"")</f>
        <v>0.66666666666666663</v>
      </c>
      <c r="AH54" s="43">
        <f>IF(IFERROR(DATEDIF(AH$3,$O54,"D")&gt;=0,FALSE),IFERROR(AVERAGE($E54:H54),"N/A"),"")</f>
        <v>0.5</v>
      </c>
      <c r="AI54" s="43">
        <f>IF(IFERROR(DATEDIF(AI$3,$O54,"D")&gt;=0,FALSE),IFERROR(AVERAGE($E54:I54),"N/A"),"")</f>
        <v>0.4</v>
      </c>
      <c r="AJ54" s="43">
        <f>IF(IFERROR(DATEDIF(AJ$3,$O54,"D")&gt;=0,FALSE),IFERROR(AVERAGE($E54:J54),"N/A"),"")</f>
        <v>0.66666666666666663</v>
      </c>
      <c r="AK54" s="43">
        <f>IF(IFERROR(DATEDIF(AK$3,$O54,"D")&gt;=0,FALSE),IFERROR(AVERAGE($E54:K54),"N/A"),"")</f>
        <v>0.7142857142857143</v>
      </c>
      <c r="AL54" s="43">
        <f>IF(IFERROR(DATEDIF(AL$3,$O54,"D")&gt;=0,FALSE),IFERROR(AVERAGE($E54:L54),"N/A"),"")</f>
        <v>1</v>
      </c>
      <c r="AM54" s="43">
        <f>IF(IFERROR(DATEDIF(AM$3,$O54,"D")&gt;=0,FALSE),IFERROR(AVERAGE($E54:M54),"N/A"),"")</f>
        <v>0.88888888888888884</v>
      </c>
      <c r="AN54" s="128">
        <f>IF(IFERROR(DATEDIF(AN$3,$O54,"D")&gt;=0,FALSE),IFERROR(AVERAGE($E54:N54),"N/A"),"")</f>
        <v>0.88888888888888884</v>
      </c>
    </row>
    <row r="55" spans="4:40" ht="15.75" x14ac:dyDescent="0.25">
      <c r="D55" s="20">
        <v>51</v>
      </c>
      <c r="E55" s="182">
        <v>3</v>
      </c>
      <c r="F55" s="182">
        <v>0</v>
      </c>
      <c r="G55" s="182"/>
      <c r="H55" s="182"/>
      <c r="I55" s="182"/>
      <c r="J55" s="182"/>
      <c r="K55" s="182"/>
      <c r="L55" s="182"/>
      <c r="M55" s="182"/>
      <c r="N55" s="182"/>
      <c r="O55" s="56">
        <v>42844</v>
      </c>
      <c r="P55" s="134" t="b">
        <v>1</v>
      </c>
      <c r="Q55" s="134" t="b">
        <v>1</v>
      </c>
      <c r="R55">
        <f t="shared" si="1"/>
        <v>1.5</v>
      </c>
      <c r="S55">
        <f t="shared" si="2"/>
        <v>3</v>
      </c>
      <c r="T55">
        <f t="shared" si="3"/>
        <v>3</v>
      </c>
      <c r="U55">
        <f t="shared" si="4"/>
        <v>1</v>
      </c>
      <c r="W55" s="134" t="s">
        <v>18</v>
      </c>
      <c r="X55" s="134">
        <v>1.5</v>
      </c>
      <c r="Y55" s="134" t="s">
        <v>18</v>
      </c>
      <c r="Z55" s="134">
        <v>1.5</v>
      </c>
      <c r="AD55" s="134">
        <f t="shared" si="5"/>
        <v>51</v>
      </c>
      <c r="AE55" s="43">
        <f>IF(IFERROR(DATEDIF(AE$3,$O55,"D")&gt;=0,FALSE),IFERROR(AVERAGE($E55:E55),"N/A"),"")</f>
        <v>3</v>
      </c>
      <c r="AF55" s="43">
        <f>IF(IFERROR(DATEDIF(AF$3,$O55,"D")&gt;=0,FALSE),IFERROR(AVERAGE($E55:F55),"N/A"),"")</f>
        <v>1.5</v>
      </c>
      <c r="AG55" s="43" t="str">
        <f>IF(IFERROR(DATEDIF(AG$3,$O55,"D")&gt;=0,FALSE),IFERROR(AVERAGE($E55:G55),"N/A"),"")</f>
        <v/>
      </c>
      <c r="AH55" s="43" t="str">
        <f>IF(IFERROR(DATEDIF(AH$3,$O55,"D")&gt;=0,FALSE),IFERROR(AVERAGE($E55:H55),"N/A"),"")</f>
        <v/>
      </c>
      <c r="AI55" s="43" t="str">
        <f>IF(IFERROR(DATEDIF(AI$3,$O55,"D")&gt;=0,FALSE),IFERROR(AVERAGE($E55:I55),"N/A"),"")</f>
        <v/>
      </c>
      <c r="AJ55" s="43" t="str">
        <f>IF(IFERROR(DATEDIF(AJ$3,$O55,"D")&gt;=0,FALSE),IFERROR(AVERAGE($E55:J55),"N/A"),"")</f>
        <v/>
      </c>
      <c r="AK55" s="43" t="str">
        <f>IF(IFERROR(DATEDIF(AK$3,$O55,"D")&gt;=0,FALSE),IFERROR(AVERAGE($E55:K55),"N/A"),"")</f>
        <v/>
      </c>
      <c r="AL55" s="43" t="str">
        <f>IF(IFERROR(DATEDIF(AL$3,$O55,"D")&gt;=0,FALSE),IFERROR(AVERAGE($E55:L55),"N/A"),"")</f>
        <v/>
      </c>
      <c r="AM55" s="43" t="str">
        <f>IF(IFERROR(DATEDIF(AM$3,$O55,"D")&gt;=0,FALSE),IFERROR(AVERAGE($E55:M55),"N/A"),"")</f>
        <v/>
      </c>
      <c r="AN55" s="128" t="str">
        <f>IF(IFERROR(DATEDIF(AN$3,$O55,"D")&gt;=0,FALSE),IFERROR(AVERAGE($E55:N55),"N/A"),"")</f>
        <v/>
      </c>
    </row>
    <row r="56" spans="4:40" ht="15.75" x14ac:dyDescent="0.25">
      <c r="D56" s="20">
        <v>52</v>
      </c>
      <c r="E56" s="182">
        <v>1</v>
      </c>
      <c r="F56" s="182">
        <v>1</v>
      </c>
      <c r="G56" s="182">
        <v>0</v>
      </c>
      <c r="H56" s="182">
        <v>0</v>
      </c>
      <c r="I56" s="182"/>
      <c r="J56" s="182"/>
      <c r="K56" s="182"/>
      <c r="L56" s="182"/>
      <c r="M56" s="182"/>
      <c r="N56" s="182"/>
      <c r="O56" s="56">
        <v>42851</v>
      </c>
      <c r="P56" s="134" t="b">
        <v>1</v>
      </c>
      <c r="Q56" s="134" t="b">
        <v>1</v>
      </c>
      <c r="R56">
        <f t="shared" si="1"/>
        <v>0.5</v>
      </c>
      <c r="S56">
        <f t="shared" si="2"/>
        <v>1</v>
      </c>
      <c r="T56">
        <f t="shared" si="3"/>
        <v>1</v>
      </c>
      <c r="U56">
        <f t="shared" si="4"/>
        <v>2</v>
      </c>
      <c r="W56" s="134" t="s">
        <v>18</v>
      </c>
      <c r="X56" s="134">
        <v>0.5</v>
      </c>
      <c r="Y56" s="134" t="s">
        <v>18</v>
      </c>
      <c r="Z56" s="134">
        <v>0.5</v>
      </c>
      <c r="AD56" s="134">
        <f t="shared" si="5"/>
        <v>52</v>
      </c>
      <c r="AE56" s="43">
        <f>IF(IFERROR(DATEDIF(AE$3,$O56,"D")&gt;=0,FALSE),IFERROR(AVERAGE($E56:E56),"N/A"),"")</f>
        <v>1</v>
      </c>
      <c r="AF56" s="43">
        <f>IF(IFERROR(DATEDIF(AF$3,$O56,"D")&gt;=0,FALSE),IFERROR(AVERAGE($E56:F56),"N/A"),"")</f>
        <v>1</v>
      </c>
      <c r="AG56" s="43">
        <f>IF(IFERROR(DATEDIF(AG$3,$O56,"D")&gt;=0,FALSE),IFERROR(AVERAGE($E56:G56),"N/A"),"")</f>
        <v>0.66666666666666663</v>
      </c>
      <c r="AH56" s="43">
        <f>IF(IFERROR(DATEDIF(AH$3,$O56,"D")&gt;=0,FALSE),IFERROR(AVERAGE($E56:H56),"N/A"),"")</f>
        <v>0.5</v>
      </c>
      <c r="AI56" s="43" t="str">
        <f>IF(IFERROR(DATEDIF(AI$3,$O56,"D")&gt;=0,FALSE),IFERROR(AVERAGE($E56:I56),"N/A"),"")</f>
        <v/>
      </c>
      <c r="AJ56" s="43" t="str">
        <f>IF(IFERROR(DATEDIF(AJ$3,$O56,"D")&gt;=0,FALSE),IFERROR(AVERAGE($E56:J56),"N/A"),"")</f>
        <v/>
      </c>
      <c r="AK56" s="43" t="str">
        <f>IF(IFERROR(DATEDIF(AK$3,$O56,"D")&gt;=0,FALSE),IFERROR(AVERAGE($E56:K56),"N/A"),"")</f>
        <v/>
      </c>
      <c r="AL56" s="43" t="str">
        <f>IF(IFERROR(DATEDIF(AL$3,$O56,"D")&gt;=0,FALSE),IFERROR(AVERAGE($E56:L56),"N/A"),"")</f>
        <v/>
      </c>
      <c r="AM56" s="43" t="str">
        <f>IF(IFERROR(DATEDIF(AM$3,$O56,"D")&gt;=0,FALSE),IFERROR(AVERAGE($E56:M56),"N/A"),"")</f>
        <v/>
      </c>
      <c r="AN56" s="128" t="str">
        <f>IF(IFERROR(DATEDIF(AN$3,$O56,"D")&gt;=0,FALSE),IFERROR(AVERAGE($E56:N56),"N/A"),"")</f>
        <v/>
      </c>
    </row>
    <row r="57" spans="4:40" ht="15.75" x14ac:dyDescent="0.25">
      <c r="D57" s="21">
        <v>53</v>
      </c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56">
        <v>42838</v>
      </c>
      <c r="P57" s="134" t="b">
        <v>1</v>
      </c>
      <c r="Q57" s="134" t="s">
        <v>48</v>
      </c>
      <c r="R57" t="str">
        <f t="shared" si="1"/>
        <v>N/A</v>
      </c>
      <c r="S57" t="str">
        <f t="shared" si="2"/>
        <v/>
      </c>
      <c r="T57" t="str">
        <f t="shared" si="3"/>
        <v/>
      </c>
      <c r="U57">
        <f t="shared" si="4"/>
        <v>0</v>
      </c>
      <c r="W57" s="134" t="s">
        <v>18</v>
      </c>
      <c r="X57" s="134">
        <v>0</v>
      </c>
      <c r="Y57" s="134">
        <v>0</v>
      </c>
      <c r="Z57" s="134" t="s">
        <v>18</v>
      </c>
      <c r="AD57" s="134">
        <f t="shared" si="5"/>
        <v>53</v>
      </c>
      <c r="AE57" s="43" t="str">
        <f>IF(IFERROR(DATEDIF(AE$3,$O57,"D")&gt;=0,FALSE),IFERROR(AVERAGE($E57:E57),"N/A"),"")</f>
        <v>N/A</v>
      </c>
      <c r="AF57" s="43" t="str">
        <f>IF(IFERROR(DATEDIF(AF$3,$O57,"D")&gt;=0,FALSE),IFERROR(AVERAGE($E57:F57),"N/A"),"")</f>
        <v/>
      </c>
      <c r="AG57" s="43" t="str">
        <f>IF(IFERROR(DATEDIF(AG$3,$O57,"D")&gt;=0,FALSE),IFERROR(AVERAGE($E57:G57),"N/A"),"")</f>
        <v/>
      </c>
      <c r="AH57" s="43" t="str">
        <f>IF(IFERROR(DATEDIF(AH$3,$O57,"D")&gt;=0,FALSE),IFERROR(AVERAGE($E57:H57),"N/A"),"")</f>
        <v/>
      </c>
      <c r="AI57" s="43" t="str">
        <f>IF(IFERROR(DATEDIF(AI$3,$O57,"D")&gt;=0,FALSE),IFERROR(AVERAGE($E57:I57),"N/A"),"")</f>
        <v/>
      </c>
      <c r="AJ57" s="43" t="str">
        <f>IF(IFERROR(DATEDIF(AJ$3,$O57,"D")&gt;=0,FALSE),IFERROR(AVERAGE($E57:J57),"N/A"),"")</f>
        <v/>
      </c>
      <c r="AK57" s="43" t="str">
        <f>IF(IFERROR(DATEDIF(AK$3,$O57,"D")&gt;=0,FALSE),IFERROR(AVERAGE($E57:K57),"N/A"),"")</f>
        <v/>
      </c>
      <c r="AL57" s="43" t="str">
        <f>IF(IFERROR(DATEDIF(AL$3,$O57,"D")&gt;=0,FALSE),IFERROR(AVERAGE($E57:L57),"N/A"),"")</f>
        <v/>
      </c>
      <c r="AM57" s="43" t="str">
        <f>IF(IFERROR(DATEDIF(AM$3,$O57,"D")&gt;=0,FALSE),IFERROR(AVERAGE($E57:M57),"N/A"),"")</f>
        <v/>
      </c>
      <c r="AN57" s="128" t="str">
        <f>IF(IFERROR(DATEDIF(AN$3,$O57,"D")&gt;=0,FALSE),IFERROR(AVERAGE($E57:N57),"N/A"),"")</f>
        <v/>
      </c>
    </row>
    <row r="58" spans="4:40" ht="15.75" x14ac:dyDescent="0.25">
      <c r="D58" s="20">
        <v>54</v>
      </c>
      <c r="E58" s="182">
        <v>2</v>
      </c>
      <c r="F58" s="182">
        <v>3</v>
      </c>
      <c r="G58" s="182">
        <v>2</v>
      </c>
      <c r="H58" s="182">
        <v>3</v>
      </c>
      <c r="I58" s="182">
        <v>1</v>
      </c>
      <c r="J58" s="182"/>
      <c r="K58" s="182"/>
      <c r="L58" s="182"/>
      <c r="M58" s="182"/>
      <c r="N58" s="182"/>
      <c r="O58" s="56">
        <v>42856</v>
      </c>
      <c r="P58" s="134" t="b">
        <v>1</v>
      </c>
      <c r="Q58" s="134" t="b">
        <v>0</v>
      </c>
      <c r="R58">
        <f t="shared" si="1"/>
        <v>2.2000000000000002</v>
      </c>
      <c r="S58">
        <f t="shared" si="2"/>
        <v>2.2000000000000002</v>
      </c>
      <c r="T58">
        <f t="shared" si="3"/>
        <v>3</v>
      </c>
      <c r="U58">
        <f t="shared" si="4"/>
        <v>5</v>
      </c>
      <c r="W58" s="134" t="s">
        <v>18</v>
      </c>
      <c r="X58" s="134">
        <v>2.2000000000000002</v>
      </c>
      <c r="Y58" s="134">
        <v>2.2000000000000002</v>
      </c>
      <c r="Z58" s="134" t="s">
        <v>18</v>
      </c>
      <c r="AD58" s="134">
        <f t="shared" si="5"/>
        <v>54</v>
      </c>
      <c r="AE58" s="43">
        <f>IF(IFERROR(DATEDIF(AE$3,$O58,"D")&gt;=0,FALSE),IFERROR(AVERAGE($E58:E58),"N/A"),"")</f>
        <v>2</v>
      </c>
      <c r="AF58" s="43">
        <f>IF(IFERROR(DATEDIF(AF$3,$O58,"D")&gt;=0,FALSE),IFERROR(AVERAGE($E58:F58),"N/A"),"")</f>
        <v>2.5</v>
      </c>
      <c r="AG58" s="43">
        <f>IF(IFERROR(DATEDIF(AG$3,$O58,"D")&gt;=0,FALSE),IFERROR(AVERAGE($E58:G58),"N/A"),"")</f>
        <v>2.3333333333333335</v>
      </c>
      <c r="AH58" s="43">
        <f>IF(IFERROR(DATEDIF(AH$3,$O58,"D")&gt;=0,FALSE),IFERROR(AVERAGE($E58:H58),"N/A"),"")</f>
        <v>2.5</v>
      </c>
      <c r="AI58" s="43">
        <f>IF(IFERROR(DATEDIF(AI$3,$O58,"D")&gt;=0,FALSE),IFERROR(AVERAGE($E58:I58),"N/A"),"")</f>
        <v>2.2000000000000002</v>
      </c>
      <c r="AJ58" s="43" t="str">
        <f>IF(IFERROR(DATEDIF(AJ$3,$O58,"D")&gt;=0,FALSE),IFERROR(AVERAGE($E58:J58),"N/A"),"")</f>
        <v/>
      </c>
      <c r="AK58" s="43" t="str">
        <f>IF(IFERROR(DATEDIF(AK$3,$O58,"D")&gt;=0,FALSE),IFERROR(AVERAGE($E58:K58),"N/A"),"")</f>
        <v/>
      </c>
      <c r="AL58" s="43" t="str">
        <f>IF(IFERROR(DATEDIF(AL$3,$O58,"D")&gt;=0,FALSE),IFERROR(AVERAGE($E58:L58),"N/A"),"")</f>
        <v/>
      </c>
      <c r="AM58" s="43" t="str">
        <f>IF(IFERROR(DATEDIF(AM$3,$O58,"D")&gt;=0,FALSE),IFERROR(AVERAGE($E58:M58),"N/A"),"")</f>
        <v/>
      </c>
      <c r="AN58" s="128" t="str">
        <f>IF(IFERROR(DATEDIF(AN$3,$O58,"D")&gt;=0,FALSE),IFERROR(AVERAGE($E58:N58),"N/A"),"")</f>
        <v/>
      </c>
    </row>
    <row r="59" spans="4:40" ht="15.75" x14ac:dyDescent="0.25">
      <c r="D59" s="20">
        <v>55</v>
      </c>
      <c r="E59" s="182">
        <v>0</v>
      </c>
      <c r="F59" s="182">
        <v>1</v>
      </c>
      <c r="G59" s="182">
        <v>2</v>
      </c>
      <c r="H59" s="182">
        <v>3</v>
      </c>
      <c r="I59" s="182"/>
      <c r="J59" s="182"/>
      <c r="K59" s="182"/>
      <c r="L59" s="182"/>
      <c r="M59" s="182"/>
      <c r="N59" s="182"/>
      <c r="O59" s="56">
        <v>42852</v>
      </c>
      <c r="P59" s="134" t="b">
        <v>1</v>
      </c>
      <c r="Q59" s="134" t="b">
        <v>1</v>
      </c>
      <c r="R59">
        <f t="shared" si="1"/>
        <v>1.5</v>
      </c>
      <c r="S59">
        <f t="shared" si="2"/>
        <v>2</v>
      </c>
      <c r="T59">
        <f t="shared" si="3"/>
        <v>3</v>
      </c>
      <c r="U59">
        <f t="shared" si="4"/>
        <v>3</v>
      </c>
      <c r="W59" s="134" t="s">
        <v>18</v>
      </c>
      <c r="X59" s="134">
        <v>1.5</v>
      </c>
      <c r="Y59" s="134" t="s">
        <v>18</v>
      </c>
      <c r="Z59" s="134">
        <v>1.5</v>
      </c>
      <c r="AD59" s="134">
        <f t="shared" si="5"/>
        <v>55</v>
      </c>
      <c r="AE59" s="43">
        <f>IF(IFERROR(DATEDIF(AE$3,$O59,"D")&gt;=0,FALSE),IFERROR(AVERAGE($E59:E59),"N/A"),"")</f>
        <v>0</v>
      </c>
      <c r="AF59" s="43">
        <f>IF(IFERROR(DATEDIF(AF$3,$O59,"D")&gt;=0,FALSE),IFERROR(AVERAGE($E59:F59),"N/A"),"")</f>
        <v>0.5</v>
      </c>
      <c r="AG59" s="43">
        <f>IF(IFERROR(DATEDIF(AG$3,$O59,"D")&gt;=0,FALSE),IFERROR(AVERAGE($E59:G59),"N/A"),"")</f>
        <v>1</v>
      </c>
      <c r="AH59" s="43">
        <f>IF(IFERROR(DATEDIF(AH$3,$O59,"D")&gt;=0,FALSE),IFERROR(AVERAGE($E59:H59),"N/A"),"")</f>
        <v>1.5</v>
      </c>
      <c r="AI59" s="43" t="str">
        <f>IF(IFERROR(DATEDIF(AI$3,$O59,"D")&gt;=0,FALSE),IFERROR(AVERAGE($E59:I59),"N/A"),"")</f>
        <v/>
      </c>
      <c r="AJ59" s="43" t="str">
        <f>IF(IFERROR(DATEDIF(AJ$3,$O59,"D")&gt;=0,FALSE),IFERROR(AVERAGE($E59:J59),"N/A"),"")</f>
        <v/>
      </c>
      <c r="AK59" s="43" t="str">
        <f>IF(IFERROR(DATEDIF(AK$3,$O59,"D")&gt;=0,FALSE),IFERROR(AVERAGE($E59:K59),"N/A"),"")</f>
        <v/>
      </c>
      <c r="AL59" s="43" t="str">
        <f>IF(IFERROR(DATEDIF(AL$3,$O59,"D")&gt;=0,FALSE),IFERROR(AVERAGE($E59:L59),"N/A"),"")</f>
        <v/>
      </c>
      <c r="AM59" s="43" t="str">
        <f>IF(IFERROR(DATEDIF(AM$3,$O59,"D")&gt;=0,FALSE),IFERROR(AVERAGE($E59:M59),"N/A"),"")</f>
        <v/>
      </c>
      <c r="AN59" s="128" t="str">
        <f>IF(IFERROR(DATEDIF(AN$3,$O59,"D")&gt;=0,FALSE),IFERROR(AVERAGE($E59:N59),"N/A"),"")</f>
        <v/>
      </c>
    </row>
    <row r="60" spans="4:40" ht="15.75" x14ac:dyDescent="0.25">
      <c r="D60" s="21">
        <v>56</v>
      </c>
      <c r="E60" s="182">
        <v>3</v>
      </c>
      <c r="F60" s="182">
        <v>2</v>
      </c>
      <c r="G60" s="182">
        <v>0</v>
      </c>
      <c r="H60" s="182">
        <v>2</v>
      </c>
      <c r="I60" s="182">
        <v>1</v>
      </c>
      <c r="J60" s="182">
        <v>3</v>
      </c>
      <c r="K60" s="182"/>
      <c r="L60" s="182"/>
      <c r="M60" s="182"/>
      <c r="N60" s="182"/>
      <c r="O60" s="56">
        <v>42859</v>
      </c>
      <c r="P60" s="134" t="b">
        <v>1</v>
      </c>
      <c r="Q60" s="134" t="b">
        <v>1</v>
      </c>
      <c r="R60">
        <f t="shared" si="1"/>
        <v>1.8333333333333333</v>
      </c>
      <c r="S60">
        <f t="shared" si="2"/>
        <v>2.2000000000000002</v>
      </c>
      <c r="T60">
        <f t="shared" si="3"/>
        <v>3</v>
      </c>
      <c r="U60">
        <f t="shared" si="4"/>
        <v>5</v>
      </c>
      <c r="W60" s="134" t="s">
        <v>18</v>
      </c>
      <c r="X60" s="134">
        <v>1.8333333333333333</v>
      </c>
      <c r="Y60" s="134" t="s">
        <v>18</v>
      </c>
      <c r="Z60" s="134">
        <v>1.8333333333333333</v>
      </c>
      <c r="AD60" s="134">
        <f t="shared" si="5"/>
        <v>56</v>
      </c>
      <c r="AE60" s="43">
        <f>IF(IFERROR(DATEDIF(AE$3,$O60,"D")&gt;=0,FALSE),IFERROR(AVERAGE($E60:E60),"N/A"),"")</f>
        <v>3</v>
      </c>
      <c r="AF60" s="43">
        <f>IF(IFERROR(DATEDIF(AF$3,$O60,"D")&gt;=0,FALSE),IFERROR(AVERAGE($E60:F60),"N/A"),"")</f>
        <v>2.5</v>
      </c>
      <c r="AG60" s="43">
        <f>IF(IFERROR(DATEDIF(AG$3,$O60,"D")&gt;=0,FALSE),IFERROR(AVERAGE($E60:G60),"N/A"),"")</f>
        <v>1.6666666666666667</v>
      </c>
      <c r="AH60" s="43">
        <f>IF(IFERROR(DATEDIF(AH$3,$O60,"D")&gt;=0,FALSE),IFERROR(AVERAGE($E60:H60),"N/A"),"")</f>
        <v>1.75</v>
      </c>
      <c r="AI60" s="43">
        <f>IF(IFERROR(DATEDIF(AI$3,$O60,"D")&gt;=0,FALSE),IFERROR(AVERAGE($E60:I60),"N/A"),"")</f>
        <v>1.6</v>
      </c>
      <c r="AJ60" s="43">
        <f>IF(IFERROR(DATEDIF(AJ$3,$O60,"D")&gt;=0,FALSE),IFERROR(AVERAGE($E60:J60),"N/A"),"")</f>
        <v>1.8333333333333333</v>
      </c>
      <c r="AK60" s="43" t="str">
        <f>IF(IFERROR(DATEDIF(AK$3,$O60,"D")&gt;=0,FALSE),IFERROR(AVERAGE($E60:K60),"N/A"),"")</f>
        <v/>
      </c>
      <c r="AL60" s="43" t="str">
        <f>IF(IFERROR(DATEDIF(AL$3,$O60,"D")&gt;=0,FALSE),IFERROR(AVERAGE($E60:L60),"N/A"),"")</f>
        <v/>
      </c>
      <c r="AM60" s="43" t="str">
        <f>IF(IFERROR(DATEDIF(AM$3,$O60,"D")&gt;=0,FALSE),IFERROR(AVERAGE($E60:M60),"N/A"),"")</f>
        <v/>
      </c>
      <c r="AN60" s="128" t="str">
        <f>IF(IFERROR(DATEDIF(AN$3,$O60,"D")&gt;=0,FALSE),IFERROR(AVERAGE($E60:N60),"N/A"),"")</f>
        <v/>
      </c>
    </row>
    <row r="61" spans="4:40" ht="15.75" x14ac:dyDescent="0.25">
      <c r="D61" s="20">
        <v>57</v>
      </c>
      <c r="E61" s="182">
        <v>2</v>
      </c>
      <c r="F61" s="182">
        <v>1</v>
      </c>
      <c r="G61" s="182">
        <v>0</v>
      </c>
      <c r="H61" s="182">
        <v>2</v>
      </c>
      <c r="I61" s="182">
        <v>1</v>
      </c>
      <c r="J61" s="182">
        <v>0</v>
      </c>
      <c r="K61" s="182">
        <v>0</v>
      </c>
      <c r="L61" s="182">
        <v>0</v>
      </c>
      <c r="M61" s="182">
        <v>1</v>
      </c>
      <c r="N61" s="182">
        <v>2</v>
      </c>
      <c r="O61" s="56">
        <v>42873</v>
      </c>
      <c r="P61" s="134" t="b">
        <v>0</v>
      </c>
      <c r="Q61" s="134" t="s">
        <v>48</v>
      </c>
      <c r="R61">
        <f t="shared" si="1"/>
        <v>0.9</v>
      </c>
      <c r="S61">
        <f t="shared" si="2"/>
        <v>1.5</v>
      </c>
      <c r="T61">
        <f t="shared" si="3"/>
        <v>2</v>
      </c>
      <c r="U61">
        <f t="shared" si="4"/>
        <v>6</v>
      </c>
      <c r="W61" s="134">
        <v>0.9</v>
      </c>
      <c r="X61" s="134" t="s">
        <v>18</v>
      </c>
      <c r="Y61" s="134">
        <v>0.9</v>
      </c>
      <c r="Z61" s="134" t="s">
        <v>18</v>
      </c>
      <c r="AD61" s="134">
        <f t="shared" si="5"/>
        <v>57</v>
      </c>
      <c r="AE61" s="43">
        <f>IF(IFERROR(DATEDIF(AE$3,$O61,"D")&gt;=0,FALSE),IFERROR(AVERAGE($E61:E61),"N/A"),"")</f>
        <v>2</v>
      </c>
      <c r="AF61" s="43">
        <f>IF(IFERROR(DATEDIF(AF$3,$O61,"D")&gt;=0,FALSE),IFERROR(AVERAGE($E61:F61),"N/A"),"")</f>
        <v>1.5</v>
      </c>
      <c r="AG61" s="43">
        <f>IF(IFERROR(DATEDIF(AG$3,$O61,"D")&gt;=0,FALSE),IFERROR(AVERAGE($E61:G61),"N/A"),"")</f>
        <v>1</v>
      </c>
      <c r="AH61" s="43">
        <f>IF(IFERROR(DATEDIF(AH$3,$O61,"D")&gt;=0,FALSE),IFERROR(AVERAGE($E61:H61),"N/A"),"")</f>
        <v>1.25</v>
      </c>
      <c r="AI61" s="43">
        <f>IF(IFERROR(DATEDIF(AI$3,$O61,"D")&gt;=0,FALSE),IFERROR(AVERAGE($E61:I61),"N/A"),"")</f>
        <v>1.2</v>
      </c>
      <c r="AJ61" s="43">
        <f>IF(IFERROR(DATEDIF(AJ$3,$O61,"D")&gt;=0,FALSE),IFERROR(AVERAGE($E61:J61),"N/A"),"")</f>
        <v>1</v>
      </c>
      <c r="AK61" s="43">
        <f>IF(IFERROR(DATEDIF(AK$3,$O61,"D")&gt;=0,FALSE),IFERROR(AVERAGE($E61:K61),"N/A"),"")</f>
        <v>0.8571428571428571</v>
      </c>
      <c r="AL61" s="43">
        <f>IF(IFERROR(DATEDIF(AL$3,$O61,"D")&gt;=0,FALSE),IFERROR(AVERAGE($E61:L61),"N/A"),"")</f>
        <v>0.75</v>
      </c>
      <c r="AM61" s="43">
        <f>IF(IFERROR(DATEDIF(AM$3,$O61,"D")&gt;=0,FALSE),IFERROR(AVERAGE($E61:M61),"N/A"),"")</f>
        <v>0.77777777777777779</v>
      </c>
      <c r="AN61" s="128">
        <f>IF(IFERROR(DATEDIF(AN$3,$O61,"D")&gt;=0,FALSE),IFERROR(AVERAGE($E61:N61),"N/A"),"")</f>
        <v>0.9</v>
      </c>
    </row>
    <row r="62" spans="4:40" ht="15.75" x14ac:dyDescent="0.25">
      <c r="D62" s="20">
        <v>58</v>
      </c>
      <c r="E62" s="182">
        <v>2</v>
      </c>
      <c r="F62" s="182">
        <v>2</v>
      </c>
      <c r="G62" s="182">
        <v>0</v>
      </c>
      <c r="H62" s="182">
        <v>2</v>
      </c>
      <c r="I62" s="182"/>
      <c r="J62" s="182"/>
      <c r="K62" s="182"/>
      <c r="L62" s="182"/>
      <c r="M62" s="182"/>
      <c r="N62" s="182"/>
      <c r="O62" s="56">
        <v>42853</v>
      </c>
      <c r="P62" s="134" t="b">
        <v>0</v>
      </c>
      <c r="Q62" s="134" t="s">
        <v>48</v>
      </c>
      <c r="R62">
        <f t="shared" si="1"/>
        <v>1.5</v>
      </c>
      <c r="S62">
        <f t="shared" si="2"/>
        <v>2</v>
      </c>
      <c r="T62">
        <f t="shared" si="3"/>
        <v>2</v>
      </c>
      <c r="U62">
        <f t="shared" si="4"/>
        <v>3</v>
      </c>
      <c r="W62" s="134">
        <v>1.5</v>
      </c>
      <c r="X62" s="134" t="s">
        <v>18</v>
      </c>
      <c r="Y62" s="134">
        <v>1.5</v>
      </c>
      <c r="Z62" s="134" t="s">
        <v>18</v>
      </c>
      <c r="AD62" s="134">
        <f t="shared" si="5"/>
        <v>58</v>
      </c>
      <c r="AE62" s="43">
        <f>IF(IFERROR(DATEDIF(AE$3,$O62,"D")&gt;=0,FALSE),IFERROR(AVERAGE($E62:E62),"N/A"),"")</f>
        <v>2</v>
      </c>
      <c r="AF62" s="43">
        <f>IF(IFERROR(DATEDIF(AF$3,$O62,"D")&gt;=0,FALSE),IFERROR(AVERAGE($E62:F62),"N/A"),"")</f>
        <v>2</v>
      </c>
      <c r="AG62" s="43">
        <f>IF(IFERROR(DATEDIF(AG$3,$O62,"D")&gt;=0,FALSE),IFERROR(AVERAGE($E62:G62),"N/A"),"")</f>
        <v>1.3333333333333333</v>
      </c>
      <c r="AH62" s="43">
        <f>IF(IFERROR(DATEDIF(AH$3,$O62,"D")&gt;=0,FALSE),IFERROR(AVERAGE($E62:H62),"N/A"),"")</f>
        <v>1.5</v>
      </c>
      <c r="AI62" s="43">
        <f>IF(IFERROR(DATEDIF(AI$3,$O62,"D")&gt;=0,FALSE),IFERROR(AVERAGE($E62:I62),"N/A"),"")</f>
        <v>1.5</v>
      </c>
      <c r="AJ62" s="43" t="str">
        <f>IF(IFERROR(DATEDIF(AJ$3,$O62,"D")&gt;=0,FALSE),IFERROR(AVERAGE($E62:J62),"N/A"),"")</f>
        <v/>
      </c>
      <c r="AK62" s="43" t="str">
        <f>IF(IFERROR(DATEDIF(AK$3,$O62,"D")&gt;=0,FALSE),IFERROR(AVERAGE($E62:K62),"N/A"),"")</f>
        <v/>
      </c>
      <c r="AL62" s="43" t="str">
        <f>IF(IFERROR(DATEDIF(AL$3,$O62,"D")&gt;=0,FALSE),IFERROR(AVERAGE($E62:L62),"N/A"),"")</f>
        <v/>
      </c>
      <c r="AM62" s="43" t="str">
        <f>IF(IFERROR(DATEDIF(AM$3,$O62,"D")&gt;=0,FALSE),IFERROR(AVERAGE($E62:M62),"N/A"),"")</f>
        <v/>
      </c>
      <c r="AN62" s="128" t="str">
        <f>IF(IFERROR(DATEDIF(AN$3,$O62,"D")&gt;=0,FALSE),IFERROR(AVERAGE($E62:N62),"N/A"),"")</f>
        <v/>
      </c>
    </row>
    <row r="63" spans="4:40" ht="15.75" x14ac:dyDescent="0.25">
      <c r="D63" s="21">
        <v>59</v>
      </c>
      <c r="E63" s="182">
        <v>1</v>
      </c>
      <c r="F63" s="182">
        <v>2</v>
      </c>
      <c r="G63" s="182">
        <v>2</v>
      </c>
      <c r="H63" s="182">
        <v>2</v>
      </c>
      <c r="I63" s="182"/>
      <c r="J63" s="182"/>
      <c r="K63" s="182"/>
      <c r="L63" s="182"/>
      <c r="M63" s="182"/>
      <c r="N63" s="182"/>
      <c r="O63" s="56">
        <v>42853</v>
      </c>
      <c r="P63" s="134" t="b">
        <v>1</v>
      </c>
      <c r="Q63" s="134" t="b">
        <v>1</v>
      </c>
      <c r="R63">
        <f t="shared" si="1"/>
        <v>1.75</v>
      </c>
      <c r="S63">
        <f t="shared" si="2"/>
        <v>1.75</v>
      </c>
      <c r="T63">
        <f t="shared" si="3"/>
        <v>2</v>
      </c>
      <c r="U63">
        <f t="shared" si="4"/>
        <v>4</v>
      </c>
      <c r="W63" s="134" t="s">
        <v>18</v>
      </c>
      <c r="X63" s="134">
        <v>1.75</v>
      </c>
      <c r="Y63" s="134" t="s">
        <v>18</v>
      </c>
      <c r="Z63" s="134">
        <v>1.75</v>
      </c>
      <c r="AD63" s="134">
        <f t="shared" si="5"/>
        <v>59</v>
      </c>
      <c r="AE63" s="43">
        <f>IF(IFERROR(DATEDIF(AE$3,$O63,"D")&gt;=0,FALSE),IFERROR(AVERAGE($E63:E63),"N/A"),"")</f>
        <v>1</v>
      </c>
      <c r="AF63" s="43">
        <f>IF(IFERROR(DATEDIF(AF$3,$O63,"D")&gt;=0,FALSE),IFERROR(AVERAGE($E63:F63),"N/A"),"")</f>
        <v>1.5</v>
      </c>
      <c r="AG63" s="43">
        <f>IF(IFERROR(DATEDIF(AG$3,$O63,"D")&gt;=0,FALSE),IFERROR(AVERAGE($E63:G63),"N/A"),"")</f>
        <v>1.6666666666666667</v>
      </c>
      <c r="AH63" s="43">
        <f>IF(IFERROR(DATEDIF(AH$3,$O63,"D")&gt;=0,FALSE),IFERROR(AVERAGE($E63:H63),"N/A"),"")</f>
        <v>1.75</v>
      </c>
      <c r="AI63" s="43">
        <f>IF(IFERROR(DATEDIF(AI$3,$O63,"D")&gt;=0,FALSE),IFERROR(AVERAGE($E63:I63),"N/A"),"")</f>
        <v>1.75</v>
      </c>
      <c r="AJ63" s="43" t="str">
        <f>IF(IFERROR(DATEDIF(AJ$3,$O63,"D")&gt;=0,FALSE),IFERROR(AVERAGE($E63:J63),"N/A"),"")</f>
        <v/>
      </c>
      <c r="AK63" s="43" t="str">
        <f>IF(IFERROR(DATEDIF(AK$3,$O63,"D")&gt;=0,FALSE),IFERROR(AVERAGE($E63:K63),"N/A"),"")</f>
        <v/>
      </c>
      <c r="AL63" s="43" t="str">
        <f>IF(IFERROR(DATEDIF(AL$3,$O63,"D")&gt;=0,FALSE),IFERROR(AVERAGE($E63:L63),"N/A"),"")</f>
        <v/>
      </c>
      <c r="AM63" s="43" t="str">
        <f>IF(IFERROR(DATEDIF(AM$3,$O63,"D")&gt;=0,FALSE),IFERROR(AVERAGE($E63:M63),"N/A"),"")</f>
        <v/>
      </c>
      <c r="AN63" s="128" t="str">
        <f>IF(IFERROR(DATEDIF(AN$3,$O63,"D")&gt;=0,FALSE),IFERROR(AVERAGE($E63:N63),"N/A"),"")</f>
        <v/>
      </c>
    </row>
    <row r="64" spans="4:40" ht="15.75" x14ac:dyDescent="0.25">
      <c r="D64" s="20">
        <v>60</v>
      </c>
      <c r="E64" s="182">
        <v>0</v>
      </c>
      <c r="F64" s="182">
        <v>0</v>
      </c>
      <c r="G64" s="182">
        <v>1</v>
      </c>
      <c r="H64" s="182">
        <v>0</v>
      </c>
      <c r="I64" s="182"/>
      <c r="J64" s="182"/>
      <c r="K64" s="182"/>
      <c r="L64" s="182"/>
      <c r="M64" s="182"/>
      <c r="N64" s="182"/>
      <c r="O64" s="56">
        <v>42852</v>
      </c>
      <c r="P64" s="134" t="b">
        <v>0</v>
      </c>
      <c r="Q64" s="134" t="s">
        <v>48</v>
      </c>
      <c r="R64">
        <f t="shared" si="1"/>
        <v>0.25</v>
      </c>
      <c r="S64">
        <f t="shared" si="2"/>
        <v>1</v>
      </c>
      <c r="T64">
        <f t="shared" si="3"/>
        <v>1</v>
      </c>
      <c r="U64">
        <f t="shared" si="4"/>
        <v>1</v>
      </c>
      <c r="W64" s="134">
        <v>0.25</v>
      </c>
      <c r="X64" s="134" t="s">
        <v>18</v>
      </c>
      <c r="Y64" s="134">
        <v>0.25</v>
      </c>
      <c r="Z64" s="134" t="s">
        <v>18</v>
      </c>
      <c r="AD64" s="134">
        <f t="shared" si="5"/>
        <v>60</v>
      </c>
      <c r="AE64" s="43">
        <f>IF(IFERROR(DATEDIF(AE$3,$O64,"D")&gt;=0,FALSE),IFERROR(AVERAGE($E64:E64),"N/A"),"")</f>
        <v>0</v>
      </c>
      <c r="AF64" s="43">
        <f>IF(IFERROR(DATEDIF(AF$3,$O64,"D")&gt;=0,FALSE),IFERROR(AVERAGE($E64:F64),"N/A"),"")</f>
        <v>0</v>
      </c>
      <c r="AG64" s="43">
        <f>IF(IFERROR(DATEDIF(AG$3,$O64,"D")&gt;=0,FALSE),IFERROR(AVERAGE($E64:G64),"N/A"),"")</f>
        <v>0.33333333333333331</v>
      </c>
      <c r="AH64" s="43">
        <f>IF(IFERROR(DATEDIF(AH$3,$O64,"D")&gt;=0,FALSE),IFERROR(AVERAGE($E64:H64),"N/A"),"")</f>
        <v>0.25</v>
      </c>
      <c r="AI64" s="43" t="str">
        <f>IF(IFERROR(DATEDIF(AI$3,$O64,"D")&gt;=0,FALSE),IFERROR(AVERAGE($E64:I64),"N/A"),"")</f>
        <v/>
      </c>
      <c r="AJ64" s="43" t="str">
        <f>IF(IFERROR(DATEDIF(AJ$3,$O64,"D")&gt;=0,FALSE),IFERROR(AVERAGE($E64:J64),"N/A"),"")</f>
        <v/>
      </c>
      <c r="AK64" s="43" t="str">
        <f>IF(IFERROR(DATEDIF(AK$3,$O64,"D")&gt;=0,FALSE),IFERROR(AVERAGE($E64:K64),"N/A"),"")</f>
        <v/>
      </c>
      <c r="AL64" s="43" t="str">
        <f>IF(IFERROR(DATEDIF(AL$3,$O64,"D")&gt;=0,FALSE),IFERROR(AVERAGE($E64:L64),"N/A"),"")</f>
        <v/>
      </c>
      <c r="AM64" s="43" t="str">
        <f>IF(IFERROR(DATEDIF(AM$3,$O64,"D")&gt;=0,FALSE),IFERROR(AVERAGE($E64:M64),"N/A"),"")</f>
        <v/>
      </c>
      <c r="AN64" s="128" t="str">
        <f>IF(IFERROR(DATEDIF(AN$3,$O64,"D")&gt;=0,FALSE),IFERROR(AVERAGE($E64:N64),"N/A"),"")</f>
        <v/>
      </c>
    </row>
    <row r="65" spans="4:40" ht="15.75" x14ac:dyDescent="0.25">
      <c r="D65" s="20">
        <v>81</v>
      </c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56">
        <v>42838</v>
      </c>
      <c r="P65" s="134" t="b">
        <v>1</v>
      </c>
      <c r="Q65" s="134" t="s">
        <v>48</v>
      </c>
      <c r="R65" t="str">
        <f t="shared" si="1"/>
        <v>N/A</v>
      </c>
      <c r="S65" t="str">
        <f t="shared" si="2"/>
        <v/>
      </c>
      <c r="T65" t="str">
        <f t="shared" si="3"/>
        <v/>
      </c>
      <c r="U65">
        <f t="shared" si="4"/>
        <v>0</v>
      </c>
      <c r="W65" s="134" t="s">
        <v>18</v>
      </c>
      <c r="X65" s="134">
        <v>0</v>
      </c>
      <c r="Y65" s="134">
        <v>0</v>
      </c>
      <c r="Z65" s="134" t="s">
        <v>18</v>
      </c>
      <c r="AD65" s="134">
        <f t="shared" si="5"/>
        <v>81</v>
      </c>
      <c r="AE65" s="43" t="str">
        <f>IF(IFERROR(DATEDIF(AE$3,$O65,"D")&gt;=0,FALSE),IFERROR(AVERAGE($E65:E65),"N/A"),"")</f>
        <v>N/A</v>
      </c>
      <c r="AF65" s="43" t="str">
        <f>IF(IFERROR(DATEDIF(AF$3,$O65,"D")&gt;=0,FALSE),IFERROR(AVERAGE($E65:F65),"N/A"),"")</f>
        <v/>
      </c>
      <c r="AG65" s="43" t="str">
        <f>IF(IFERROR(DATEDIF(AG$3,$O65,"D")&gt;=0,FALSE),IFERROR(AVERAGE($E65:G65),"N/A"),"")</f>
        <v/>
      </c>
      <c r="AH65" s="43" t="str">
        <f>IF(IFERROR(DATEDIF(AH$3,$O65,"D")&gt;=0,FALSE),IFERROR(AVERAGE($E65:H65),"N/A"),"")</f>
        <v/>
      </c>
      <c r="AI65" s="43" t="str">
        <f>IF(IFERROR(DATEDIF(AI$3,$O65,"D")&gt;=0,FALSE),IFERROR(AVERAGE($E65:I65),"N/A"),"")</f>
        <v/>
      </c>
      <c r="AJ65" s="43" t="str">
        <f>IF(IFERROR(DATEDIF(AJ$3,$O65,"D")&gt;=0,FALSE),IFERROR(AVERAGE($E65:J65),"N/A"),"")</f>
        <v/>
      </c>
      <c r="AK65" s="43" t="str">
        <f>IF(IFERROR(DATEDIF(AK$3,$O65,"D")&gt;=0,FALSE),IFERROR(AVERAGE($E65:K65),"N/A"),"")</f>
        <v/>
      </c>
      <c r="AL65" s="43" t="str">
        <f>IF(IFERROR(DATEDIF(AL$3,$O65,"D")&gt;=0,FALSE),IFERROR(AVERAGE($E65:L65),"N/A"),"")</f>
        <v/>
      </c>
      <c r="AM65" s="43" t="str">
        <f>IF(IFERROR(DATEDIF(AM$3,$O65,"D")&gt;=0,FALSE),IFERROR(AVERAGE($E65:M65),"N/A"),"")</f>
        <v/>
      </c>
      <c r="AN65" s="128" t="str">
        <f>IF(IFERROR(DATEDIF(AN$3,$O65,"D")&gt;=0,FALSE),IFERROR(AVERAGE($E65:N65),"N/A"),"")</f>
        <v/>
      </c>
    </row>
    <row r="66" spans="4:40" ht="15.75" x14ac:dyDescent="0.25">
      <c r="D66" s="20">
        <v>82</v>
      </c>
      <c r="E66" s="182">
        <v>0</v>
      </c>
      <c r="F66" s="182">
        <v>1</v>
      </c>
      <c r="G66" s="182">
        <v>0</v>
      </c>
      <c r="H66" s="182">
        <v>0</v>
      </c>
      <c r="I66" s="182">
        <v>0</v>
      </c>
      <c r="J66" s="182">
        <v>1</v>
      </c>
      <c r="K66" s="182">
        <v>0</v>
      </c>
      <c r="L66" s="182"/>
      <c r="M66" s="182"/>
      <c r="N66" s="182"/>
      <c r="O66" s="56">
        <v>42863</v>
      </c>
      <c r="P66" s="134" t="b">
        <v>1</v>
      </c>
      <c r="Q66" s="134" t="b">
        <v>1</v>
      </c>
      <c r="R66">
        <f t="shared" si="1"/>
        <v>0.2857142857142857</v>
      </c>
      <c r="S66">
        <f t="shared" si="2"/>
        <v>1</v>
      </c>
      <c r="T66">
        <f t="shared" si="3"/>
        <v>1</v>
      </c>
      <c r="U66">
        <f t="shared" si="4"/>
        <v>2</v>
      </c>
      <c r="W66" s="134" t="s">
        <v>18</v>
      </c>
      <c r="X66" s="134">
        <v>0.2857142857142857</v>
      </c>
      <c r="Y66" s="134" t="s">
        <v>18</v>
      </c>
      <c r="Z66" s="134">
        <v>0.2857142857142857</v>
      </c>
      <c r="AD66" s="134">
        <f t="shared" si="5"/>
        <v>82</v>
      </c>
      <c r="AE66" s="43">
        <f>IF(IFERROR(DATEDIF(AE$3,$O66,"D")&gt;=0,FALSE),IFERROR(AVERAGE($E66:E66),"N/A"),"")</f>
        <v>0</v>
      </c>
      <c r="AF66" s="43">
        <f>IF(IFERROR(DATEDIF(AF$3,$O66,"D")&gt;=0,FALSE),IFERROR(AVERAGE($E66:F66),"N/A"),"")</f>
        <v>0.5</v>
      </c>
      <c r="AG66" s="43">
        <f>IF(IFERROR(DATEDIF(AG$3,$O66,"D")&gt;=0,FALSE),IFERROR(AVERAGE($E66:G66),"N/A"),"")</f>
        <v>0.33333333333333331</v>
      </c>
      <c r="AH66" s="43">
        <f>IF(IFERROR(DATEDIF(AH$3,$O66,"D")&gt;=0,FALSE),IFERROR(AVERAGE($E66:H66),"N/A"),"")</f>
        <v>0.25</v>
      </c>
      <c r="AI66" s="43">
        <f>IF(IFERROR(DATEDIF(AI$3,$O66,"D")&gt;=0,FALSE),IFERROR(AVERAGE($E66:I66),"N/A"),"")</f>
        <v>0.2</v>
      </c>
      <c r="AJ66" s="43">
        <f>IF(IFERROR(DATEDIF(AJ$3,$O66,"D")&gt;=0,FALSE),IFERROR(AVERAGE($E66:J66),"N/A"),"")</f>
        <v>0.33333333333333331</v>
      </c>
      <c r="AK66" s="43">
        <f>IF(IFERROR(DATEDIF(AK$3,$O66,"D")&gt;=0,FALSE),IFERROR(AVERAGE($E66:K66),"N/A"),"")</f>
        <v>0.2857142857142857</v>
      </c>
      <c r="AL66" s="43" t="str">
        <f>IF(IFERROR(DATEDIF(AL$3,$O66,"D")&gt;=0,FALSE),IFERROR(AVERAGE($E66:L66),"N/A"),"")</f>
        <v/>
      </c>
      <c r="AM66" s="43" t="str">
        <f>IF(IFERROR(DATEDIF(AM$3,$O66,"D")&gt;=0,FALSE),IFERROR(AVERAGE($E66:M66),"N/A"),"")</f>
        <v/>
      </c>
      <c r="AN66" s="128" t="str">
        <f>IF(IFERROR(DATEDIF(AN$3,$O66,"D")&gt;=0,FALSE),IFERROR(AVERAGE($E66:N66),"N/A"),"")</f>
        <v/>
      </c>
    </row>
    <row r="67" spans="4:40" ht="15.75" x14ac:dyDescent="0.25">
      <c r="D67" s="21">
        <v>83</v>
      </c>
      <c r="E67" s="182">
        <v>1</v>
      </c>
      <c r="F67" s="182">
        <v>1</v>
      </c>
      <c r="G67" s="182">
        <v>1</v>
      </c>
      <c r="H67" s="182"/>
      <c r="I67" s="182"/>
      <c r="J67" s="182"/>
      <c r="K67" s="182"/>
      <c r="L67" s="182"/>
      <c r="M67" s="182"/>
      <c r="N67" s="182"/>
      <c r="O67" s="56">
        <v>42849</v>
      </c>
      <c r="P67" s="134" t="b">
        <v>1</v>
      </c>
      <c r="Q67" s="134" t="b">
        <v>1</v>
      </c>
      <c r="R67">
        <f t="shared" si="1"/>
        <v>1</v>
      </c>
      <c r="S67">
        <f t="shared" si="2"/>
        <v>1</v>
      </c>
      <c r="T67">
        <f t="shared" si="3"/>
        <v>1</v>
      </c>
      <c r="U67">
        <f t="shared" si="4"/>
        <v>3</v>
      </c>
      <c r="W67" s="134" t="s">
        <v>18</v>
      </c>
      <c r="X67" s="134">
        <v>1</v>
      </c>
      <c r="Y67" s="134" t="s">
        <v>18</v>
      </c>
      <c r="Z67" s="134">
        <v>1</v>
      </c>
      <c r="AD67" s="134">
        <f t="shared" si="5"/>
        <v>83</v>
      </c>
      <c r="AE67" s="43">
        <f>IF(IFERROR(DATEDIF(AE$3,$O67,"D")&gt;=0,FALSE),IFERROR(AVERAGE($E67:E67),"N/A"),"")</f>
        <v>1</v>
      </c>
      <c r="AF67" s="43">
        <f>IF(IFERROR(DATEDIF(AF$3,$O67,"D")&gt;=0,FALSE),IFERROR(AVERAGE($E67:F67),"N/A"),"")</f>
        <v>1</v>
      </c>
      <c r="AG67" s="43">
        <f>IF(IFERROR(DATEDIF(AG$3,$O67,"D")&gt;=0,FALSE),IFERROR(AVERAGE($E67:G67),"N/A"),"")</f>
        <v>1</v>
      </c>
      <c r="AH67" s="43" t="str">
        <f>IF(IFERROR(DATEDIF(AH$3,$O67,"D")&gt;=0,FALSE),IFERROR(AVERAGE($E67:H67),"N/A"),"")</f>
        <v/>
      </c>
      <c r="AI67" s="43" t="str">
        <f>IF(IFERROR(DATEDIF(AI$3,$O67,"D")&gt;=0,FALSE),IFERROR(AVERAGE($E67:I67),"N/A"),"")</f>
        <v/>
      </c>
      <c r="AJ67" s="43" t="str">
        <f>IF(IFERROR(DATEDIF(AJ$3,$O67,"D")&gt;=0,FALSE),IFERROR(AVERAGE($E67:J67),"N/A"),"")</f>
        <v/>
      </c>
      <c r="AK67" s="43" t="str">
        <f>IF(IFERROR(DATEDIF(AK$3,$O67,"D")&gt;=0,FALSE),IFERROR(AVERAGE($E67:K67),"N/A"),"")</f>
        <v/>
      </c>
      <c r="AL67" s="43" t="str">
        <f>IF(IFERROR(DATEDIF(AL$3,$O67,"D")&gt;=0,FALSE),IFERROR(AVERAGE($E67:L67),"N/A"),"")</f>
        <v/>
      </c>
      <c r="AM67" s="43" t="str">
        <f>IF(IFERROR(DATEDIF(AM$3,$O67,"D")&gt;=0,FALSE),IFERROR(AVERAGE($E67:M67),"N/A"),"")</f>
        <v/>
      </c>
      <c r="AN67" s="128" t="str">
        <f>IF(IFERROR(DATEDIF(AN$3,$O67,"D")&gt;=0,FALSE),IFERROR(AVERAGE($E67:N67),"N/A"),"")</f>
        <v/>
      </c>
    </row>
    <row r="68" spans="4:40" ht="15.75" x14ac:dyDescent="0.25">
      <c r="D68" s="20">
        <v>84</v>
      </c>
      <c r="E68" s="182">
        <v>0</v>
      </c>
      <c r="F68" s="182">
        <v>2</v>
      </c>
      <c r="G68" s="182">
        <v>2</v>
      </c>
      <c r="H68" s="182">
        <v>3</v>
      </c>
      <c r="I68" s="182">
        <v>2</v>
      </c>
      <c r="J68" s="182"/>
      <c r="K68" s="182"/>
      <c r="L68" s="182"/>
      <c r="M68" s="182"/>
      <c r="N68" s="182"/>
      <c r="O68" s="56">
        <v>42856</v>
      </c>
      <c r="P68" s="134" t="b">
        <v>1</v>
      </c>
      <c r="Q68" s="134" t="b">
        <v>1</v>
      </c>
      <c r="R68">
        <f t="shared" si="1"/>
        <v>1.8</v>
      </c>
      <c r="S68">
        <f t="shared" si="2"/>
        <v>2.25</v>
      </c>
      <c r="T68">
        <f t="shared" si="3"/>
        <v>3</v>
      </c>
      <c r="U68">
        <f t="shared" si="4"/>
        <v>4</v>
      </c>
      <c r="W68" s="134" t="s">
        <v>18</v>
      </c>
      <c r="X68" s="134">
        <v>1.8</v>
      </c>
      <c r="Y68" s="134" t="s">
        <v>18</v>
      </c>
      <c r="Z68" s="134">
        <v>1.8</v>
      </c>
      <c r="AD68" s="134">
        <f t="shared" si="5"/>
        <v>84</v>
      </c>
      <c r="AE68" s="43">
        <f>IF(IFERROR(DATEDIF(AE$3,$O68,"D")&gt;=0,FALSE),IFERROR(AVERAGE($E68:E68),"N/A"),"")</f>
        <v>0</v>
      </c>
      <c r="AF68" s="43">
        <f>IF(IFERROR(DATEDIF(AF$3,$O68,"D")&gt;=0,FALSE),IFERROR(AVERAGE($E68:F68),"N/A"),"")</f>
        <v>1</v>
      </c>
      <c r="AG68" s="43">
        <f>IF(IFERROR(DATEDIF(AG$3,$O68,"D")&gt;=0,FALSE),IFERROR(AVERAGE($E68:G68),"N/A"),"")</f>
        <v>1.3333333333333333</v>
      </c>
      <c r="AH68" s="43">
        <f>IF(IFERROR(DATEDIF(AH$3,$O68,"D")&gt;=0,FALSE),IFERROR(AVERAGE($E68:H68),"N/A"),"")</f>
        <v>1.75</v>
      </c>
      <c r="AI68" s="43">
        <f>IF(IFERROR(DATEDIF(AI$3,$O68,"D")&gt;=0,FALSE),IFERROR(AVERAGE($E68:I68),"N/A"),"")</f>
        <v>1.8</v>
      </c>
      <c r="AJ68" s="43" t="str">
        <f>IF(IFERROR(DATEDIF(AJ$3,$O68,"D")&gt;=0,FALSE),IFERROR(AVERAGE($E68:J68),"N/A"),"")</f>
        <v/>
      </c>
      <c r="AK68" s="43" t="str">
        <f>IF(IFERROR(DATEDIF(AK$3,$O68,"D")&gt;=0,FALSE),IFERROR(AVERAGE($E68:K68),"N/A"),"")</f>
        <v/>
      </c>
      <c r="AL68" s="43" t="str">
        <f>IF(IFERROR(DATEDIF(AL$3,$O68,"D")&gt;=0,FALSE),IFERROR(AVERAGE($E68:L68),"N/A"),"")</f>
        <v/>
      </c>
      <c r="AM68" s="43" t="str">
        <f>IF(IFERROR(DATEDIF(AM$3,$O68,"D")&gt;=0,FALSE),IFERROR(AVERAGE($E68:M68),"N/A"),"")</f>
        <v/>
      </c>
      <c r="AN68" s="128" t="str">
        <f>IF(IFERROR(DATEDIF(AN$3,$O68,"D")&gt;=0,FALSE),IFERROR(AVERAGE($E68:N68),"N/A"),"")</f>
        <v/>
      </c>
    </row>
    <row r="69" spans="4:40" ht="15.75" x14ac:dyDescent="0.25">
      <c r="D69" s="20">
        <v>85</v>
      </c>
      <c r="E69" s="182">
        <v>4</v>
      </c>
      <c r="F69" s="182">
        <v>0</v>
      </c>
      <c r="G69" s="182">
        <v>0</v>
      </c>
      <c r="H69" s="182">
        <v>3</v>
      </c>
      <c r="I69" s="182"/>
      <c r="J69" s="182"/>
      <c r="K69" s="182"/>
      <c r="L69" s="182"/>
      <c r="M69" s="182"/>
      <c r="N69" s="182"/>
      <c r="O69" s="56">
        <v>42853</v>
      </c>
      <c r="P69" s="134" t="b">
        <v>1</v>
      </c>
      <c r="Q69" s="134" t="b">
        <v>1</v>
      </c>
      <c r="R69">
        <f t="shared" si="1"/>
        <v>1.75</v>
      </c>
      <c r="S69">
        <f t="shared" si="2"/>
        <v>3.5</v>
      </c>
      <c r="T69">
        <f t="shared" si="3"/>
        <v>4</v>
      </c>
      <c r="U69">
        <f t="shared" si="4"/>
        <v>2</v>
      </c>
      <c r="W69" s="134" t="s">
        <v>18</v>
      </c>
      <c r="X69" s="134">
        <v>1.75</v>
      </c>
      <c r="Y69" s="134" t="s">
        <v>18</v>
      </c>
      <c r="Z69" s="134">
        <v>1.75</v>
      </c>
      <c r="AD69" s="134">
        <f t="shared" ref="AD69:AD104" si="6">D69</f>
        <v>85</v>
      </c>
      <c r="AE69" s="43">
        <f>IF(IFERROR(DATEDIF(AE$3,$O69,"D")&gt;=0,FALSE),IFERROR(AVERAGE($E69:E69),"N/A"),"")</f>
        <v>4</v>
      </c>
      <c r="AF69" s="43">
        <f>IF(IFERROR(DATEDIF(AF$3,$O69,"D")&gt;=0,FALSE),IFERROR(AVERAGE($E69:F69),"N/A"),"")</f>
        <v>2</v>
      </c>
      <c r="AG69" s="43">
        <f>IF(IFERROR(DATEDIF(AG$3,$O69,"D")&gt;=0,FALSE),IFERROR(AVERAGE($E69:G69),"N/A"),"")</f>
        <v>1.3333333333333333</v>
      </c>
      <c r="AH69" s="43">
        <f>IF(IFERROR(DATEDIF(AH$3,$O69,"D")&gt;=0,FALSE),IFERROR(AVERAGE($E69:H69),"N/A"),"")</f>
        <v>1.75</v>
      </c>
      <c r="AI69" s="43">
        <f>IF(IFERROR(DATEDIF(AI$3,$O69,"D")&gt;=0,FALSE),IFERROR(AVERAGE($E69:I69),"N/A"),"")</f>
        <v>1.75</v>
      </c>
      <c r="AJ69" s="43" t="str">
        <f>IF(IFERROR(DATEDIF(AJ$3,$O69,"D")&gt;=0,FALSE),IFERROR(AVERAGE($E69:J69),"N/A"),"")</f>
        <v/>
      </c>
      <c r="AK69" s="43" t="str">
        <f>IF(IFERROR(DATEDIF(AK$3,$O69,"D")&gt;=0,FALSE),IFERROR(AVERAGE($E69:K69),"N/A"),"")</f>
        <v/>
      </c>
      <c r="AL69" s="43" t="str">
        <f>IF(IFERROR(DATEDIF(AL$3,$O69,"D")&gt;=0,FALSE),IFERROR(AVERAGE($E69:L69),"N/A"),"")</f>
        <v/>
      </c>
      <c r="AM69" s="43" t="str">
        <f>IF(IFERROR(DATEDIF(AM$3,$O69,"D")&gt;=0,FALSE),IFERROR(AVERAGE($E69:M69),"N/A"),"")</f>
        <v/>
      </c>
      <c r="AN69" s="128" t="str">
        <f>IF(IFERROR(DATEDIF(AN$3,$O69,"D")&gt;=0,FALSE),IFERROR(AVERAGE($E69:N69),"N/A"),"")</f>
        <v/>
      </c>
    </row>
    <row r="70" spans="4:40" ht="15.75" x14ac:dyDescent="0.25">
      <c r="D70" s="21">
        <v>86</v>
      </c>
      <c r="E70" s="182">
        <v>3</v>
      </c>
      <c r="F70" s="182">
        <v>3</v>
      </c>
      <c r="G70" s="182">
        <v>0</v>
      </c>
      <c r="H70" s="182">
        <v>1</v>
      </c>
      <c r="I70" s="182">
        <v>1</v>
      </c>
      <c r="J70" s="182"/>
      <c r="K70" s="182"/>
      <c r="L70" s="182"/>
      <c r="M70" s="182"/>
      <c r="N70" s="182"/>
      <c r="O70" s="56">
        <v>42856</v>
      </c>
      <c r="P70" s="134" t="b">
        <v>1</v>
      </c>
      <c r="Q70" s="134" t="b">
        <v>1</v>
      </c>
      <c r="R70">
        <f t="shared" ref="R70:R104" si="7">IFERROR(AVERAGE(E70:N70),"N/A")</f>
        <v>1.6</v>
      </c>
      <c r="S70">
        <f t="shared" ref="S70:S104" si="8">IFERROR(AVERAGEIF(E70:N70,"&gt;"&amp;0),"")</f>
        <v>2</v>
      </c>
      <c r="T70">
        <f t="shared" ref="T70:T104" si="9">IFERROR(LARGE(E70:N70,1),"")</f>
        <v>3</v>
      </c>
      <c r="U70">
        <f t="shared" ref="U70:U104" si="10">COUNTIF($E70:$N70,"&gt;"&amp;0)</f>
        <v>4</v>
      </c>
      <c r="W70" s="134" t="s">
        <v>18</v>
      </c>
      <c r="X70" s="134">
        <v>1.6</v>
      </c>
      <c r="Y70" s="134" t="s">
        <v>18</v>
      </c>
      <c r="Z70" s="134">
        <v>1.6</v>
      </c>
      <c r="AD70" s="134">
        <f t="shared" si="6"/>
        <v>86</v>
      </c>
      <c r="AE70" s="43">
        <f>IF(IFERROR(DATEDIF(AE$3,$O70,"D")&gt;=0,FALSE),IFERROR(AVERAGE($E70:E70),"N/A"),"")</f>
        <v>3</v>
      </c>
      <c r="AF70" s="43">
        <f>IF(IFERROR(DATEDIF(AF$3,$O70,"D")&gt;=0,FALSE),IFERROR(AVERAGE($E70:F70),"N/A"),"")</f>
        <v>3</v>
      </c>
      <c r="AG70" s="43">
        <f>IF(IFERROR(DATEDIF(AG$3,$O70,"D")&gt;=0,FALSE),IFERROR(AVERAGE($E70:G70),"N/A"),"")</f>
        <v>2</v>
      </c>
      <c r="AH70" s="43">
        <f>IF(IFERROR(DATEDIF(AH$3,$O70,"D")&gt;=0,FALSE),IFERROR(AVERAGE($E70:H70),"N/A"),"")</f>
        <v>1.75</v>
      </c>
      <c r="AI70" s="43">
        <f>IF(IFERROR(DATEDIF(AI$3,$O70,"D")&gt;=0,FALSE),IFERROR(AVERAGE($E70:I70),"N/A"),"")</f>
        <v>1.6</v>
      </c>
      <c r="AJ70" s="43" t="str">
        <f>IF(IFERROR(DATEDIF(AJ$3,$O70,"D")&gt;=0,FALSE),IFERROR(AVERAGE($E70:J70),"N/A"),"")</f>
        <v/>
      </c>
      <c r="AK70" s="43" t="str">
        <f>IF(IFERROR(DATEDIF(AK$3,$O70,"D")&gt;=0,FALSE),IFERROR(AVERAGE($E70:K70),"N/A"),"")</f>
        <v/>
      </c>
      <c r="AL70" s="43" t="str">
        <f>IF(IFERROR(DATEDIF(AL$3,$O70,"D")&gt;=0,FALSE),IFERROR(AVERAGE($E70:L70),"N/A"),"")</f>
        <v/>
      </c>
      <c r="AM70" s="43" t="str">
        <f>IF(IFERROR(DATEDIF(AM$3,$O70,"D")&gt;=0,FALSE),IFERROR(AVERAGE($E70:M70),"N/A"),"")</f>
        <v/>
      </c>
      <c r="AN70" s="128" t="str">
        <f>IF(IFERROR(DATEDIF(AN$3,$O70,"D")&gt;=0,FALSE),IFERROR(AVERAGE($E70:N70),"N/A"),"")</f>
        <v/>
      </c>
    </row>
    <row r="71" spans="4:40" ht="15.75" x14ac:dyDescent="0.25">
      <c r="D71" s="20">
        <v>87</v>
      </c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56">
        <v>42838</v>
      </c>
      <c r="P71" s="134" t="b">
        <v>1</v>
      </c>
      <c r="Q71" s="134" t="s">
        <v>48</v>
      </c>
      <c r="R71" t="str">
        <f t="shared" si="7"/>
        <v>N/A</v>
      </c>
      <c r="S71" t="str">
        <f t="shared" si="8"/>
        <v/>
      </c>
      <c r="T71" t="str">
        <f t="shared" si="9"/>
        <v/>
      </c>
      <c r="U71">
        <f t="shared" si="10"/>
        <v>0</v>
      </c>
      <c r="W71" s="134" t="s">
        <v>18</v>
      </c>
      <c r="X71" s="134">
        <v>0</v>
      </c>
      <c r="Y71" s="134">
        <v>0</v>
      </c>
      <c r="Z71" s="134" t="s">
        <v>18</v>
      </c>
      <c r="AD71" s="134">
        <f t="shared" si="6"/>
        <v>87</v>
      </c>
      <c r="AE71" s="43" t="str">
        <f>IF(IFERROR(DATEDIF(AE$3,$O71,"D")&gt;=0,FALSE),IFERROR(AVERAGE($E71:E71),"N/A"),"")</f>
        <v>N/A</v>
      </c>
      <c r="AF71" s="43" t="str">
        <f>IF(IFERROR(DATEDIF(AF$3,$O71,"D")&gt;=0,FALSE),IFERROR(AVERAGE($E71:F71),"N/A"),"")</f>
        <v/>
      </c>
      <c r="AG71" s="43" t="str">
        <f>IF(IFERROR(DATEDIF(AG$3,$O71,"D")&gt;=0,FALSE),IFERROR(AVERAGE($E71:G71),"N/A"),"")</f>
        <v/>
      </c>
      <c r="AH71" s="43" t="str">
        <f>IF(IFERROR(DATEDIF(AH$3,$O71,"D")&gt;=0,FALSE),IFERROR(AVERAGE($E71:H71),"N/A"),"")</f>
        <v/>
      </c>
      <c r="AI71" s="43" t="str">
        <f>IF(IFERROR(DATEDIF(AI$3,$O71,"D")&gt;=0,FALSE),IFERROR(AVERAGE($E71:I71),"N/A"),"")</f>
        <v/>
      </c>
      <c r="AJ71" s="43" t="str">
        <f>IF(IFERROR(DATEDIF(AJ$3,$O71,"D")&gt;=0,FALSE),IFERROR(AVERAGE($E71:J71),"N/A"),"")</f>
        <v/>
      </c>
      <c r="AK71" s="43" t="str">
        <f>IF(IFERROR(DATEDIF(AK$3,$O71,"D")&gt;=0,FALSE),IFERROR(AVERAGE($E71:K71),"N/A"),"")</f>
        <v/>
      </c>
      <c r="AL71" s="43" t="str">
        <f>IF(IFERROR(DATEDIF(AL$3,$O71,"D")&gt;=0,FALSE),IFERROR(AVERAGE($E71:L71),"N/A"),"")</f>
        <v/>
      </c>
      <c r="AM71" s="43" t="str">
        <f>IF(IFERROR(DATEDIF(AM$3,$O71,"D")&gt;=0,FALSE),IFERROR(AVERAGE($E71:M71),"N/A"),"")</f>
        <v/>
      </c>
      <c r="AN71" s="128" t="str">
        <f>IF(IFERROR(DATEDIF(AN$3,$O71,"D")&gt;=0,FALSE),IFERROR(AVERAGE($E71:N71),"N/A"),"")</f>
        <v/>
      </c>
    </row>
    <row r="72" spans="4:40" ht="15.75" x14ac:dyDescent="0.25">
      <c r="D72" s="20">
        <v>88</v>
      </c>
      <c r="E72" s="182">
        <v>0</v>
      </c>
      <c r="F72" s="182">
        <v>0</v>
      </c>
      <c r="G72" s="182">
        <v>1</v>
      </c>
      <c r="H72" s="182">
        <v>3</v>
      </c>
      <c r="I72" s="182">
        <v>1</v>
      </c>
      <c r="J72" s="182">
        <v>2</v>
      </c>
      <c r="K72" s="182"/>
      <c r="L72" s="182"/>
      <c r="M72" s="182"/>
      <c r="N72" s="182"/>
      <c r="O72" s="56">
        <v>42859</v>
      </c>
      <c r="P72" s="134" t="b">
        <v>1</v>
      </c>
      <c r="Q72" s="134" t="b">
        <v>1</v>
      </c>
      <c r="R72">
        <f t="shared" si="7"/>
        <v>1.1666666666666667</v>
      </c>
      <c r="S72">
        <f t="shared" si="8"/>
        <v>1.75</v>
      </c>
      <c r="T72">
        <f t="shared" si="9"/>
        <v>3</v>
      </c>
      <c r="U72">
        <f t="shared" si="10"/>
        <v>4</v>
      </c>
      <c r="W72" s="134" t="s">
        <v>18</v>
      </c>
      <c r="X72" s="134">
        <v>1.1666666666666667</v>
      </c>
      <c r="Y72" s="134" t="s">
        <v>18</v>
      </c>
      <c r="Z72" s="134">
        <v>1.1666666666666667</v>
      </c>
      <c r="AD72" s="134">
        <f t="shared" si="6"/>
        <v>88</v>
      </c>
      <c r="AE72" s="43">
        <f>IF(IFERROR(DATEDIF(AE$3,$O72,"D")&gt;=0,FALSE),IFERROR(AVERAGE($E72:E72),"N/A"),"")</f>
        <v>0</v>
      </c>
      <c r="AF72" s="43">
        <f>IF(IFERROR(DATEDIF(AF$3,$O72,"D")&gt;=0,FALSE),IFERROR(AVERAGE($E72:F72),"N/A"),"")</f>
        <v>0</v>
      </c>
      <c r="AG72" s="43">
        <f>IF(IFERROR(DATEDIF(AG$3,$O72,"D")&gt;=0,FALSE),IFERROR(AVERAGE($E72:G72),"N/A"),"")</f>
        <v>0.33333333333333331</v>
      </c>
      <c r="AH72" s="43">
        <f>IF(IFERROR(DATEDIF(AH$3,$O72,"D")&gt;=0,FALSE),IFERROR(AVERAGE($E72:H72),"N/A"),"")</f>
        <v>1</v>
      </c>
      <c r="AI72" s="43">
        <f>IF(IFERROR(DATEDIF(AI$3,$O72,"D")&gt;=0,FALSE),IFERROR(AVERAGE($E72:I72),"N/A"),"")</f>
        <v>1</v>
      </c>
      <c r="AJ72" s="43">
        <f>IF(IFERROR(DATEDIF(AJ$3,$O72,"D")&gt;=0,FALSE),IFERROR(AVERAGE($E72:J72),"N/A"),"")</f>
        <v>1.1666666666666667</v>
      </c>
      <c r="AK72" s="43" t="str">
        <f>IF(IFERROR(DATEDIF(AK$3,$O72,"D")&gt;=0,FALSE),IFERROR(AVERAGE($E72:K72),"N/A"),"")</f>
        <v/>
      </c>
      <c r="AL72" s="43" t="str">
        <f>IF(IFERROR(DATEDIF(AL$3,$O72,"D")&gt;=0,FALSE),IFERROR(AVERAGE($E72:L72),"N/A"),"")</f>
        <v/>
      </c>
      <c r="AM72" s="43" t="str">
        <f>IF(IFERROR(DATEDIF(AM$3,$O72,"D")&gt;=0,FALSE),IFERROR(AVERAGE($E72:M72),"N/A"),"")</f>
        <v/>
      </c>
      <c r="AN72" s="128" t="str">
        <f>IF(IFERROR(DATEDIF(AN$3,$O72,"D")&gt;=0,FALSE),IFERROR(AVERAGE($E72:N72),"N/A"),"")</f>
        <v/>
      </c>
    </row>
    <row r="73" spans="4:40" ht="15.75" x14ac:dyDescent="0.25">
      <c r="D73" s="21">
        <v>89</v>
      </c>
      <c r="E73" s="182">
        <v>2</v>
      </c>
      <c r="F73" s="182">
        <v>2</v>
      </c>
      <c r="G73" s="182"/>
      <c r="H73" s="182"/>
      <c r="I73" s="182"/>
      <c r="J73" s="182"/>
      <c r="K73" s="182"/>
      <c r="L73" s="182"/>
      <c r="M73" s="182"/>
      <c r="N73" s="182"/>
      <c r="O73" s="56">
        <v>42844</v>
      </c>
      <c r="P73" s="134" t="b">
        <v>0</v>
      </c>
      <c r="Q73" s="134" t="s">
        <v>48</v>
      </c>
      <c r="R73">
        <f t="shared" si="7"/>
        <v>2</v>
      </c>
      <c r="S73">
        <f t="shared" si="8"/>
        <v>2</v>
      </c>
      <c r="T73">
        <f t="shared" si="9"/>
        <v>2</v>
      </c>
      <c r="U73">
        <f t="shared" si="10"/>
        <v>2</v>
      </c>
      <c r="W73" s="134">
        <v>2</v>
      </c>
      <c r="X73" s="134" t="s">
        <v>18</v>
      </c>
      <c r="Y73" s="134">
        <v>2</v>
      </c>
      <c r="Z73" s="134" t="s">
        <v>18</v>
      </c>
      <c r="AD73" s="134">
        <f t="shared" si="6"/>
        <v>89</v>
      </c>
      <c r="AE73" s="43">
        <f>IF(IFERROR(DATEDIF(AE$3,$O73,"D")&gt;=0,FALSE),IFERROR(AVERAGE($E73:E73),"N/A"),"")</f>
        <v>2</v>
      </c>
      <c r="AF73" s="43">
        <f>IF(IFERROR(DATEDIF(AF$3,$O73,"D")&gt;=0,FALSE),IFERROR(AVERAGE($E73:F73),"N/A"),"")</f>
        <v>2</v>
      </c>
      <c r="AG73" s="43" t="str">
        <f>IF(IFERROR(DATEDIF(AG$3,$O73,"D")&gt;=0,FALSE),IFERROR(AVERAGE($E73:G73),"N/A"),"")</f>
        <v/>
      </c>
      <c r="AH73" s="43" t="str">
        <f>IF(IFERROR(DATEDIF(AH$3,$O73,"D")&gt;=0,FALSE),IFERROR(AVERAGE($E73:H73),"N/A"),"")</f>
        <v/>
      </c>
      <c r="AI73" s="43" t="str">
        <f>IF(IFERROR(DATEDIF(AI$3,$O73,"D")&gt;=0,FALSE),IFERROR(AVERAGE($E73:I73),"N/A"),"")</f>
        <v/>
      </c>
      <c r="AJ73" s="43" t="str">
        <f>IF(IFERROR(DATEDIF(AJ$3,$O73,"D")&gt;=0,FALSE),IFERROR(AVERAGE($E73:J73),"N/A"),"")</f>
        <v/>
      </c>
      <c r="AK73" s="43" t="str">
        <f>IF(IFERROR(DATEDIF(AK$3,$O73,"D")&gt;=0,FALSE),IFERROR(AVERAGE($E73:K73),"N/A"),"")</f>
        <v/>
      </c>
      <c r="AL73" s="43" t="str">
        <f>IF(IFERROR(DATEDIF(AL$3,$O73,"D")&gt;=0,FALSE),IFERROR(AVERAGE($E73:L73),"N/A"),"")</f>
        <v/>
      </c>
      <c r="AM73" s="43" t="str">
        <f>IF(IFERROR(DATEDIF(AM$3,$O73,"D")&gt;=0,FALSE),IFERROR(AVERAGE($E73:M73),"N/A"),"")</f>
        <v/>
      </c>
      <c r="AN73" s="128" t="str">
        <f>IF(IFERROR(DATEDIF(AN$3,$O73,"D")&gt;=0,FALSE),IFERROR(AVERAGE($E73:N73),"N/A"),"")</f>
        <v/>
      </c>
    </row>
    <row r="74" spans="4:40" ht="15.75" x14ac:dyDescent="0.25">
      <c r="D74" s="20">
        <v>90</v>
      </c>
      <c r="E74" s="182">
        <v>1</v>
      </c>
      <c r="F74" s="182">
        <v>0</v>
      </c>
      <c r="G74" s="182">
        <v>1</v>
      </c>
      <c r="H74" s="182">
        <v>3</v>
      </c>
      <c r="I74" s="182">
        <v>1</v>
      </c>
      <c r="J74" s="182"/>
      <c r="K74" s="182"/>
      <c r="L74" s="182"/>
      <c r="M74" s="182"/>
      <c r="N74" s="182"/>
      <c r="O74" s="56">
        <v>42856</v>
      </c>
      <c r="P74" s="134" t="b">
        <v>1</v>
      </c>
      <c r="Q74" s="134" t="b">
        <v>1</v>
      </c>
      <c r="R74">
        <f t="shared" si="7"/>
        <v>1.2</v>
      </c>
      <c r="S74">
        <f t="shared" si="8"/>
        <v>1.5</v>
      </c>
      <c r="T74">
        <f t="shared" si="9"/>
        <v>3</v>
      </c>
      <c r="U74">
        <f t="shared" si="10"/>
        <v>4</v>
      </c>
      <c r="W74" s="134" t="s">
        <v>18</v>
      </c>
      <c r="X74" s="134">
        <v>1.2</v>
      </c>
      <c r="Y74" s="134" t="s">
        <v>18</v>
      </c>
      <c r="Z74" s="134">
        <v>1.2</v>
      </c>
      <c r="AD74" s="134">
        <f t="shared" si="6"/>
        <v>90</v>
      </c>
      <c r="AE74" s="43">
        <f>IF(IFERROR(DATEDIF(AE$3,$O74,"D")&gt;=0,FALSE),IFERROR(AVERAGE($E74:E74),"N/A"),"")</f>
        <v>1</v>
      </c>
      <c r="AF74" s="43">
        <f>IF(IFERROR(DATEDIF(AF$3,$O74,"D")&gt;=0,FALSE),IFERROR(AVERAGE($E74:F74),"N/A"),"")</f>
        <v>0.5</v>
      </c>
      <c r="AG74" s="43">
        <f>IF(IFERROR(DATEDIF(AG$3,$O74,"D")&gt;=0,FALSE),IFERROR(AVERAGE($E74:G74),"N/A"),"")</f>
        <v>0.66666666666666663</v>
      </c>
      <c r="AH74" s="43">
        <f>IF(IFERROR(DATEDIF(AH$3,$O74,"D")&gt;=0,FALSE),IFERROR(AVERAGE($E74:H74),"N/A"),"")</f>
        <v>1.25</v>
      </c>
      <c r="AI74" s="43">
        <f>IF(IFERROR(DATEDIF(AI$3,$O74,"D")&gt;=0,FALSE),IFERROR(AVERAGE($E74:I74),"N/A"),"")</f>
        <v>1.2</v>
      </c>
      <c r="AJ74" s="43" t="str">
        <f>IF(IFERROR(DATEDIF(AJ$3,$O74,"D")&gt;=0,FALSE),IFERROR(AVERAGE($E74:J74),"N/A"),"")</f>
        <v/>
      </c>
      <c r="AK74" s="43" t="str">
        <f>IF(IFERROR(DATEDIF(AK$3,$O74,"D")&gt;=0,FALSE),IFERROR(AVERAGE($E74:K74),"N/A"),"")</f>
        <v/>
      </c>
      <c r="AL74" s="43" t="str">
        <f>IF(IFERROR(DATEDIF(AL$3,$O74,"D")&gt;=0,FALSE),IFERROR(AVERAGE($E74:L74),"N/A"),"")</f>
        <v/>
      </c>
      <c r="AM74" s="43" t="str">
        <f>IF(IFERROR(DATEDIF(AM$3,$O74,"D")&gt;=0,FALSE),IFERROR(AVERAGE($E74:M74),"N/A"),"")</f>
        <v/>
      </c>
      <c r="AN74" s="128" t="str">
        <f>IF(IFERROR(DATEDIF(AN$3,$O74,"D")&gt;=0,FALSE),IFERROR(AVERAGE($E74:N74),"N/A"),"")</f>
        <v/>
      </c>
    </row>
    <row r="75" spans="4:40" ht="15.75" x14ac:dyDescent="0.25">
      <c r="D75" s="20">
        <v>91</v>
      </c>
      <c r="E75" s="182">
        <v>3</v>
      </c>
      <c r="F75" s="182">
        <v>1</v>
      </c>
      <c r="G75" s="182">
        <v>0</v>
      </c>
      <c r="H75" s="182">
        <v>0</v>
      </c>
      <c r="I75" s="182"/>
      <c r="J75" s="182"/>
      <c r="K75" s="182"/>
      <c r="L75" s="182"/>
      <c r="M75" s="182"/>
      <c r="N75" s="182"/>
      <c r="O75" s="56">
        <v>42852</v>
      </c>
      <c r="P75" s="134" t="b">
        <v>1</v>
      </c>
      <c r="Q75" s="134" t="b">
        <v>1</v>
      </c>
      <c r="R75">
        <f t="shared" si="7"/>
        <v>1</v>
      </c>
      <c r="S75">
        <f t="shared" si="8"/>
        <v>2</v>
      </c>
      <c r="T75">
        <f t="shared" si="9"/>
        <v>3</v>
      </c>
      <c r="U75">
        <f t="shared" si="10"/>
        <v>2</v>
      </c>
      <c r="W75" s="134" t="s">
        <v>18</v>
      </c>
      <c r="X75" s="134">
        <v>1</v>
      </c>
      <c r="Y75" s="134" t="s">
        <v>18</v>
      </c>
      <c r="Z75" s="134">
        <v>1</v>
      </c>
      <c r="AD75" s="134">
        <f t="shared" si="6"/>
        <v>91</v>
      </c>
      <c r="AE75" s="43">
        <f>IF(IFERROR(DATEDIF(AE$3,$O75,"D")&gt;=0,FALSE),IFERROR(AVERAGE($E75:E75),"N/A"),"")</f>
        <v>3</v>
      </c>
      <c r="AF75" s="43">
        <f>IF(IFERROR(DATEDIF(AF$3,$O75,"D")&gt;=0,FALSE),IFERROR(AVERAGE($E75:F75),"N/A"),"")</f>
        <v>2</v>
      </c>
      <c r="AG75" s="43">
        <f>IF(IFERROR(DATEDIF(AG$3,$O75,"D")&gt;=0,FALSE),IFERROR(AVERAGE($E75:G75),"N/A"),"")</f>
        <v>1.3333333333333333</v>
      </c>
      <c r="AH75" s="43">
        <f>IF(IFERROR(DATEDIF(AH$3,$O75,"D")&gt;=0,FALSE),IFERROR(AVERAGE($E75:H75),"N/A"),"")</f>
        <v>1</v>
      </c>
      <c r="AI75" s="43" t="str">
        <f>IF(IFERROR(DATEDIF(AI$3,$O75,"D")&gt;=0,FALSE),IFERROR(AVERAGE($E75:I75),"N/A"),"")</f>
        <v/>
      </c>
      <c r="AJ75" s="43" t="str">
        <f>IF(IFERROR(DATEDIF(AJ$3,$O75,"D")&gt;=0,FALSE),IFERROR(AVERAGE($E75:J75),"N/A"),"")</f>
        <v/>
      </c>
      <c r="AK75" s="43" t="str">
        <f>IF(IFERROR(DATEDIF(AK$3,$O75,"D")&gt;=0,FALSE),IFERROR(AVERAGE($E75:K75),"N/A"),"")</f>
        <v/>
      </c>
      <c r="AL75" s="43" t="str">
        <f>IF(IFERROR(DATEDIF(AL$3,$O75,"D")&gt;=0,FALSE),IFERROR(AVERAGE($E75:L75),"N/A"),"")</f>
        <v/>
      </c>
      <c r="AM75" s="43" t="str">
        <f>IF(IFERROR(DATEDIF(AM$3,$O75,"D")&gt;=0,FALSE),IFERROR(AVERAGE($E75:M75),"N/A"),"")</f>
        <v/>
      </c>
      <c r="AN75" s="128" t="str">
        <f>IF(IFERROR(DATEDIF(AN$3,$O75,"D")&gt;=0,FALSE),IFERROR(AVERAGE($E75:N75),"N/A"),"")</f>
        <v/>
      </c>
    </row>
    <row r="76" spans="4:40" ht="15.75" x14ac:dyDescent="0.25">
      <c r="D76" s="21">
        <v>92</v>
      </c>
      <c r="E76" s="182">
        <v>2</v>
      </c>
      <c r="F76" s="182">
        <v>0</v>
      </c>
      <c r="G76" s="182"/>
      <c r="H76" s="182"/>
      <c r="I76" s="182"/>
      <c r="J76" s="182"/>
      <c r="K76" s="182"/>
      <c r="L76" s="182"/>
      <c r="M76" s="182"/>
      <c r="N76" s="182"/>
      <c r="O76" s="56">
        <v>42846</v>
      </c>
      <c r="P76" s="134" t="b">
        <v>1</v>
      </c>
      <c r="Q76" s="134" t="b">
        <v>1</v>
      </c>
      <c r="R76">
        <f t="shared" si="7"/>
        <v>1</v>
      </c>
      <c r="S76">
        <f t="shared" si="8"/>
        <v>2</v>
      </c>
      <c r="T76">
        <f t="shared" si="9"/>
        <v>2</v>
      </c>
      <c r="U76">
        <f t="shared" si="10"/>
        <v>1</v>
      </c>
      <c r="W76" s="134" t="s">
        <v>18</v>
      </c>
      <c r="X76" s="134">
        <v>1</v>
      </c>
      <c r="Y76" s="134" t="s">
        <v>18</v>
      </c>
      <c r="Z76" s="134">
        <v>1</v>
      </c>
      <c r="AD76" s="134">
        <f t="shared" si="6"/>
        <v>92</v>
      </c>
      <c r="AE76" s="43">
        <f>IF(IFERROR(DATEDIF(AE$3,$O76,"D")&gt;=0,FALSE),IFERROR(AVERAGE($E76:E76),"N/A"),"")</f>
        <v>2</v>
      </c>
      <c r="AF76" s="43">
        <f>IF(IFERROR(DATEDIF(AF$3,$O76,"D")&gt;=0,FALSE),IFERROR(AVERAGE($E76:F76),"N/A"),"")</f>
        <v>1</v>
      </c>
      <c r="AG76" s="43">
        <f>IF(IFERROR(DATEDIF(AG$3,$O76,"D")&gt;=0,FALSE),IFERROR(AVERAGE($E76:G76),"N/A"),"")</f>
        <v>1</v>
      </c>
      <c r="AH76" s="43" t="str">
        <f>IF(IFERROR(DATEDIF(AH$3,$O76,"D")&gt;=0,FALSE),IFERROR(AVERAGE($E76:H76),"N/A"),"")</f>
        <v/>
      </c>
      <c r="AI76" s="43" t="str">
        <f>IF(IFERROR(DATEDIF(AI$3,$O76,"D")&gt;=0,FALSE),IFERROR(AVERAGE($E76:I76),"N/A"),"")</f>
        <v/>
      </c>
      <c r="AJ76" s="43" t="str">
        <f>IF(IFERROR(DATEDIF(AJ$3,$O76,"D")&gt;=0,FALSE),IFERROR(AVERAGE($E76:J76),"N/A"),"")</f>
        <v/>
      </c>
      <c r="AK76" s="43" t="str">
        <f>IF(IFERROR(DATEDIF(AK$3,$O76,"D")&gt;=0,FALSE),IFERROR(AVERAGE($E76:K76),"N/A"),"")</f>
        <v/>
      </c>
      <c r="AL76" s="43" t="str">
        <f>IF(IFERROR(DATEDIF(AL$3,$O76,"D")&gt;=0,FALSE),IFERROR(AVERAGE($E76:L76),"N/A"),"")</f>
        <v/>
      </c>
      <c r="AM76" s="43" t="str">
        <f>IF(IFERROR(DATEDIF(AM$3,$O76,"D")&gt;=0,FALSE),IFERROR(AVERAGE($E76:M76),"N/A"),"")</f>
        <v/>
      </c>
      <c r="AN76" s="128" t="str">
        <f>IF(IFERROR(DATEDIF(AN$3,$O76,"D")&gt;=0,FALSE),IFERROR(AVERAGE($E76:N76),"N/A"),"")</f>
        <v/>
      </c>
    </row>
    <row r="77" spans="4:40" ht="15.75" x14ac:dyDescent="0.25">
      <c r="D77" s="20">
        <v>93</v>
      </c>
      <c r="E77" s="182">
        <v>2</v>
      </c>
      <c r="F77" s="182">
        <v>0</v>
      </c>
      <c r="G77" s="182">
        <v>1</v>
      </c>
      <c r="H77" s="182">
        <v>0</v>
      </c>
      <c r="I77" s="182">
        <v>1</v>
      </c>
      <c r="J77" s="182">
        <v>2</v>
      </c>
      <c r="K77" s="182">
        <v>1</v>
      </c>
      <c r="L77" s="182"/>
      <c r="M77" s="182"/>
      <c r="N77" s="182"/>
      <c r="O77" s="56">
        <v>42863</v>
      </c>
      <c r="P77" s="134" t="b">
        <v>1</v>
      </c>
      <c r="Q77" s="134" t="b">
        <v>1</v>
      </c>
      <c r="R77">
        <f t="shared" si="7"/>
        <v>1</v>
      </c>
      <c r="S77">
        <f t="shared" si="8"/>
        <v>1.4</v>
      </c>
      <c r="T77">
        <f t="shared" si="9"/>
        <v>2</v>
      </c>
      <c r="U77">
        <f t="shared" si="10"/>
        <v>5</v>
      </c>
      <c r="W77" s="134" t="s">
        <v>18</v>
      </c>
      <c r="X77" s="134">
        <v>1</v>
      </c>
      <c r="Y77" s="134" t="s">
        <v>18</v>
      </c>
      <c r="Z77" s="134">
        <v>1</v>
      </c>
      <c r="AD77" s="134">
        <f t="shared" si="6"/>
        <v>93</v>
      </c>
      <c r="AE77" s="43">
        <f>IF(IFERROR(DATEDIF(AE$3,$O77,"D")&gt;=0,FALSE),IFERROR(AVERAGE($E77:E77),"N/A"),"")</f>
        <v>2</v>
      </c>
      <c r="AF77" s="43">
        <f>IF(IFERROR(DATEDIF(AF$3,$O77,"D")&gt;=0,FALSE),IFERROR(AVERAGE($E77:F77),"N/A"),"")</f>
        <v>1</v>
      </c>
      <c r="AG77" s="43">
        <f>IF(IFERROR(DATEDIF(AG$3,$O77,"D")&gt;=0,FALSE),IFERROR(AVERAGE($E77:G77),"N/A"),"")</f>
        <v>1</v>
      </c>
      <c r="AH77" s="43">
        <f>IF(IFERROR(DATEDIF(AH$3,$O77,"D")&gt;=0,FALSE),IFERROR(AVERAGE($E77:H77),"N/A"),"")</f>
        <v>0.75</v>
      </c>
      <c r="AI77" s="43">
        <f>IF(IFERROR(DATEDIF(AI$3,$O77,"D")&gt;=0,FALSE),IFERROR(AVERAGE($E77:I77),"N/A"),"")</f>
        <v>0.8</v>
      </c>
      <c r="AJ77" s="43">
        <f>IF(IFERROR(DATEDIF(AJ$3,$O77,"D")&gt;=0,FALSE),IFERROR(AVERAGE($E77:J77),"N/A"),"")</f>
        <v>1</v>
      </c>
      <c r="AK77" s="43">
        <f>IF(IFERROR(DATEDIF(AK$3,$O77,"D")&gt;=0,FALSE),IFERROR(AVERAGE($E77:K77),"N/A"),"")</f>
        <v>1</v>
      </c>
      <c r="AL77" s="43" t="str">
        <f>IF(IFERROR(DATEDIF(AL$3,$O77,"D")&gt;=0,FALSE),IFERROR(AVERAGE($E77:L77),"N/A"),"")</f>
        <v/>
      </c>
      <c r="AM77" s="43" t="str">
        <f>IF(IFERROR(DATEDIF(AM$3,$O77,"D")&gt;=0,FALSE),IFERROR(AVERAGE($E77:M77),"N/A"),"")</f>
        <v/>
      </c>
      <c r="AN77" s="128" t="str">
        <f>IF(IFERROR(DATEDIF(AN$3,$O77,"D")&gt;=0,FALSE),IFERROR(AVERAGE($E77:N77),"N/A"),"")</f>
        <v/>
      </c>
    </row>
    <row r="78" spans="4:40" ht="15.75" x14ac:dyDescent="0.25">
      <c r="D78" s="20">
        <v>94</v>
      </c>
      <c r="E78" s="182">
        <v>0</v>
      </c>
      <c r="F78" s="182">
        <v>2</v>
      </c>
      <c r="G78" s="182">
        <v>1</v>
      </c>
      <c r="H78" s="182">
        <v>1</v>
      </c>
      <c r="I78" s="182">
        <v>1</v>
      </c>
      <c r="J78" s="182"/>
      <c r="K78" s="182"/>
      <c r="L78" s="182"/>
      <c r="M78" s="182"/>
      <c r="N78" s="182"/>
      <c r="O78" s="56">
        <v>42857</v>
      </c>
      <c r="P78" s="134" t="b">
        <v>1</v>
      </c>
      <c r="Q78" s="134" t="b">
        <v>1</v>
      </c>
      <c r="R78">
        <f t="shared" si="7"/>
        <v>1</v>
      </c>
      <c r="S78">
        <f t="shared" si="8"/>
        <v>1.25</v>
      </c>
      <c r="T78">
        <f t="shared" si="9"/>
        <v>2</v>
      </c>
      <c r="U78">
        <f t="shared" si="10"/>
        <v>4</v>
      </c>
      <c r="W78" s="134" t="s">
        <v>18</v>
      </c>
      <c r="X78" s="134">
        <v>1</v>
      </c>
      <c r="Y78" s="134" t="s">
        <v>18</v>
      </c>
      <c r="Z78" s="134">
        <v>1</v>
      </c>
      <c r="AD78" s="134">
        <f t="shared" si="6"/>
        <v>94</v>
      </c>
      <c r="AE78" s="43">
        <f>IF(IFERROR(DATEDIF(AE$3,$O78,"D")&gt;=0,FALSE),IFERROR(AVERAGE($E78:E78),"N/A"),"")</f>
        <v>0</v>
      </c>
      <c r="AF78" s="43">
        <f>IF(IFERROR(DATEDIF(AF$3,$O78,"D")&gt;=0,FALSE),IFERROR(AVERAGE($E78:F78),"N/A"),"")</f>
        <v>1</v>
      </c>
      <c r="AG78" s="43">
        <f>IF(IFERROR(DATEDIF(AG$3,$O78,"D")&gt;=0,FALSE),IFERROR(AVERAGE($E78:G78),"N/A"),"")</f>
        <v>1</v>
      </c>
      <c r="AH78" s="43">
        <f>IF(IFERROR(DATEDIF(AH$3,$O78,"D")&gt;=0,FALSE),IFERROR(AVERAGE($E78:H78),"N/A"),"")</f>
        <v>1</v>
      </c>
      <c r="AI78" s="43">
        <f>IF(IFERROR(DATEDIF(AI$3,$O78,"D")&gt;=0,FALSE),IFERROR(AVERAGE($E78:I78),"N/A"),"")</f>
        <v>1</v>
      </c>
      <c r="AJ78" s="43">
        <f>IF(IFERROR(DATEDIF(AJ$3,$O78,"D")&gt;=0,FALSE),IFERROR(AVERAGE($E78:J78),"N/A"),"")</f>
        <v>1</v>
      </c>
      <c r="AK78" s="43" t="str">
        <f>IF(IFERROR(DATEDIF(AK$3,$O78,"D")&gt;=0,FALSE),IFERROR(AVERAGE($E78:K78),"N/A"),"")</f>
        <v/>
      </c>
      <c r="AL78" s="43" t="str">
        <f>IF(IFERROR(DATEDIF(AL$3,$O78,"D")&gt;=0,FALSE),IFERROR(AVERAGE($E78:L78),"N/A"),"")</f>
        <v/>
      </c>
      <c r="AM78" s="43" t="str">
        <f>IF(IFERROR(DATEDIF(AM$3,$O78,"D")&gt;=0,FALSE),IFERROR(AVERAGE($E78:M78),"N/A"),"")</f>
        <v/>
      </c>
      <c r="AN78" s="128" t="str">
        <f>IF(IFERROR(DATEDIF(AN$3,$O78,"D")&gt;=0,FALSE),IFERROR(AVERAGE($E78:N78),"N/A"),"")</f>
        <v/>
      </c>
    </row>
    <row r="79" spans="4:40" ht="15.75" x14ac:dyDescent="0.25">
      <c r="D79" s="21">
        <v>95</v>
      </c>
      <c r="E79" s="182">
        <v>0</v>
      </c>
      <c r="F79" s="182">
        <v>0</v>
      </c>
      <c r="G79" s="182">
        <v>0</v>
      </c>
      <c r="H79" s="182"/>
      <c r="I79" s="182"/>
      <c r="J79" s="182"/>
      <c r="K79" s="182"/>
      <c r="L79" s="182"/>
      <c r="M79" s="182"/>
      <c r="N79" s="182"/>
      <c r="O79" s="56">
        <v>42849</v>
      </c>
      <c r="P79" s="134" t="b">
        <v>1</v>
      </c>
      <c r="Q79" s="134" t="b">
        <v>1</v>
      </c>
      <c r="R79">
        <f t="shared" si="7"/>
        <v>0</v>
      </c>
      <c r="S79" t="str">
        <f t="shared" si="8"/>
        <v/>
      </c>
      <c r="T79">
        <f t="shared" si="9"/>
        <v>0</v>
      </c>
      <c r="U79">
        <f t="shared" si="10"/>
        <v>0</v>
      </c>
      <c r="W79" s="134" t="s">
        <v>18</v>
      </c>
      <c r="X79" s="134">
        <v>0</v>
      </c>
      <c r="Y79" s="134" t="s">
        <v>18</v>
      </c>
      <c r="Z79" s="134">
        <v>0</v>
      </c>
      <c r="AD79" s="134">
        <f t="shared" si="6"/>
        <v>95</v>
      </c>
      <c r="AE79" s="43">
        <f>IF(IFERROR(DATEDIF(AE$3,$O79,"D")&gt;=0,FALSE),IFERROR(AVERAGE($E79:E79),"N/A"),"")</f>
        <v>0</v>
      </c>
      <c r="AF79" s="43">
        <f>IF(IFERROR(DATEDIF(AF$3,$O79,"D")&gt;=0,FALSE),IFERROR(AVERAGE($E79:F79),"N/A"),"")</f>
        <v>0</v>
      </c>
      <c r="AG79" s="43">
        <f>IF(IFERROR(DATEDIF(AG$3,$O79,"D")&gt;=0,FALSE),IFERROR(AVERAGE($E79:G79),"N/A"),"")</f>
        <v>0</v>
      </c>
      <c r="AH79" s="43" t="str">
        <f>IF(IFERROR(DATEDIF(AH$3,$O79,"D")&gt;=0,FALSE),IFERROR(AVERAGE($E79:H79),"N/A"),"")</f>
        <v/>
      </c>
      <c r="AI79" s="43" t="str">
        <f>IF(IFERROR(DATEDIF(AI$3,$O79,"D")&gt;=0,FALSE),IFERROR(AVERAGE($E79:I79),"N/A"),"")</f>
        <v/>
      </c>
      <c r="AJ79" s="43" t="str">
        <f>IF(IFERROR(DATEDIF(AJ$3,$O79,"D")&gt;=0,FALSE),IFERROR(AVERAGE($E79:J79),"N/A"),"")</f>
        <v/>
      </c>
      <c r="AK79" s="43" t="str">
        <f>IF(IFERROR(DATEDIF(AK$3,$O79,"D")&gt;=0,FALSE),IFERROR(AVERAGE($E79:K79),"N/A"),"")</f>
        <v/>
      </c>
      <c r="AL79" s="43" t="str">
        <f>IF(IFERROR(DATEDIF(AL$3,$O79,"D")&gt;=0,FALSE),IFERROR(AVERAGE($E79:L79),"N/A"),"")</f>
        <v/>
      </c>
      <c r="AM79" s="43" t="str">
        <f>IF(IFERROR(DATEDIF(AM$3,$O79,"D")&gt;=0,FALSE),IFERROR(AVERAGE($E79:M79),"N/A"),"")</f>
        <v/>
      </c>
      <c r="AN79" s="128" t="str">
        <f>IF(IFERROR(DATEDIF(AN$3,$O79,"D")&gt;=0,FALSE),IFERROR(AVERAGE($E79:N79),"N/A"),"")</f>
        <v/>
      </c>
    </row>
    <row r="80" spans="4:40" ht="15.75" x14ac:dyDescent="0.25">
      <c r="D80" s="20">
        <v>96</v>
      </c>
      <c r="E80" s="182">
        <v>3</v>
      </c>
      <c r="F80" s="182"/>
      <c r="G80" s="182"/>
      <c r="H80" s="182"/>
      <c r="I80" s="182"/>
      <c r="J80" s="182"/>
      <c r="K80" s="182"/>
      <c r="L80" s="182"/>
      <c r="M80" s="182"/>
      <c r="N80" s="182"/>
      <c r="O80" s="56">
        <v>42842</v>
      </c>
      <c r="P80" s="134" t="b">
        <v>1</v>
      </c>
      <c r="Q80" s="134" t="b">
        <v>1</v>
      </c>
      <c r="R80">
        <f t="shared" si="7"/>
        <v>3</v>
      </c>
      <c r="S80">
        <f t="shared" si="8"/>
        <v>3</v>
      </c>
      <c r="T80">
        <f t="shared" si="9"/>
        <v>3</v>
      </c>
      <c r="U80">
        <f t="shared" si="10"/>
        <v>1</v>
      </c>
      <c r="W80" s="134" t="s">
        <v>18</v>
      </c>
      <c r="X80" s="134">
        <v>3</v>
      </c>
      <c r="Y80" s="134" t="s">
        <v>18</v>
      </c>
      <c r="Z80" s="134">
        <v>3</v>
      </c>
      <c r="AD80" s="134">
        <f t="shared" si="6"/>
        <v>96</v>
      </c>
      <c r="AE80" s="43">
        <f>IF(IFERROR(DATEDIF(AE$3,$O80,"D")&gt;=0,FALSE),IFERROR(AVERAGE($E80:E80),"N/A"),"")</f>
        <v>3</v>
      </c>
      <c r="AF80" s="43" t="str">
        <f>IF(IFERROR(DATEDIF(AF$3,$O80,"D")&gt;=0,FALSE),IFERROR(AVERAGE($E80:F80),"N/A"),"")</f>
        <v/>
      </c>
      <c r="AG80" s="43" t="str">
        <f>IF(IFERROR(DATEDIF(AG$3,$O80,"D")&gt;=0,FALSE),IFERROR(AVERAGE($E80:G80),"N/A"),"")</f>
        <v/>
      </c>
      <c r="AH80" s="43" t="str">
        <f>IF(IFERROR(DATEDIF(AH$3,$O80,"D")&gt;=0,FALSE),IFERROR(AVERAGE($E80:H80),"N/A"),"")</f>
        <v/>
      </c>
      <c r="AI80" s="43" t="str">
        <f>IF(IFERROR(DATEDIF(AI$3,$O80,"D")&gt;=0,FALSE),IFERROR(AVERAGE($E80:I80),"N/A"),"")</f>
        <v/>
      </c>
      <c r="AJ80" s="43" t="str">
        <f>IF(IFERROR(DATEDIF(AJ$3,$O80,"D")&gt;=0,FALSE),IFERROR(AVERAGE($E80:J80),"N/A"),"")</f>
        <v/>
      </c>
      <c r="AK80" s="43" t="str">
        <f>IF(IFERROR(DATEDIF(AK$3,$O80,"D")&gt;=0,FALSE),IFERROR(AVERAGE($E80:K80),"N/A"),"")</f>
        <v/>
      </c>
      <c r="AL80" s="43" t="str">
        <f>IF(IFERROR(DATEDIF(AL$3,$O80,"D")&gt;=0,FALSE),IFERROR(AVERAGE($E80:L80),"N/A"),"")</f>
        <v/>
      </c>
      <c r="AM80" s="43" t="str">
        <f>IF(IFERROR(DATEDIF(AM$3,$O80,"D")&gt;=0,FALSE),IFERROR(AVERAGE($E80:M80),"N/A"),"")</f>
        <v/>
      </c>
      <c r="AN80" s="128" t="str">
        <f>IF(IFERROR(DATEDIF(AN$3,$O80,"D")&gt;=0,FALSE),IFERROR(AVERAGE($E80:N80),"N/A"),"")</f>
        <v/>
      </c>
    </row>
    <row r="81" spans="4:40" ht="15.75" x14ac:dyDescent="0.25">
      <c r="D81" s="20">
        <v>97</v>
      </c>
      <c r="E81" s="182">
        <v>1</v>
      </c>
      <c r="F81" s="182">
        <v>1</v>
      </c>
      <c r="G81" s="182">
        <v>3</v>
      </c>
      <c r="H81" s="182"/>
      <c r="I81" s="182"/>
      <c r="J81" s="182"/>
      <c r="K81" s="182"/>
      <c r="L81" s="182"/>
      <c r="M81" s="182"/>
      <c r="N81" s="182"/>
      <c r="O81" s="56">
        <v>42849</v>
      </c>
      <c r="P81" s="134" t="b">
        <v>1</v>
      </c>
      <c r="Q81" s="134" t="b">
        <v>1</v>
      </c>
      <c r="R81">
        <f t="shared" si="7"/>
        <v>1.6666666666666667</v>
      </c>
      <c r="S81">
        <f t="shared" si="8"/>
        <v>1.6666666666666667</v>
      </c>
      <c r="T81">
        <f t="shared" si="9"/>
        <v>3</v>
      </c>
      <c r="U81">
        <f t="shared" si="10"/>
        <v>3</v>
      </c>
      <c r="W81" s="134" t="s">
        <v>18</v>
      </c>
      <c r="X81" s="134">
        <v>1.6666666666666667</v>
      </c>
      <c r="Y81" s="134" t="s">
        <v>18</v>
      </c>
      <c r="Z81" s="134">
        <v>1.6666666666666667</v>
      </c>
      <c r="AD81" s="134">
        <f t="shared" si="6"/>
        <v>97</v>
      </c>
      <c r="AE81" s="43">
        <f>IF(IFERROR(DATEDIF(AE$3,$O81,"D")&gt;=0,FALSE),IFERROR(AVERAGE($E81:E81),"N/A"),"")</f>
        <v>1</v>
      </c>
      <c r="AF81" s="43">
        <f>IF(IFERROR(DATEDIF(AF$3,$O81,"D")&gt;=0,FALSE),IFERROR(AVERAGE($E81:F81),"N/A"),"")</f>
        <v>1</v>
      </c>
      <c r="AG81" s="43">
        <f>IF(IFERROR(DATEDIF(AG$3,$O81,"D")&gt;=0,FALSE),IFERROR(AVERAGE($E81:G81),"N/A"),"")</f>
        <v>1.6666666666666667</v>
      </c>
      <c r="AH81" s="43" t="str">
        <f>IF(IFERROR(DATEDIF(AH$3,$O81,"D")&gt;=0,FALSE),IFERROR(AVERAGE($E81:H81),"N/A"),"")</f>
        <v/>
      </c>
      <c r="AI81" s="43" t="str">
        <f>IF(IFERROR(DATEDIF(AI$3,$O81,"D")&gt;=0,FALSE),IFERROR(AVERAGE($E81:I81),"N/A"),"")</f>
        <v/>
      </c>
      <c r="AJ81" s="43" t="str">
        <f>IF(IFERROR(DATEDIF(AJ$3,$O81,"D")&gt;=0,FALSE),IFERROR(AVERAGE($E81:J81),"N/A"),"")</f>
        <v/>
      </c>
      <c r="AK81" s="43" t="str">
        <f>IF(IFERROR(DATEDIF(AK$3,$O81,"D")&gt;=0,FALSE),IFERROR(AVERAGE($E81:K81),"N/A"),"")</f>
        <v/>
      </c>
      <c r="AL81" s="43" t="str">
        <f>IF(IFERROR(DATEDIF(AL$3,$O81,"D")&gt;=0,FALSE),IFERROR(AVERAGE($E81:L81),"N/A"),"")</f>
        <v/>
      </c>
      <c r="AM81" s="43" t="str">
        <f>IF(IFERROR(DATEDIF(AM$3,$O81,"D")&gt;=0,FALSE),IFERROR(AVERAGE($E81:M81),"N/A"),"")</f>
        <v/>
      </c>
      <c r="AN81" s="128" t="str">
        <f>IF(IFERROR(DATEDIF(AN$3,$O81,"D")&gt;=0,FALSE),IFERROR(AVERAGE($E81:N81),"N/A"),"")</f>
        <v/>
      </c>
    </row>
    <row r="82" spans="4:40" ht="15.75" x14ac:dyDescent="0.25">
      <c r="D82" s="21">
        <v>98</v>
      </c>
      <c r="E82" s="182">
        <v>4</v>
      </c>
      <c r="F82" s="182">
        <v>0</v>
      </c>
      <c r="G82" s="182">
        <v>0</v>
      </c>
      <c r="H82" s="182">
        <v>2</v>
      </c>
      <c r="I82" s="182"/>
      <c r="J82" s="182"/>
      <c r="K82" s="182"/>
      <c r="L82" s="182"/>
      <c r="M82" s="182"/>
      <c r="N82" s="182"/>
      <c r="O82" s="56">
        <v>42853</v>
      </c>
      <c r="P82" s="134" t="b">
        <v>1</v>
      </c>
      <c r="Q82" s="134" t="b">
        <v>1</v>
      </c>
      <c r="R82">
        <f t="shared" si="7"/>
        <v>1.5</v>
      </c>
      <c r="S82">
        <f t="shared" si="8"/>
        <v>3</v>
      </c>
      <c r="T82">
        <f t="shared" si="9"/>
        <v>4</v>
      </c>
      <c r="U82">
        <f t="shared" si="10"/>
        <v>2</v>
      </c>
      <c r="W82" s="134" t="s">
        <v>18</v>
      </c>
      <c r="X82" s="134">
        <v>1.5</v>
      </c>
      <c r="Y82" s="134" t="s">
        <v>18</v>
      </c>
      <c r="Z82" s="134">
        <v>1.5</v>
      </c>
      <c r="AD82" s="134">
        <f t="shared" si="6"/>
        <v>98</v>
      </c>
      <c r="AE82" s="43">
        <f>IF(IFERROR(DATEDIF(AE$3,$O82,"D")&gt;=0,FALSE),IFERROR(AVERAGE($E82:E82),"N/A"),"")</f>
        <v>4</v>
      </c>
      <c r="AF82" s="43">
        <f>IF(IFERROR(DATEDIF(AF$3,$O82,"D")&gt;=0,FALSE),IFERROR(AVERAGE($E82:F82),"N/A"),"")</f>
        <v>2</v>
      </c>
      <c r="AG82" s="43">
        <f>IF(IFERROR(DATEDIF(AG$3,$O82,"D")&gt;=0,FALSE),IFERROR(AVERAGE($E82:G82),"N/A"),"")</f>
        <v>1.3333333333333333</v>
      </c>
      <c r="AH82" s="43">
        <f>IF(IFERROR(DATEDIF(AH$3,$O82,"D")&gt;=0,FALSE),IFERROR(AVERAGE($E82:H82),"N/A"),"")</f>
        <v>1.5</v>
      </c>
      <c r="AI82" s="43">
        <f>IF(IFERROR(DATEDIF(AI$3,$O82,"D")&gt;=0,FALSE),IFERROR(AVERAGE($E82:I82),"N/A"),"")</f>
        <v>1.5</v>
      </c>
      <c r="AJ82" s="43" t="str">
        <f>IF(IFERROR(DATEDIF(AJ$3,$O82,"D")&gt;=0,FALSE),IFERROR(AVERAGE($E82:J82),"N/A"),"")</f>
        <v/>
      </c>
      <c r="AK82" s="43" t="str">
        <f>IF(IFERROR(DATEDIF(AK$3,$O82,"D")&gt;=0,FALSE),IFERROR(AVERAGE($E82:K82),"N/A"),"")</f>
        <v/>
      </c>
      <c r="AL82" s="43" t="str">
        <f>IF(IFERROR(DATEDIF(AL$3,$O82,"D")&gt;=0,FALSE),IFERROR(AVERAGE($E82:L82),"N/A"),"")</f>
        <v/>
      </c>
      <c r="AM82" s="43" t="str">
        <f>IF(IFERROR(DATEDIF(AM$3,$O82,"D")&gt;=0,FALSE),IFERROR(AVERAGE($E82:M82),"N/A"),"")</f>
        <v/>
      </c>
      <c r="AN82" s="128" t="str">
        <f>IF(IFERROR(DATEDIF(AN$3,$O82,"D")&gt;=0,FALSE),IFERROR(AVERAGE($E82:N82),"N/A"),"")</f>
        <v/>
      </c>
    </row>
    <row r="83" spans="4:40" ht="15.75" x14ac:dyDescent="0.25">
      <c r="D83" s="20">
        <v>99</v>
      </c>
      <c r="E83" s="182">
        <v>4</v>
      </c>
      <c r="F83" s="182">
        <v>0</v>
      </c>
      <c r="G83" s="182">
        <v>0</v>
      </c>
      <c r="H83" s="182"/>
      <c r="I83" s="182"/>
      <c r="J83" s="182"/>
      <c r="K83" s="182"/>
      <c r="L83" s="182"/>
      <c r="M83" s="182"/>
      <c r="N83" s="182"/>
      <c r="O83" s="56">
        <v>42849</v>
      </c>
      <c r="P83" s="134" t="b">
        <v>1</v>
      </c>
      <c r="Q83" s="134" t="b">
        <v>1</v>
      </c>
      <c r="R83">
        <f t="shared" si="7"/>
        <v>1.3333333333333333</v>
      </c>
      <c r="S83">
        <f t="shared" si="8"/>
        <v>4</v>
      </c>
      <c r="T83">
        <f t="shared" si="9"/>
        <v>4</v>
      </c>
      <c r="U83">
        <f t="shared" si="10"/>
        <v>1</v>
      </c>
      <c r="W83" s="134" t="s">
        <v>18</v>
      </c>
      <c r="X83" s="134">
        <v>1.3333333333333333</v>
      </c>
      <c r="Y83" s="134" t="s">
        <v>18</v>
      </c>
      <c r="Z83" s="134">
        <v>1.3333333333333333</v>
      </c>
      <c r="AD83" s="134">
        <f t="shared" si="6"/>
        <v>99</v>
      </c>
      <c r="AE83" s="43">
        <f>IF(IFERROR(DATEDIF(AE$3,$O83,"D")&gt;=0,FALSE),IFERROR(AVERAGE($E83:E83),"N/A"),"")</f>
        <v>4</v>
      </c>
      <c r="AF83" s="43">
        <f>IF(IFERROR(DATEDIF(AF$3,$O83,"D")&gt;=0,FALSE),IFERROR(AVERAGE($E83:F83),"N/A"),"")</f>
        <v>2</v>
      </c>
      <c r="AG83" s="43">
        <f>IF(IFERROR(DATEDIF(AG$3,$O83,"D")&gt;=0,FALSE),IFERROR(AVERAGE($E83:G83),"N/A"),"")</f>
        <v>1.3333333333333333</v>
      </c>
      <c r="AH83" s="43" t="str">
        <f>IF(IFERROR(DATEDIF(AH$3,$O83,"D")&gt;=0,FALSE),IFERROR(AVERAGE($E83:H83),"N/A"),"")</f>
        <v/>
      </c>
      <c r="AI83" s="43" t="str">
        <f>IF(IFERROR(DATEDIF(AI$3,$O83,"D")&gt;=0,FALSE),IFERROR(AVERAGE($E83:I83),"N/A"),"")</f>
        <v/>
      </c>
      <c r="AJ83" s="43" t="str">
        <f>IF(IFERROR(DATEDIF(AJ$3,$O83,"D")&gt;=0,FALSE),IFERROR(AVERAGE($E83:J83),"N/A"),"")</f>
        <v/>
      </c>
      <c r="AK83" s="43" t="str">
        <f>IF(IFERROR(DATEDIF(AK$3,$O83,"D")&gt;=0,FALSE),IFERROR(AVERAGE($E83:K83),"N/A"),"")</f>
        <v/>
      </c>
      <c r="AL83" s="43" t="str">
        <f>IF(IFERROR(DATEDIF(AL$3,$O83,"D")&gt;=0,FALSE),IFERROR(AVERAGE($E83:L83),"N/A"),"")</f>
        <v/>
      </c>
      <c r="AM83" s="43" t="str">
        <f>IF(IFERROR(DATEDIF(AM$3,$O83,"D")&gt;=0,FALSE),IFERROR(AVERAGE($E83:M83),"N/A"),"")</f>
        <v/>
      </c>
      <c r="AN83" s="128" t="str">
        <f>IF(IFERROR(DATEDIF(AN$3,$O83,"D")&gt;=0,FALSE),IFERROR(AVERAGE($E83:N83),"N/A"),"")</f>
        <v/>
      </c>
    </row>
    <row r="84" spans="4:40" ht="15.75" x14ac:dyDescent="0.25">
      <c r="D84" s="20">
        <v>100</v>
      </c>
      <c r="E84" s="182">
        <v>2</v>
      </c>
      <c r="F84" s="182">
        <v>1</v>
      </c>
      <c r="G84" s="182">
        <v>2</v>
      </c>
      <c r="H84" s="182">
        <v>1</v>
      </c>
      <c r="I84" s="182"/>
      <c r="J84" s="182"/>
      <c r="K84" s="182"/>
      <c r="L84" s="182"/>
      <c r="M84" s="182"/>
      <c r="N84" s="182"/>
      <c r="O84" s="56">
        <v>42852</v>
      </c>
      <c r="P84" s="134" t="b">
        <v>1</v>
      </c>
      <c r="Q84" s="134" t="b">
        <v>1</v>
      </c>
      <c r="R84">
        <f t="shared" si="7"/>
        <v>1.5</v>
      </c>
      <c r="S84">
        <f t="shared" si="8"/>
        <v>1.5</v>
      </c>
      <c r="T84">
        <f t="shared" si="9"/>
        <v>2</v>
      </c>
      <c r="U84">
        <f t="shared" si="10"/>
        <v>4</v>
      </c>
      <c r="W84" s="134" t="s">
        <v>18</v>
      </c>
      <c r="X84" s="134">
        <v>1.5</v>
      </c>
      <c r="Y84" s="134" t="s">
        <v>18</v>
      </c>
      <c r="Z84" s="134">
        <v>1.5</v>
      </c>
      <c r="AD84" s="134">
        <f t="shared" si="6"/>
        <v>100</v>
      </c>
      <c r="AE84" s="43">
        <f>IF(IFERROR(DATEDIF(AE$3,$O84,"D")&gt;=0,FALSE),IFERROR(AVERAGE($E84:E84),"N/A"),"")</f>
        <v>2</v>
      </c>
      <c r="AF84" s="43">
        <f>IF(IFERROR(DATEDIF(AF$3,$O84,"D")&gt;=0,FALSE),IFERROR(AVERAGE($E84:F84),"N/A"),"")</f>
        <v>1.5</v>
      </c>
      <c r="AG84" s="43">
        <f>IF(IFERROR(DATEDIF(AG$3,$O84,"D")&gt;=0,FALSE),IFERROR(AVERAGE($E84:G84),"N/A"),"")</f>
        <v>1.6666666666666667</v>
      </c>
      <c r="AH84" s="43">
        <f>IF(IFERROR(DATEDIF(AH$3,$O84,"D")&gt;=0,FALSE),IFERROR(AVERAGE($E84:H84),"N/A"),"")</f>
        <v>1.5</v>
      </c>
      <c r="AI84" s="43" t="str">
        <f>IF(IFERROR(DATEDIF(AI$3,$O84,"D")&gt;=0,FALSE),IFERROR(AVERAGE($E84:I84),"N/A"),"")</f>
        <v/>
      </c>
      <c r="AJ84" s="43" t="str">
        <f>IF(IFERROR(DATEDIF(AJ$3,$O84,"D")&gt;=0,FALSE),IFERROR(AVERAGE($E84:J84),"N/A"),"")</f>
        <v/>
      </c>
      <c r="AK84" s="43" t="str">
        <f>IF(IFERROR(DATEDIF(AK$3,$O84,"D")&gt;=0,FALSE),IFERROR(AVERAGE($E84:K84),"N/A"),"")</f>
        <v/>
      </c>
      <c r="AL84" s="43" t="str">
        <f>IF(IFERROR(DATEDIF(AL$3,$O84,"D")&gt;=0,FALSE),IFERROR(AVERAGE($E84:L84),"N/A"),"")</f>
        <v/>
      </c>
      <c r="AM84" s="43" t="str">
        <f>IF(IFERROR(DATEDIF(AM$3,$O84,"D")&gt;=0,FALSE),IFERROR(AVERAGE($E84:M84),"N/A"),"")</f>
        <v/>
      </c>
      <c r="AN84" s="128" t="str">
        <f>IF(IFERROR(DATEDIF(AN$3,$O84,"D")&gt;=0,FALSE),IFERROR(AVERAGE($E84:N84),"N/A"),"")</f>
        <v/>
      </c>
    </row>
    <row r="85" spans="4:40" ht="15.75" x14ac:dyDescent="0.25">
      <c r="D85" s="21">
        <v>101</v>
      </c>
      <c r="E85" s="182">
        <v>1</v>
      </c>
      <c r="F85" s="182">
        <v>1</v>
      </c>
      <c r="G85" s="182"/>
      <c r="H85" s="182"/>
      <c r="I85" s="182"/>
      <c r="J85" s="182"/>
      <c r="K85" s="182"/>
      <c r="L85" s="182"/>
      <c r="M85" s="182"/>
      <c r="N85" s="182"/>
      <c r="O85" s="56">
        <v>42849</v>
      </c>
      <c r="P85" s="134" t="b">
        <v>1</v>
      </c>
      <c r="Q85" s="134" t="b">
        <v>1</v>
      </c>
      <c r="R85">
        <f t="shared" si="7"/>
        <v>1</v>
      </c>
      <c r="S85">
        <f t="shared" si="8"/>
        <v>1</v>
      </c>
      <c r="T85">
        <f t="shared" si="9"/>
        <v>1</v>
      </c>
      <c r="U85">
        <f t="shared" si="10"/>
        <v>2</v>
      </c>
      <c r="W85" s="134" t="s">
        <v>18</v>
      </c>
      <c r="X85" s="134">
        <v>1</v>
      </c>
      <c r="Y85" s="134" t="s">
        <v>18</v>
      </c>
      <c r="Z85" s="134">
        <v>1</v>
      </c>
      <c r="AD85" s="134">
        <f t="shared" si="6"/>
        <v>101</v>
      </c>
      <c r="AE85" s="43">
        <f>IF(IFERROR(DATEDIF(AE$3,$O85,"D")&gt;=0,FALSE),IFERROR(AVERAGE($E85:E85),"N/A"),"")</f>
        <v>1</v>
      </c>
      <c r="AF85" s="43">
        <f>IF(IFERROR(DATEDIF(AF$3,$O85,"D")&gt;=0,FALSE),IFERROR(AVERAGE($E85:F85),"N/A"),"")</f>
        <v>1</v>
      </c>
      <c r="AG85" s="43">
        <f>IF(IFERROR(DATEDIF(AG$3,$O85,"D")&gt;=0,FALSE),IFERROR(AVERAGE($E85:G85),"N/A"),"")</f>
        <v>1</v>
      </c>
      <c r="AH85" s="43" t="str">
        <f>IF(IFERROR(DATEDIF(AH$3,$O85,"D")&gt;=0,FALSE),IFERROR(AVERAGE($E85:H85),"N/A"),"")</f>
        <v/>
      </c>
      <c r="AI85" s="43" t="str">
        <f>IF(IFERROR(DATEDIF(AI$3,$O85,"D")&gt;=0,FALSE),IFERROR(AVERAGE($E85:I85),"N/A"),"")</f>
        <v/>
      </c>
      <c r="AJ85" s="43" t="str">
        <f>IF(IFERROR(DATEDIF(AJ$3,$O85,"D")&gt;=0,FALSE),IFERROR(AVERAGE($E85:J85),"N/A"),"")</f>
        <v/>
      </c>
      <c r="AK85" s="43" t="str">
        <f>IF(IFERROR(DATEDIF(AK$3,$O85,"D")&gt;=0,FALSE),IFERROR(AVERAGE($E85:K85),"N/A"),"")</f>
        <v/>
      </c>
      <c r="AL85" s="43" t="str">
        <f>IF(IFERROR(DATEDIF(AL$3,$O85,"D")&gt;=0,FALSE),IFERROR(AVERAGE($E85:L85),"N/A"),"")</f>
        <v/>
      </c>
      <c r="AM85" s="43" t="str">
        <f>IF(IFERROR(DATEDIF(AM$3,$O85,"D")&gt;=0,FALSE),IFERROR(AVERAGE($E85:M85),"N/A"),"")</f>
        <v/>
      </c>
      <c r="AN85" s="128" t="str">
        <f>IF(IFERROR(DATEDIF(AN$3,$O85,"D")&gt;=0,FALSE),IFERROR(AVERAGE($E85:N85),"N/A"),"")</f>
        <v/>
      </c>
    </row>
    <row r="86" spans="4:40" ht="15.75" x14ac:dyDescent="0.25">
      <c r="D86" s="20">
        <v>102</v>
      </c>
      <c r="E86" s="182">
        <v>3</v>
      </c>
      <c r="F86" s="182">
        <v>1</v>
      </c>
      <c r="G86" s="182">
        <v>0</v>
      </c>
      <c r="H86" s="182"/>
      <c r="I86" s="182"/>
      <c r="J86" s="182"/>
      <c r="K86" s="182"/>
      <c r="L86" s="182"/>
      <c r="M86" s="182"/>
      <c r="N86" s="182"/>
      <c r="O86" s="56">
        <v>42850</v>
      </c>
      <c r="P86" s="134" t="b">
        <v>1</v>
      </c>
      <c r="Q86" s="134" t="b">
        <v>1</v>
      </c>
      <c r="R86">
        <f t="shared" si="7"/>
        <v>1.3333333333333333</v>
      </c>
      <c r="S86">
        <f t="shared" si="8"/>
        <v>2</v>
      </c>
      <c r="T86">
        <f t="shared" si="9"/>
        <v>3</v>
      </c>
      <c r="U86">
        <f t="shared" si="10"/>
        <v>2</v>
      </c>
      <c r="W86" s="134" t="s">
        <v>18</v>
      </c>
      <c r="X86" s="134">
        <v>1.3333333333333333</v>
      </c>
      <c r="Y86" s="134" t="s">
        <v>18</v>
      </c>
      <c r="Z86" s="134">
        <v>1.3333333333333333</v>
      </c>
      <c r="AD86" s="134">
        <f t="shared" si="6"/>
        <v>102</v>
      </c>
      <c r="AE86" s="43">
        <f>IF(IFERROR(DATEDIF(AE$3,$O86,"D")&gt;=0,FALSE),IFERROR(AVERAGE($E86:E86),"N/A"),"")</f>
        <v>3</v>
      </c>
      <c r="AF86" s="43">
        <f>IF(IFERROR(DATEDIF(AF$3,$O86,"D")&gt;=0,FALSE),IFERROR(AVERAGE($E86:F86),"N/A"),"")</f>
        <v>2</v>
      </c>
      <c r="AG86" s="43">
        <f>IF(IFERROR(DATEDIF(AG$3,$O86,"D")&gt;=0,FALSE),IFERROR(AVERAGE($E86:G86),"N/A"),"")</f>
        <v>1.3333333333333333</v>
      </c>
      <c r="AH86" s="43">
        <f>IF(IFERROR(DATEDIF(AH$3,$O86,"D")&gt;=0,FALSE),IFERROR(AVERAGE($E86:H86),"N/A"),"")</f>
        <v>1.3333333333333333</v>
      </c>
      <c r="AI86" s="43" t="str">
        <f>IF(IFERROR(DATEDIF(AI$3,$O86,"D")&gt;=0,FALSE),IFERROR(AVERAGE($E86:I86),"N/A"),"")</f>
        <v/>
      </c>
      <c r="AJ86" s="43" t="str">
        <f>IF(IFERROR(DATEDIF(AJ$3,$O86,"D")&gt;=0,FALSE),IFERROR(AVERAGE($E86:J86),"N/A"),"")</f>
        <v/>
      </c>
      <c r="AK86" s="43" t="str">
        <f>IF(IFERROR(DATEDIF(AK$3,$O86,"D")&gt;=0,FALSE),IFERROR(AVERAGE($E86:K86),"N/A"),"")</f>
        <v/>
      </c>
      <c r="AL86" s="43" t="str">
        <f>IF(IFERROR(DATEDIF(AL$3,$O86,"D")&gt;=0,FALSE),IFERROR(AVERAGE($E86:L86),"N/A"),"")</f>
        <v/>
      </c>
      <c r="AM86" s="43" t="str">
        <f>IF(IFERROR(DATEDIF(AM$3,$O86,"D")&gt;=0,FALSE),IFERROR(AVERAGE($E86:M86),"N/A"),"")</f>
        <v/>
      </c>
      <c r="AN86" s="128" t="str">
        <f>IF(IFERROR(DATEDIF(AN$3,$O86,"D")&gt;=0,FALSE),IFERROR(AVERAGE($E86:N86),"N/A"),"")</f>
        <v/>
      </c>
    </row>
    <row r="87" spans="4:40" ht="15.75" x14ac:dyDescent="0.25">
      <c r="D87" s="20">
        <v>103</v>
      </c>
      <c r="E87" s="182">
        <v>1</v>
      </c>
      <c r="F87" s="182">
        <v>2</v>
      </c>
      <c r="G87" s="182">
        <v>1</v>
      </c>
      <c r="H87" s="182">
        <v>1</v>
      </c>
      <c r="I87" s="182"/>
      <c r="J87" s="182"/>
      <c r="K87" s="182"/>
      <c r="L87" s="182"/>
      <c r="M87" s="182"/>
      <c r="N87" s="182"/>
      <c r="O87" s="56">
        <v>42852</v>
      </c>
      <c r="P87" s="134" t="b">
        <v>1</v>
      </c>
      <c r="Q87" s="134" t="b">
        <v>1</v>
      </c>
      <c r="R87">
        <f t="shared" si="7"/>
        <v>1.25</v>
      </c>
      <c r="S87">
        <f t="shared" si="8"/>
        <v>1.25</v>
      </c>
      <c r="T87">
        <f t="shared" si="9"/>
        <v>2</v>
      </c>
      <c r="U87">
        <f t="shared" si="10"/>
        <v>4</v>
      </c>
      <c r="W87" s="134" t="s">
        <v>18</v>
      </c>
      <c r="X87" s="134">
        <v>1.25</v>
      </c>
      <c r="Y87" s="134" t="s">
        <v>18</v>
      </c>
      <c r="Z87" s="134">
        <v>1.25</v>
      </c>
      <c r="AD87" s="134">
        <f t="shared" si="6"/>
        <v>103</v>
      </c>
      <c r="AE87" s="43">
        <f>IF(IFERROR(DATEDIF(AE$3,$O87,"D")&gt;=0,FALSE),IFERROR(AVERAGE($E87:E87),"N/A"),"")</f>
        <v>1</v>
      </c>
      <c r="AF87" s="43">
        <f>IF(IFERROR(DATEDIF(AF$3,$O87,"D")&gt;=0,FALSE),IFERROR(AVERAGE($E87:F87),"N/A"),"")</f>
        <v>1.5</v>
      </c>
      <c r="AG87" s="43">
        <f>IF(IFERROR(DATEDIF(AG$3,$O87,"D")&gt;=0,FALSE),IFERROR(AVERAGE($E87:G87),"N/A"),"")</f>
        <v>1.3333333333333333</v>
      </c>
      <c r="AH87" s="43">
        <f>IF(IFERROR(DATEDIF(AH$3,$O87,"D")&gt;=0,FALSE),IFERROR(AVERAGE($E87:H87),"N/A"),"")</f>
        <v>1.25</v>
      </c>
      <c r="AI87" s="43" t="str">
        <f>IF(IFERROR(DATEDIF(AI$3,$O87,"D")&gt;=0,FALSE),IFERROR(AVERAGE($E87:I87),"N/A"),"")</f>
        <v/>
      </c>
      <c r="AJ87" s="43" t="str">
        <f>IF(IFERROR(DATEDIF(AJ$3,$O87,"D")&gt;=0,FALSE),IFERROR(AVERAGE($E87:J87),"N/A"),"")</f>
        <v/>
      </c>
      <c r="AK87" s="43" t="str">
        <f>IF(IFERROR(DATEDIF(AK$3,$O87,"D")&gt;=0,FALSE),IFERROR(AVERAGE($E87:K87),"N/A"),"")</f>
        <v/>
      </c>
      <c r="AL87" s="43" t="str">
        <f>IF(IFERROR(DATEDIF(AL$3,$O87,"D")&gt;=0,FALSE),IFERROR(AVERAGE($E87:L87),"N/A"),"")</f>
        <v/>
      </c>
      <c r="AM87" s="43" t="str">
        <f>IF(IFERROR(DATEDIF(AM$3,$O87,"D")&gt;=0,FALSE),IFERROR(AVERAGE($E87:M87),"N/A"),"")</f>
        <v/>
      </c>
      <c r="AN87" s="128" t="str">
        <f>IF(IFERROR(DATEDIF(AN$3,$O87,"D")&gt;=0,FALSE),IFERROR(AVERAGE($E87:N87),"N/A"),"")</f>
        <v/>
      </c>
    </row>
    <row r="88" spans="4:40" ht="15.75" x14ac:dyDescent="0.25">
      <c r="D88" s="21">
        <v>104</v>
      </c>
      <c r="E88" s="182">
        <v>2</v>
      </c>
      <c r="F88" s="182">
        <v>1</v>
      </c>
      <c r="G88" s="182">
        <v>0</v>
      </c>
      <c r="H88" s="182">
        <v>0</v>
      </c>
      <c r="I88" s="182">
        <v>3</v>
      </c>
      <c r="J88" s="182">
        <v>3</v>
      </c>
      <c r="K88" s="182">
        <v>2</v>
      </c>
      <c r="L88" s="182"/>
      <c r="M88" s="182"/>
      <c r="N88" s="182"/>
      <c r="O88" s="56">
        <v>42863</v>
      </c>
      <c r="P88" s="134" t="b">
        <v>1</v>
      </c>
      <c r="Q88" s="134" t="b">
        <v>1</v>
      </c>
      <c r="R88">
        <f t="shared" si="7"/>
        <v>1.5714285714285714</v>
      </c>
      <c r="S88">
        <f t="shared" si="8"/>
        <v>2.2000000000000002</v>
      </c>
      <c r="T88">
        <f t="shared" si="9"/>
        <v>3</v>
      </c>
      <c r="U88">
        <f t="shared" si="10"/>
        <v>5</v>
      </c>
      <c r="W88" s="134" t="s">
        <v>18</v>
      </c>
      <c r="X88" s="134">
        <v>1.5714285714285714</v>
      </c>
      <c r="Y88" s="134" t="s">
        <v>18</v>
      </c>
      <c r="Z88" s="134">
        <v>1.5714285714285714</v>
      </c>
      <c r="AD88" s="134">
        <f t="shared" si="6"/>
        <v>104</v>
      </c>
      <c r="AE88" s="43">
        <f>IF(IFERROR(DATEDIF(AE$3,$O88,"D")&gt;=0,FALSE),IFERROR(AVERAGE($E88:E88),"N/A"),"")</f>
        <v>2</v>
      </c>
      <c r="AF88" s="43">
        <f>IF(IFERROR(DATEDIF(AF$3,$O88,"D")&gt;=0,FALSE),IFERROR(AVERAGE($E88:F88),"N/A"),"")</f>
        <v>1.5</v>
      </c>
      <c r="AG88" s="43">
        <f>IF(IFERROR(DATEDIF(AG$3,$O88,"D")&gt;=0,FALSE),IFERROR(AVERAGE($E88:G88),"N/A"),"")</f>
        <v>1</v>
      </c>
      <c r="AH88" s="43">
        <f>IF(IFERROR(DATEDIF(AH$3,$O88,"D")&gt;=0,FALSE),IFERROR(AVERAGE($E88:H88),"N/A"),"")</f>
        <v>0.75</v>
      </c>
      <c r="AI88" s="43">
        <f>IF(IFERROR(DATEDIF(AI$3,$O88,"D")&gt;=0,FALSE),IFERROR(AVERAGE($E88:I88),"N/A"),"")</f>
        <v>1.2</v>
      </c>
      <c r="AJ88" s="43">
        <f>IF(IFERROR(DATEDIF(AJ$3,$O88,"D")&gt;=0,FALSE),IFERROR(AVERAGE($E88:J88),"N/A"),"")</f>
        <v>1.5</v>
      </c>
      <c r="AK88" s="43">
        <f>IF(IFERROR(DATEDIF(AK$3,$O88,"D")&gt;=0,FALSE),IFERROR(AVERAGE($E88:K88),"N/A"),"")</f>
        <v>1.5714285714285714</v>
      </c>
      <c r="AL88" s="43" t="str">
        <f>IF(IFERROR(DATEDIF(AL$3,$O88,"D")&gt;=0,FALSE),IFERROR(AVERAGE($E88:L88),"N/A"),"")</f>
        <v/>
      </c>
      <c r="AM88" s="43" t="str">
        <f>IF(IFERROR(DATEDIF(AM$3,$O88,"D")&gt;=0,FALSE),IFERROR(AVERAGE($E88:M88),"N/A"),"")</f>
        <v/>
      </c>
      <c r="AN88" s="128" t="str">
        <f>IF(IFERROR(DATEDIF(AN$3,$O88,"D")&gt;=0,FALSE),IFERROR(AVERAGE($E88:N88),"N/A"),"")</f>
        <v/>
      </c>
    </row>
    <row r="89" spans="4:40" ht="15.75" x14ac:dyDescent="0.25">
      <c r="D89" s="20">
        <v>105</v>
      </c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56">
        <v>42836</v>
      </c>
      <c r="P89" s="134" t="b">
        <v>0</v>
      </c>
      <c r="Q89" s="134" t="s">
        <v>48</v>
      </c>
      <c r="R89" t="str">
        <f t="shared" si="7"/>
        <v>N/A</v>
      </c>
      <c r="S89" t="str">
        <f t="shared" si="8"/>
        <v/>
      </c>
      <c r="T89" t="str">
        <f t="shared" si="9"/>
        <v/>
      </c>
      <c r="U89">
        <f t="shared" si="10"/>
        <v>0</v>
      </c>
      <c r="W89" s="134">
        <v>0</v>
      </c>
      <c r="X89" s="134" t="s">
        <v>18</v>
      </c>
      <c r="Y89" s="134">
        <v>0</v>
      </c>
      <c r="Z89" s="134" t="s">
        <v>18</v>
      </c>
      <c r="AD89" s="134">
        <f t="shared" si="6"/>
        <v>105</v>
      </c>
      <c r="AE89" s="43" t="str">
        <f>IF(IFERROR(DATEDIF(AE$3,$O89,"D")&gt;=0,FALSE),IFERROR(AVERAGE($E89:E89),"N/A"),"")</f>
        <v/>
      </c>
      <c r="AF89" s="43" t="str">
        <f>IF(IFERROR(DATEDIF(AF$3,$O89,"D")&gt;=0,FALSE),IFERROR(AVERAGE($E89:F89),"N/A"),"")</f>
        <v/>
      </c>
      <c r="AG89" s="43" t="str">
        <f>IF(IFERROR(DATEDIF(AG$3,$O89,"D")&gt;=0,FALSE),IFERROR(AVERAGE($E89:G89),"N/A"),"")</f>
        <v/>
      </c>
      <c r="AH89" s="43" t="str">
        <f>IF(IFERROR(DATEDIF(AH$3,$O89,"D")&gt;=0,FALSE),IFERROR(AVERAGE($E89:H89),"N/A"),"")</f>
        <v/>
      </c>
      <c r="AI89" s="43" t="str">
        <f>IF(IFERROR(DATEDIF(AI$3,$O89,"D")&gt;=0,FALSE),IFERROR(AVERAGE($E89:I89),"N/A"),"")</f>
        <v/>
      </c>
      <c r="AJ89" s="43" t="str">
        <f>IF(IFERROR(DATEDIF(AJ$3,$O89,"D")&gt;=0,FALSE),IFERROR(AVERAGE($E89:J89),"N/A"),"")</f>
        <v/>
      </c>
      <c r="AK89" s="43" t="str">
        <f>IF(IFERROR(DATEDIF(AK$3,$O89,"D")&gt;=0,FALSE),IFERROR(AVERAGE($E89:K89),"N/A"),"")</f>
        <v/>
      </c>
      <c r="AL89" s="43" t="str">
        <f>IF(IFERROR(DATEDIF(AL$3,$O89,"D")&gt;=0,FALSE),IFERROR(AVERAGE($E89:L89),"N/A"),"")</f>
        <v/>
      </c>
      <c r="AM89" s="43" t="str">
        <f>IF(IFERROR(DATEDIF(AM$3,$O89,"D")&gt;=0,FALSE),IFERROR(AVERAGE($E89:M89),"N/A"),"")</f>
        <v/>
      </c>
      <c r="AN89" s="128" t="str">
        <f>IF(IFERROR(DATEDIF(AN$3,$O89,"D")&gt;=0,FALSE),IFERROR(AVERAGE($E89:N89),"N/A"),"")</f>
        <v/>
      </c>
    </row>
    <row r="90" spans="4:40" ht="15.75" x14ac:dyDescent="0.25">
      <c r="D90" s="20">
        <v>106</v>
      </c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56">
        <v>42837</v>
      </c>
      <c r="P90" s="134" t="b">
        <v>1</v>
      </c>
      <c r="Q90" s="134" t="s">
        <v>48</v>
      </c>
      <c r="R90" t="str">
        <f t="shared" si="7"/>
        <v>N/A</v>
      </c>
      <c r="S90" t="str">
        <f t="shared" si="8"/>
        <v/>
      </c>
      <c r="T90" t="str">
        <f t="shared" si="9"/>
        <v/>
      </c>
      <c r="U90">
        <f t="shared" si="10"/>
        <v>0</v>
      </c>
      <c r="W90" s="134" t="s">
        <v>18</v>
      </c>
      <c r="X90" s="134">
        <v>0</v>
      </c>
      <c r="Y90" s="134">
        <v>0</v>
      </c>
      <c r="Z90" s="134" t="s">
        <v>18</v>
      </c>
      <c r="AD90" s="134">
        <f t="shared" si="6"/>
        <v>106</v>
      </c>
      <c r="AE90" s="43" t="str">
        <f>IF(IFERROR(DATEDIF(AE$3,$O90,"D")&gt;=0,FALSE),IFERROR(AVERAGE($E90:E90),"N/A"),"")</f>
        <v/>
      </c>
      <c r="AF90" s="43" t="str">
        <f>IF(IFERROR(DATEDIF(AF$3,$O90,"D")&gt;=0,FALSE),IFERROR(AVERAGE($E90:F90),"N/A"),"")</f>
        <v/>
      </c>
      <c r="AG90" s="43" t="str">
        <f>IF(IFERROR(DATEDIF(AG$3,$O90,"D")&gt;=0,FALSE),IFERROR(AVERAGE($E90:G90),"N/A"),"")</f>
        <v/>
      </c>
      <c r="AH90" s="43" t="str">
        <f>IF(IFERROR(DATEDIF(AH$3,$O90,"D")&gt;=0,FALSE),IFERROR(AVERAGE($E90:H90),"N/A"),"")</f>
        <v/>
      </c>
      <c r="AI90" s="43" t="str">
        <f>IF(IFERROR(DATEDIF(AI$3,$O90,"D")&gt;=0,FALSE),IFERROR(AVERAGE($E90:I90),"N/A"),"")</f>
        <v/>
      </c>
      <c r="AJ90" s="43" t="str">
        <f>IF(IFERROR(DATEDIF(AJ$3,$O90,"D")&gt;=0,FALSE),IFERROR(AVERAGE($E90:J90),"N/A"),"")</f>
        <v/>
      </c>
      <c r="AK90" s="43" t="str">
        <f>IF(IFERROR(DATEDIF(AK$3,$O90,"D")&gt;=0,FALSE),IFERROR(AVERAGE($E90:K90),"N/A"),"")</f>
        <v/>
      </c>
      <c r="AL90" s="43" t="str">
        <f>IF(IFERROR(DATEDIF(AL$3,$O90,"D")&gt;=0,FALSE),IFERROR(AVERAGE($E90:L90),"N/A"),"")</f>
        <v/>
      </c>
      <c r="AM90" s="43" t="str">
        <f>IF(IFERROR(DATEDIF(AM$3,$O90,"D")&gt;=0,FALSE),IFERROR(AVERAGE($E90:M90),"N/A"),"")</f>
        <v/>
      </c>
      <c r="AN90" s="128" t="str">
        <f>IF(IFERROR(DATEDIF(AN$3,$O90,"D")&gt;=0,FALSE),IFERROR(AVERAGE($E90:N90),"N/A"),"")</f>
        <v/>
      </c>
    </row>
    <row r="91" spans="4:40" ht="15.75" x14ac:dyDescent="0.25">
      <c r="D91" s="21">
        <v>107</v>
      </c>
      <c r="E91" s="182">
        <v>0</v>
      </c>
      <c r="F91" s="182"/>
      <c r="G91" s="182"/>
      <c r="H91" s="182"/>
      <c r="I91" s="182"/>
      <c r="J91" s="182"/>
      <c r="K91" s="182"/>
      <c r="L91" s="182"/>
      <c r="M91" s="182"/>
      <c r="N91" s="182"/>
      <c r="O91" s="56">
        <v>42839</v>
      </c>
      <c r="P91" s="134" t="b">
        <v>1</v>
      </c>
      <c r="Q91" s="134" t="b">
        <v>0</v>
      </c>
      <c r="R91">
        <f t="shared" si="7"/>
        <v>0</v>
      </c>
      <c r="S91" t="str">
        <f t="shared" si="8"/>
        <v/>
      </c>
      <c r="T91">
        <f t="shared" si="9"/>
        <v>0</v>
      </c>
      <c r="U91">
        <f t="shared" si="10"/>
        <v>0</v>
      </c>
      <c r="W91" s="134" t="s">
        <v>18</v>
      </c>
      <c r="X91" s="134">
        <v>0</v>
      </c>
      <c r="Y91" s="134">
        <v>0</v>
      </c>
      <c r="Z91" s="134" t="s">
        <v>18</v>
      </c>
      <c r="AD91" s="134">
        <f t="shared" si="6"/>
        <v>107</v>
      </c>
      <c r="AE91" s="43">
        <f>IF(IFERROR(DATEDIF(AE$3,$O91,"D")&gt;=0,FALSE),IFERROR(AVERAGE($E91:E91),"N/A"),"")</f>
        <v>0</v>
      </c>
      <c r="AF91" s="43" t="str">
        <f>IF(IFERROR(DATEDIF(AF$3,$O91,"D")&gt;=0,FALSE),IFERROR(AVERAGE($E91:F91),"N/A"),"")</f>
        <v/>
      </c>
      <c r="AG91" s="43" t="str">
        <f>IF(IFERROR(DATEDIF(AG$3,$O91,"D")&gt;=0,FALSE),IFERROR(AVERAGE($E91:G91),"N/A"),"")</f>
        <v/>
      </c>
      <c r="AH91" s="43" t="str">
        <f>IF(IFERROR(DATEDIF(AH$3,$O91,"D")&gt;=0,FALSE),IFERROR(AVERAGE($E91:H91),"N/A"),"")</f>
        <v/>
      </c>
      <c r="AI91" s="43" t="str">
        <f>IF(IFERROR(DATEDIF(AI$3,$O91,"D")&gt;=0,FALSE),IFERROR(AVERAGE($E91:I91),"N/A"),"")</f>
        <v/>
      </c>
      <c r="AJ91" s="43" t="str">
        <f>IF(IFERROR(DATEDIF(AJ$3,$O91,"D")&gt;=0,FALSE),IFERROR(AVERAGE($E91:J91),"N/A"),"")</f>
        <v/>
      </c>
      <c r="AK91" s="43" t="str">
        <f>IF(IFERROR(DATEDIF(AK$3,$O91,"D")&gt;=0,FALSE),IFERROR(AVERAGE($E91:K91),"N/A"),"")</f>
        <v/>
      </c>
      <c r="AL91" s="43" t="str">
        <f>IF(IFERROR(DATEDIF(AL$3,$O91,"D")&gt;=0,FALSE),IFERROR(AVERAGE($E91:L91),"N/A"),"")</f>
        <v/>
      </c>
      <c r="AM91" s="43" t="str">
        <f>IF(IFERROR(DATEDIF(AM$3,$O91,"D")&gt;=0,FALSE),IFERROR(AVERAGE($E91:M91),"N/A"),"")</f>
        <v/>
      </c>
      <c r="AN91" s="128" t="str">
        <f>IF(IFERROR(DATEDIF(AN$3,$O91,"D")&gt;=0,FALSE),IFERROR(AVERAGE($E91:N91),"N/A"),"")</f>
        <v/>
      </c>
    </row>
    <row r="92" spans="4:40" ht="15.75" x14ac:dyDescent="0.25">
      <c r="D92" s="20">
        <v>108</v>
      </c>
      <c r="E92" s="182">
        <v>1</v>
      </c>
      <c r="F92" s="182">
        <v>0</v>
      </c>
      <c r="G92" s="182">
        <v>0</v>
      </c>
      <c r="H92" s="182">
        <v>3</v>
      </c>
      <c r="I92" s="182">
        <v>1</v>
      </c>
      <c r="J92" s="182">
        <v>1</v>
      </c>
      <c r="K92" s="182">
        <v>1</v>
      </c>
      <c r="L92" s="182"/>
      <c r="M92" s="182"/>
      <c r="N92" s="182"/>
      <c r="O92" s="56">
        <v>42864</v>
      </c>
      <c r="P92" s="134" t="b">
        <v>1</v>
      </c>
      <c r="Q92" s="134" t="b">
        <v>1</v>
      </c>
      <c r="R92">
        <f t="shared" si="7"/>
        <v>1</v>
      </c>
      <c r="S92">
        <f t="shared" si="8"/>
        <v>1.4</v>
      </c>
      <c r="T92">
        <f t="shared" si="9"/>
        <v>3</v>
      </c>
      <c r="U92">
        <f t="shared" si="10"/>
        <v>5</v>
      </c>
      <c r="W92" s="134" t="s">
        <v>18</v>
      </c>
      <c r="X92" s="134">
        <v>1</v>
      </c>
      <c r="Y92" s="134" t="s">
        <v>18</v>
      </c>
      <c r="Z92" s="134">
        <v>1</v>
      </c>
      <c r="AD92" s="134">
        <f t="shared" si="6"/>
        <v>108</v>
      </c>
      <c r="AE92" s="43">
        <f>IF(IFERROR(DATEDIF(AE$3,$O92,"D")&gt;=0,FALSE),IFERROR(AVERAGE($E92:E92),"N/A"),"")</f>
        <v>1</v>
      </c>
      <c r="AF92" s="43">
        <f>IF(IFERROR(DATEDIF(AF$3,$O92,"D")&gt;=0,FALSE),IFERROR(AVERAGE($E92:F92),"N/A"),"")</f>
        <v>0.5</v>
      </c>
      <c r="AG92" s="43">
        <f>IF(IFERROR(DATEDIF(AG$3,$O92,"D")&gt;=0,FALSE),IFERROR(AVERAGE($E92:G92),"N/A"),"")</f>
        <v>0.33333333333333331</v>
      </c>
      <c r="AH92" s="43">
        <f>IF(IFERROR(DATEDIF(AH$3,$O92,"D")&gt;=0,FALSE),IFERROR(AVERAGE($E92:H92),"N/A"),"")</f>
        <v>1</v>
      </c>
      <c r="AI92" s="43">
        <f>IF(IFERROR(DATEDIF(AI$3,$O92,"D")&gt;=0,FALSE),IFERROR(AVERAGE($E92:I92),"N/A"),"")</f>
        <v>1</v>
      </c>
      <c r="AJ92" s="43">
        <f>IF(IFERROR(DATEDIF(AJ$3,$O92,"D")&gt;=0,FALSE),IFERROR(AVERAGE($E92:J92),"N/A"),"")</f>
        <v>1</v>
      </c>
      <c r="AK92" s="43">
        <f>IF(IFERROR(DATEDIF(AK$3,$O92,"D")&gt;=0,FALSE),IFERROR(AVERAGE($E92:K92),"N/A"),"")</f>
        <v>1</v>
      </c>
      <c r="AL92" s="43">
        <f>IF(IFERROR(DATEDIF(AL$3,$O92,"D")&gt;=0,FALSE),IFERROR(AVERAGE($E92:L92),"N/A"),"")</f>
        <v>1</v>
      </c>
      <c r="AM92" s="43" t="str">
        <f>IF(IFERROR(DATEDIF(AM$3,$O92,"D")&gt;=0,FALSE),IFERROR(AVERAGE($E92:M92),"N/A"),"")</f>
        <v/>
      </c>
      <c r="AN92" s="128" t="str">
        <f>IF(IFERROR(DATEDIF(AN$3,$O92,"D")&gt;=0,FALSE),IFERROR(AVERAGE($E92:N92),"N/A"),"")</f>
        <v/>
      </c>
    </row>
    <row r="93" spans="4:40" ht="15.75" x14ac:dyDescent="0.25">
      <c r="D93" s="20">
        <v>109</v>
      </c>
      <c r="E93" s="182">
        <v>2</v>
      </c>
      <c r="F93" s="182">
        <v>1</v>
      </c>
      <c r="G93" s="182">
        <v>0</v>
      </c>
      <c r="H93" s="182">
        <v>0</v>
      </c>
      <c r="I93" s="182">
        <v>0</v>
      </c>
      <c r="J93" s="182"/>
      <c r="K93" s="182"/>
      <c r="L93" s="182"/>
      <c r="M93" s="182"/>
      <c r="N93" s="182"/>
      <c r="O93" s="56">
        <v>42856</v>
      </c>
      <c r="P93" s="134" t="b">
        <v>1</v>
      </c>
      <c r="Q93" s="134" t="b">
        <v>1</v>
      </c>
      <c r="R93">
        <f t="shared" si="7"/>
        <v>0.6</v>
      </c>
      <c r="S93">
        <f t="shared" si="8"/>
        <v>1.5</v>
      </c>
      <c r="T93">
        <f t="shared" si="9"/>
        <v>2</v>
      </c>
      <c r="U93">
        <f t="shared" si="10"/>
        <v>2</v>
      </c>
      <c r="W93" s="134" t="s">
        <v>18</v>
      </c>
      <c r="X93" s="134">
        <v>0.6</v>
      </c>
      <c r="Y93" s="134" t="s">
        <v>18</v>
      </c>
      <c r="Z93" s="134">
        <v>0.6</v>
      </c>
      <c r="AD93" s="134">
        <f t="shared" si="6"/>
        <v>109</v>
      </c>
      <c r="AE93" s="43">
        <f>IF(IFERROR(DATEDIF(AE$3,$O93,"D")&gt;=0,FALSE),IFERROR(AVERAGE($E93:E93),"N/A"),"")</f>
        <v>2</v>
      </c>
      <c r="AF93" s="43">
        <f>IF(IFERROR(DATEDIF(AF$3,$O93,"D")&gt;=0,FALSE),IFERROR(AVERAGE($E93:F93),"N/A"),"")</f>
        <v>1.5</v>
      </c>
      <c r="AG93" s="43">
        <f>IF(IFERROR(DATEDIF(AG$3,$O93,"D")&gt;=0,FALSE),IFERROR(AVERAGE($E93:G93),"N/A"),"")</f>
        <v>1</v>
      </c>
      <c r="AH93" s="43">
        <f>IF(IFERROR(DATEDIF(AH$3,$O93,"D")&gt;=0,FALSE),IFERROR(AVERAGE($E93:H93),"N/A"),"")</f>
        <v>0.75</v>
      </c>
      <c r="AI93" s="43">
        <f>IF(IFERROR(DATEDIF(AI$3,$O93,"D")&gt;=0,FALSE),IFERROR(AVERAGE($E93:I93),"N/A"),"")</f>
        <v>0.6</v>
      </c>
      <c r="AJ93" s="43" t="str">
        <f>IF(IFERROR(DATEDIF(AJ$3,$O93,"D")&gt;=0,FALSE),IFERROR(AVERAGE($E93:J93),"N/A"),"")</f>
        <v/>
      </c>
      <c r="AK93" s="43" t="str">
        <f>IF(IFERROR(DATEDIF(AK$3,$O93,"D")&gt;=0,FALSE),IFERROR(AVERAGE($E93:K93),"N/A"),"")</f>
        <v/>
      </c>
      <c r="AL93" s="43" t="str">
        <f>IF(IFERROR(DATEDIF(AL$3,$O93,"D")&gt;=0,FALSE),IFERROR(AVERAGE($E93:L93),"N/A"),"")</f>
        <v/>
      </c>
      <c r="AM93" s="43" t="str">
        <f>IF(IFERROR(DATEDIF(AM$3,$O93,"D")&gt;=0,FALSE),IFERROR(AVERAGE($E93:M93),"N/A"),"")</f>
        <v/>
      </c>
      <c r="AN93" s="128" t="str">
        <f>IF(IFERROR(DATEDIF(AN$3,$O93,"D")&gt;=0,FALSE),IFERROR(AVERAGE($E93:N93),"N/A"),"")</f>
        <v/>
      </c>
    </row>
    <row r="94" spans="4:40" ht="15.75" x14ac:dyDescent="0.25">
      <c r="D94" s="21">
        <v>110</v>
      </c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56">
        <v>42837</v>
      </c>
      <c r="P94" s="134" t="b">
        <v>0</v>
      </c>
      <c r="Q94" s="134" t="s">
        <v>48</v>
      </c>
      <c r="R94" t="str">
        <f t="shared" si="7"/>
        <v>N/A</v>
      </c>
      <c r="S94" t="str">
        <f t="shared" si="8"/>
        <v/>
      </c>
      <c r="T94" t="str">
        <f t="shared" si="9"/>
        <v/>
      </c>
      <c r="U94">
        <f t="shared" si="10"/>
        <v>0</v>
      </c>
      <c r="W94" s="134">
        <v>0</v>
      </c>
      <c r="X94" s="134" t="s">
        <v>18</v>
      </c>
      <c r="Y94" s="134">
        <v>0</v>
      </c>
      <c r="Z94" s="134" t="s">
        <v>18</v>
      </c>
      <c r="AD94" s="134">
        <f t="shared" si="6"/>
        <v>110</v>
      </c>
      <c r="AE94" s="43" t="str">
        <f>IF(IFERROR(DATEDIF(AE$3,$O94,"D")&gt;=0,FALSE),IFERROR(AVERAGE($E94:E94),"N/A"),"")</f>
        <v/>
      </c>
      <c r="AF94" s="43" t="str">
        <f>IF(IFERROR(DATEDIF(AF$3,$O94,"D")&gt;=0,FALSE),IFERROR(AVERAGE($E94:F94),"N/A"),"")</f>
        <v/>
      </c>
      <c r="AG94" s="43" t="str">
        <f>IF(IFERROR(DATEDIF(AG$3,$O94,"D")&gt;=0,FALSE),IFERROR(AVERAGE($E94:G94),"N/A"),"")</f>
        <v/>
      </c>
      <c r="AH94" s="43" t="str">
        <f>IF(IFERROR(DATEDIF(AH$3,$O94,"D")&gt;=0,FALSE),IFERROR(AVERAGE($E94:H94),"N/A"),"")</f>
        <v/>
      </c>
      <c r="AI94" s="43" t="str">
        <f>IF(IFERROR(DATEDIF(AI$3,$O94,"D")&gt;=0,FALSE),IFERROR(AVERAGE($E94:I94),"N/A"),"")</f>
        <v/>
      </c>
      <c r="AJ94" s="43" t="str">
        <f>IF(IFERROR(DATEDIF(AJ$3,$O94,"D")&gt;=0,FALSE),IFERROR(AVERAGE($E94:J94),"N/A"),"")</f>
        <v/>
      </c>
      <c r="AK94" s="43" t="str">
        <f>IF(IFERROR(DATEDIF(AK$3,$O94,"D")&gt;=0,FALSE),IFERROR(AVERAGE($E94:K94),"N/A"),"")</f>
        <v/>
      </c>
      <c r="AL94" s="43" t="str">
        <f>IF(IFERROR(DATEDIF(AL$3,$O94,"D")&gt;=0,FALSE),IFERROR(AVERAGE($E94:L94),"N/A"),"")</f>
        <v/>
      </c>
      <c r="AM94" s="43" t="str">
        <f>IF(IFERROR(DATEDIF(AM$3,$O94,"D")&gt;=0,FALSE),IFERROR(AVERAGE($E94:M94),"N/A"),"")</f>
        <v/>
      </c>
      <c r="AN94" s="128" t="str">
        <f>IF(IFERROR(DATEDIF(AN$3,$O94,"D")&gt;=0,FALSE),IFERROR(AVERAGE($E94:N94),"N/A"),"")</f>
        <v/>
      </c>
    </row>
    <row r="95" spans="4:40" ht="15.75" x14ac:dyDescent="0.25">
      <c r="D95" s="20">
        <v>111</v>
      </c>
      <c r="E95" s="182">
        <v>4</v>
      </c>
      <c r="F95" s="182">
        <v>2</v>
      </c>
      <c r="G95" s="182">
        <v>0</v>
      </c>
      <c r="H95" s="182">
        <v>1</v>
      </c>
      <c r="I95" s="182">
        <v>3</v>
      </c>
      <c r="J95" s="182"/>
      <c r="K95" s="182"/>
      <c r="L95" s="182"/>
      <c r="M95" s="182"/>
      <c r="N95" s="182"/>
      <c r="O95" s="56">
        <v>42856</v>
      </c>
      <c r="P95" s="134" t="b">
        <v>1</v>
      </c>
      <c r="Q95" s="134" t="b">
        <v>1</v>
      </c>
      <c r="R95">
        <f t="shared" si="7"/>
        <v>2</v>
      </c>
      <c r="S95">
        <f t="shared" si="8"/>
        <v>2.5</v>
      </c>
      <c r="T95">
        <f t="shared" si="9"/>
        <v>4</v>
      </c>
      <c r="U95">
        <f t="shared" si="10"/>
        <v>4</v>
      </c>
      <c r="W95" s="134" t="s">
        <v>18</v>
      </c>
      <c r="X95" s="134">
        <v>2</v>
      </c>
      <c r="Y95" s="134" t="s">
        <v>18</v>
      </c>
      <c r="Z95" s="134">
        <v>2</v>
      </c>
      <c r="AD95" s="134">
        <f t="shared" si="6"/>
        <v>111</v>
      </c>
      <c r="AE95" s="43">
        <f>IF(IFERROR(DATEDIF(AE$3,$O95,"D")&gt;=0,FALSE),IFERROR(AVERAGE($E95:E95),"N/A"),"")</f>
        <v>4</v>
      </c>
      <c r="AF95" s="43">
        <f>IF(IFERROR(DATEDIF(AF$3,$O95,"D")&gt;=0,FALSE),IFERROR(AVERAGE($E95:F95),"N/A"),"")</f>
        <v>3</v>
      </c>
      <c r="AG95" s="43">
        <f>IF(IFERROR(DATEDIF(AG$3,$O95,"D")&gt;=0,FALSE),IFERROR(AVERAGE($E95:G95),"N/A"),"")</f>
        <v>2</v>
      </c>
      <c r="AH95" s="43">
        <f>IF(IFERROR(DATEDIF(AH$3,$O95,"D")&gt;=0,FALSE),IFERROR(AVERAGE($E95:H95),"N/A"),"")</f>
        <v>1.75</v>
      </c>
      <c r="AI95" s="43">
        <f>IF(IFERROR(DATEDIF(AI$3,$O95,"D")&gt;=0,FALSE),IFERROR(AVERAGE($E95:I95),"N/A"),"")</f>
        <v>2</v>
      </c>
      <c r="AJ95" s="43" t="str">
        <f>IF(IFERROR(DATEDIF(AJ$3,$O95,"D")&gt;=0,FALSE),IFERROR(AVERAGE($E95:J95),"N/A"),"")</f>
        <v/>
      </c>
      <c r="AK95" s="43" t="str">
        <f>IF(IFERROR(DATEDIF(AK$3,$O95,"D")&gt;=0,FALSE),IFERROR(AVERAGE($E95:K95),"N/A"),"")</f>
        <v/>
      </c>
      <c r="AL95" s="43" t="str">
        <f>IF(IFERROR(DATEDIF(AL$3,$O95,"D")&gt;=0,FALSE),IFERROR(AVERAGE($E95:L95),"N/A"),"")</f>
        <v/>
      </c>
      <c r="AM95" s="43" t="str">
        <f>IF(IFERROR(DATEDIF(AM$3,$O95,"D")&gt;=0,FALSE),IFERROR(AVERAGE($E95:M95),"N/A"),"")</f>
        <v/>
      </c>
      <c r="AN95" s="128" t="str">
        <f>IF(IFERROR(DATEDIF(AN$3,$O95,"D")&gt;=0,FALSE),IFERROR(AVERAGE($E95:N95),"N/A"),"")</f>
        <v/>
      </c>
    </row>
    <row r="96" spans="4:40" ht="15.75" x14ac:dyDescent="0.25">
      <c r="D96" s="20">
        <v>112</v>
      </c>
      <c r="E96" s="182">
        <v>2</v>
      </c>
      <c r="F96" s="182">
        <v>2</v>
      </c>
      <c r="G96" s="182">
        <v>0</v>
      </c>
      <c r="H96" s="182">
        <v>2</v>
      </c>
      <c r="I96" s="182">
        <v>2</v>
      </c>
      <c r="J96" s="182">
        <v>0</v>
      </c>
      <c r="K96" s="182">
        <v>2</v>
      </c>
      <c r="L96" s="182"/>
      <c r="M96" s="182"/>
      <c r="N96" s="182"/>
      <c r="O96" s="56">
        <v>42863</v>
      </c>
      <c r="P96" s="134" t="b">
        <v>1</v>
      </c>
      <c r="Q96" s="134" t="b">
        <v>1</v>
      </c>
      <c r="R96">
        <f t="shared" si="7"/>
        <v>1.4285714285714286</v>
      </c>
      <c r="S96">
        <f t="shared" si="8"/>
        <v>2</v>
      </c>
      <c r="T96">
        <f t="shared" si="9"/>
        <v>2</v>
      </c>
      <c r="U96">
        <f t="shared" si="10"/>
        <v>5</v>
      </c>
      <c r="W96" s="134" t="s">
        <v>18</v>
      </c>
      <c r="X96" s="134">
        <v>1.4285714285714286</v>
      </c>
      <c r="Y96" s="134" t="s">
        <v>18</v>
      </c>
      <c r="Z96" s="134">
        <v>1.4285714285714286</v>
      </c>
      <c r="AD96" s="134">
        <f t="shared" si="6"/>
        <v>112</v>
      </c>
      <c r="AE96" s="43">
        <f>IF(IFERROR(DATEDIF(AE$3,$O96,"D")&gt;=0,FALSE),IFERROR(AVERAGE($E96:E96),"N/A"),"")</f>
        <v>2</v>
      </c>
      <c r="AF96" s="43">
        <f>IF(IFERROR(DATEDIF(AF$3,$O96,"D")&gt;=0,FALSE),IFERROR(AVERAGE($E96:F96),"N/A"),"")</f>
        <v>2</v>
      </c>
      <c r="AG96" s="43">
        <f>IF(IFERROR(DATEDIF(AG$3,$O96,"D")&gt;=0,FALSE),IFERROR(AVERAGE($E96:G96),"N/A"),"")</f>
        <v>1.3333333333333333</v>
      </c>
      <c r="AH96" s="43">
        <f>IF(IFERROR(DATEDIF(AH$3,$O96,"D")&gt;=0,FALSE),IFERROR(AVERAGE($E96:H96),"N/A"),"")</f>
        <v>1.5</v>
      </c>
      <c r="AI96" s="43">
        <f>IF(IFERROR(DATEDIF(AI$3,$O96,"D")&gt;=0,FALSE),IFERROR(AVERAGE($E96:I96),"N/A"),"")</f>
        <v>1.6</v>
      </c>
      <c r="AJ96" s="43">
        <f>IF(IFERROR(DATEDIF(AJ$3,$O96,"D")&gt;=0,FALSE),IFERROR(AVERAGE($E96:J96),"N/A"),"")</f>
        <v>1.3333333333333333</v>
      </c>
      <c r="AK96" s="43">
        <f>IF(IFERROR(DATEDIF(AK$3,$O96,"D")&gt;=0,FALSE),IFERROR(AVERAGE($E96:K96),"N/A"),"")</f>
        <v>1.4285714285714286</v>
      </c>
      <c r="AL96" s="43" t="str">
        <f>IF(IFERROR(DATEDIF(AL$3,$O96,"D")&gt;=0,FALSE),IFERROR(AVERAGE($E96:L96),"N/A"),"")</f>
        <v/>
      </c>
      <c r="AM96" s="43" t="str">
        <f>IF(IFERROR(DATEDIF(AM$3,$O96,"D")&gt;=0,FALSE),IFERROR(AVERAGE($E96:M96),"N/A"),"")</f>
        <v/>
      </c>
      <c r="AN96" s="128" t="str">
        <f>IF(IFERROR(DATEDIF(AN$3,$O96,"D")&gt;=0,FALSE),IFERROR(AVERAGE($E96:N96),"N/A"),"")</f>
        <v/>
      </c>
    </row>
    <row r="97" spans="1:42" ht="15.75" x14ac:dyDescent="0.25">
      <c r="D97" s="21">
        <v>113</v>
      </c>
      <c r="E97" s="182">
        <v>0</v>
      </c>
      <c r="F97" s="182"/>
      <c r="G97" s="182"/>
      <c r="H97" s="182"/>
      <c r="I97" s="182"/>
      <c r="J97" s="182"/>
      <c r="K97" s="182"/>
      <c r="L97" s="182"/>
      <c r="M97" s="182"/>
      <c r="N97" s="182"/>
      <c r="O97" s="56">
        <v>42842</v>
      </c>
      <c r="P97" s="134" t="b">
        <v>1</v>
      </c>
      <c r="Q97" s="134" t="b">
        <v>1</v>
      </c>
      <c r="R97">
        <f t="shared" si="7"/>
        <v>0</v>
      </c>
      <c r="S97" t="str">
        <f t="shared" si="8"/>
        <v/>
      </c>
      <c r="T97">
        <f t="shared" si="9"/>
        <v>0</v>
      </c>
      <c r="U97">
        <f t="shared" si="10"/>
        <v>0</v>
      </c>
      <c r="W97" s="134" t="s">
        <v>18</v>
      </c>
      <c r="X97" s="134">
        <v>0</v>
      </c>
      <c r="Y97" s="134" t="s">
        <v>18</v>
      </c>
      <c r="Z97" s="134">
        <v>0</v>
      </c>
      <c r="AD97" s="134">
        <f t="shared" si="6"/>
        <v>113</v>
      </c>
      <c r="AE97" s="43">
        <f>IF(IFERROR(DATEDIF(AE$3,$O97,"D")&gt;=0,FALSE),IFERROR(AVERAGE($E97:E97),"N/A"),"")</f>
        <v>0</v>
      </c>
      <c r="AF97" s="43" t="str">
        <f>IF(IFERROR(DATEDIF(AF$3,$O97,"D")&gt;=0,FALSE),IFERROR(AVERAGE($E97:F97),"N/A"),"")</f>
        <v/>
      </c>
      <c r="AG97" s="43" t="str">
        <f>IF(IFERROR(DATEDIF(AG$3,$O97,"D")&gt;=0,FALSE),IFERROR(AVERAGE($E97:G97),"N/A"),"")</f>
        <v/>
      </c>
      <c r="AH97" s="43" t="str">
        <f>IF(IFERROR(DATEDIF(AH$3,$O97,"D")&gt;=0,FALSE),IFERROR(AVERAGE($E97:H97),"N/A"),"")</f>
        <v/>
      </c>
      <c r="AI97" s="43" t="str">
        <f>IF(IFERROR(DATEDIF(AI$3,$O97,"D")&gt;=0,FALSE),IFERROR(AVERAGE($E97:I97),"N/A"),"")</f>
        <v/>
      </c>
      <c r="AJ97" s="43" t="str">
        <f>IF(IFERROR(DATEDIF(AJ$3,$O97,"D")&gt;=0,FALSE),IFERROR(AVERAGE($E97:J97),"N/A"),"")</f>
        <v/>
      </c>
      <c r="AK97" s="43" t="str">
        <f>IF(IFERROR(DATEDIF(AK$3,$O97,"D")&gt;=0,FALSE),IFERROR(AVERAGE($E97:K97),"N/A"),"")</f>
        <v/>
      </c>
      <c r="AL97" s="43" t="str">
        <f>IF(IFERROR(DATEDIF(AL$3,$O97,"D")&gt;=0,FALSE),IFERROR(AVERAGE($E97:L97),"N/A"),"")</f>
        <v/>
      </c>
      <c r="AM97" s="43" t="str">
        <f>IF(IFERROR(DATEDIF(AM$3,$O97,"D")&gt;=0,FALSE),IFERROR(AVERAGE($E97:M97),"N/A"),"")</f>
        <v/>
      </c>
      <c r="AN97" s="128" t="str">
        <f>IF(IFERROR(DATEDIF(AN$3,$O97,"D")&gt;=0,FALSE),IFERROR(AVERAGE($E97:N97),"N/A"),"")</f>
        <v/>
      </c>
    </row>
    <row r="98" spans="1:42" ht="15.75" x14ac:dyDescent="0.25">
      <c r="D98" s="20">
        <v>114</v>
      </c>
      <c r="E98" s="182">
        <v>2</v>
      </c>
      <c r="F98" s="182"/>
      <c r="G98" s="182"/>
      <c r="H98" s="182"/>
      <c r="I98" s="182"/>
      <c r="J98" s="182"/>
      <c r="K98" s="182"/>
      <c r="L98" s="182"/>
      <c r="M98" s="182"/>
      <c r="N98" s="182"/>
      <c r="O98" s="56">
        <v>42842</v>
      </c>
      <c r="P98" s="134" t="b">
        <v>1</v>
      </c>
      <c r="Q98" s="134" t="b">
        <v>1</v>
      </c>
      <c r="R98">
        <f t="shared" si="7"/>
        <v>2</v>
      </c>
      <c r="S98">
        <f t="shared" si="8"/>
        <v>2</v>
      </c>
      <c r="T98">
        <f t="shared" si="9"/>
        <v>2</v>
      </c>
      <c r="U98">
        <f t="shared" si="10"/>
        <v>1</v>
      </c>
      <c r="W98" s="134" t="s">
        <v>18</v>
      </c>
      <c r="X98" s="134">
        <v>2</v>
      </c>
      <c r="Y98" s="134" t="s">
        <v>18</v>
      </c>
      <c r="Z98" s="134">
        <v>2</v>
      </c>
      <c r="AD98" s="134">
        <f t="shared" si="6"/>
        <v>114</v>
      </c>
      <c r="AE98" s="43">
        <f>IF(IFERROR(DATEDIF(AE$3,$O98,"D")&gt;=0,FALSE),IFERROR(AVERAGE($E98:E98),"N/A"),"")</f>
        <v>2</v>
      </c>
      <c r="AF98" s="43" t="str">
        <f>IF(IFERROR(DATEDIF(AF$3,$O98,"D")&gt;=0,FALSE),IFERROR(AVERAGE($E98:F98),"N/A"),"")</f>
        <v/>
      </c>
      <c r="AG98" s="43" t="str">
        <f>IF(IFERROR(DATEDIF(AG$3,$O98,"D")&gt;=0,FALSE),IFERROR(AVERAGE($E98:G98),"N/A"),"")</f>
        <v/>
      </c>
      <c r="AH98" s="43" t="str">
        <f>IF(IFERROR(DATEDIF(AH$3,$O98,"D")&gt;=0,FALSE),IFERROR(AVERAGE($E98:H98),"N/A"),"")</f>
        <v/>
      </c>
      <c r="AI98" s="43" t="str">
        <f>IF(IFERROR(DATEDIF(AI$3,$O98,"D")&gt;=0,FALSE),IFERROR(AVERAGE($E98:I98),"N/A"),"")</f>
        <v/>
      </c>
      <c r="AJ98" s="43" t="str">
        <f>IF(IFERROR(DATEDIF(AJ$3,$O98,"D")&gt;=0,FALSE),IFERROR(AVERAGE($E98:J98),"N/A"),"")</f>
        <v/>
      </c>
      <c r="AK98" s="43" t="str">
        <f>IF(IFERROR(DATEDIF(AK$3,$O98,"D")&gt;=0,FALSE),IFERROR(AVERAGE($E98:K98),"N/A"),"")</f>
        <v/>
      </c>
      <c r="AL98" s="43" t="str">
        <f>IF(IFERROR(DATEDIF(AL$3,$O98,"D")&gt;=0,FALSE),IFERROR(AVERAGE($E98:L98),"N/A"),"")</f>
        <v/>
      </c>
      <c r="AM98" s="43" t="str">
        <f>IF(IFERROR(DATEDIF(AM$3,$O98,"D")&gt;=0,FALSE),IFERROR(AVERAGE($E98:M98),"N/A"),"")</f>
        <v/>
      </c>
      <c r="AN98" s="128" t="str">
        <f>IF(IFERROR(DATEDIF(AN$3,$O98,"D")&gt;=0,FALSE),IFERROR(AVERAGE($E98:N98),"N/A"),"")</f>
        <v/>
      </c>
    </row>
    <row r="99" spans="1:42" ht="15.75" x14ac:dyDescent="0.25">
      <c r="D99" s="20">
        <v>115</v>
      </c>
      <c r="E99" s="182">
        <v>2</v>
      </c>
      <c r="F99" s="182"/>
      <c r="G99" s="182"/>
      <c r="H99" s="182"/>
      <c r="I99" s="182"/>
      <c r="J99" s="182"/>
      <c r="K99" s="182"/>
      <c r="L99" s="182"/>
      <c r="M99" s="182"/>
      <c r="N99" s="182"/>
      <c r="O99" s="56">
        <v>42842</v>
      </c>
      <c r="P99" s="134" t="b">
        <v>0</v>
      </c>
      <c r="Q99" s="134" t="s">
        <v>48</v>
      </c>
      <c r="R99">
        <f t="shared" si="7"/>
        <v>2</v>
      </c>
      <c r="S99">
        <f t="shared" si="8"/>
        <v>2</v>
      </c>
      <c r="T99">
        <f t="shared" si="9"/>
        <v>2</v>
      </c>
      <c r="U99">
        <f t="shared" si="10"/>
        <v>1</v>
      </c>
      <c r="W99" s="134">
        <v>2</v>
      </c>
      <c r="X99" s="134" t="s">
        <v>18</v>
      </c>
      <c r="Y99" s="134">
        <v>2</v>
      </c>
      <c r="Z99" s="134" t="s">
        <v>18</v>
      </c>
      <c r="AD99" s="134">
        <f t="shared" si="6"/>
        <v>115</v>
      </c>
      <c r="AE99" s="43">
        <f>IF(IFERROR(DATEDIF(AE$3,$O99,"D")&gt;=0,FALSE),IFERROR(AVERAGE($E99:E99),"N/A"),"")</f>
        <v>2</v>
      </c>
      <c r="AF99" s="43" t="str">
        <f>IF(IFERROR(DATEDIF(AF$3,$O99,"D")&gt;=0,FALSE),IFERROR(AVERAGE($E99:F99),"N/A"),"")</f>
        <v/>
      </c>
      <c r="AG99" s="43" t="str">
        <f>IF(IFERROR(DATEDIF(AG$3,$O99,"D")&gt;=0,FALSE),IFERROR(AVERAGE($E99:G99),"N/A"),"")</f>
        <v/>
      </c>
      <c r="AH99" s="43" t="str">
        <f>IF(IFERROR(DATEDIF(AH$3,$O99,"D")&gt;=0,FALSE),IFERROR(AVERAGE($E99:H99),"N/A"),"")</f>
        <v/>
      </c>
      <c r="AI99" s="43" t="str">
        <f>IF(IFERROR(DATEDIF(AI$3,$O99,"D")&gt;=0,FALSE),IFERROR(AVERAGE($E99:I99),"N/A"),"")</f>
        <v/>
      </c>
      <c r="AJ99" s="43" t="str">
        <f>IF(IFERROR(DATEDIF(AJ$3,$O99,"D")&gt;=0,FALSE),IFERROR(AVERAGE($E99:J99),"N/A"),"")</f>
        <v/>
      </c>
      <c r="AK99" s="43" t="str">
        <f>IF(IFERROR(DATEDIF(AK$3,$O99,"D")&gt;=0,FALSE),IFERROR(AVERAGE($E99:K99),"N/A"),"")</f>
        <v/>
      </c>
      <c r="AL99" s="43" t="str">
        <f>IF(IFERROR(DATEDIF(AL$3,$O99,"D")&gt;=0,FALSE),IFERROR(AVERAGE($E99:L99),"N/A"),"")</f>
        <v/>
      </c>
      <c r="AM99" s="43" t="str">
        <f>IF(IFERROR(DATEDIF(AM$3,$O99,"D")&gt;=0,FALSE),IFERROR(AVERAGE($E99:M99),"N/A"),"")</f>
        <v/>
      </c>
      <c r="AN99" s="128" t="str">
        <f>IF(IFERROR(DATEDIF(AN$3,$O99,"D")&gt;=0,FALSE),IFERROR(AVERAGE($E99:N99),"N/A"),"")</f>
        <v/>
      </c>
    </row>
    <row r="100" spans="1:42" ht="15.75" x14ac:dyDescent="0.25">
      <c r="D100" s="21">
        <v>116</v>
      </c>
      <c r="E100" s="182">
        <v>2</v>
      </c>
      <c r="F100" s="182">
        <v>3</v>
      </c>
      <c r="G100" s="182">
        <v>0</v>
      </c>
      <c r="H100" s="182"/>
      <c r="I100" s="182"/>
      <c r="J100" s="182"/>
      <c r="K100" s="182"/>
      <c r="L100" s="182"/>
      <c r="M100" s="182"/>
      <c r="N100" s="182"/>
      <c r="O100" s="56">
        <v>42849</v>
      </c>
      <c r="P100" s="134" t="b">
        <v>1</v>
      </c>
      <c r="Q100" s="134" t="b">
        <v>1</v>
      </c>
      <c r="R100">
        <f t="shared" si="7"/>
        <v>1.6666666666666667</v>
      </c>
      <c r="S100">
        <f t="shared" si="8"/>
        <v>2.5</v>
      </c>
      <c r="T100">
        <f t="shared" si="9"/>
        <v>3</v>
      </c>
      <c r="U100">
        <f t="shared" si="10"/>
        <v>2</v>
      </c>
      <c r="W100" s="134" t="s">
        <v>18</v>
      </c>
      <c r="X100" s="134">
        <v>1.6666666666666667</v>
      </c>
      <c r="Y100" s="134" t="s">
        <v>18</v>
      </c>
      <c r="Z100" s="134">
        <v>1.6666666666666667</v>
      </c>
      <c r="AD100" s="134">
        <f t="shared" si="6"/>
        <v>116</v>
      </c>
      <c r="AE100" s="43">
        <f>IF(IFERROR(DATEDIF(AE$3,$O100,"D")&gt;=0,FALSE),IFERROR(AVERAGE($E100:E100),"N/A"),"")</f>
        <v>2</v>
      </c>
      <c r="AF100" s="43">
        <f>IF(IFERROR(DATEDIF(AF$3,$O100,"D")&gt;=0,FALSE),IFERROR(AVERAGE($E100:F100),"N/A"),"")</f>
        <v>2.5</v>
      </c>
      <c r="AG100" s="43">
        <f>IF(IFERROR(DATEDIF(AG$3,$O100,"D")&gt;=0,FALSE),IFERROR(AVERAGE($E100:G100),"N/A"),"")</f>
        <v>1.6666666666666667</v>
      </c>
      <c r="AH100" s="43" t="str">
        <f>IF(IFERROR(DATEDIF(AH$3,$O100,"D")&gt;=0,FALSE),IFERROR(AVERAGE($E100:H100),"N/A"),"")</f>
        <v/>
      </c>
      <c r="AI100" s="43" t="str">
        <f>IF(IFERROR(DATEDIF(AI$3,$O100,"D")&gt;=0,FALSE),IFERROR(AVERAGE($E100:I100),"N/A"),"")</f>
        <v/>
      </c>
      <c r="AJ100" s="43" t="str">
        <f>IF(IFERROR(DATEDIF(AJ$3,$O100,"D")&gt;=0,FALSE),IFERROR(AVERAGE($E100:J100),"N/A"),"")</f>
        <v/>
      </c>
      <c r="AK100" s="43" t="str">
        <f>IF(IFERROR(DATEDIF(AK$3,$O100,"D")&gt;=0,FALSE),IFERROR(AVERAGE($E100:K100),"N/A"),"")</f>
        <v/>
      </c>
      <c r="AL100" s="43" t="str">
        <f>IF(IFERROR(DATEDIF(AL$3,$O100,"D")&gt;=0,FALSE),IFERROR(AVERAGE($E100:L100),"N/A"),"")</f>
        <v/>
      </c>
      <c r="AM100" s="43" t="str">
        <f>IF(IFERROR(DATEDIF(AM$3,$O100,"D")&gt;=0,FALSE),IFERROR(AVERAGE($E100:M100),"N/A"),"")</f>
        <v/>
      </c>
      <c r="AN100" s="128" t="str">
        <f>IF(IFERROR(DATEDIF(AN$3,$O100,"D")&gt;=0,FALSE),IFERROR(AVERAGE($E100:N100),"N/A"),"")</f>
        <v/>
      </c>
    </row>
    <row r="101" spans="1:42" ht="15.75" x14ac:dyDescent="0.25">
      <c r="D101" s="20">
        <v>117</v>
      </c>
      <c r="E101" s="182">
        <v>3</v>
      </c>
      <c r="F101" s="182"/>
      <c r="G101" s="182"/>
      <c r="H101" s="182"/>
      <c r="I101" s="182"/>
      <c r="J101" s="182"/>
      <c r="K101" s="182"/>
      <c r="L101" s="182"/>
      <c r="M101" s="182"/>
      <c r="N101" s="182"/>
      <c r="O101" s="56">
        <v>42842</v>
      </c>
      <c r="P101" s="134" t="b">
        <v>1</v>
      </c>
      <c r="Q101" s="134" t="b">
        <v>0</v>
      </c>
      <c r="R101">
        <f t="shared" si="7"/>
        <v>3</v>
      </c>
      <c r="S101">
        <f t="shared" si="8"/>
        <v>3</v>
      </c>
      <c r="T101">
        <f t="shared" si="9"/>
        <v>3</v>
      </c>
      <c r="U101">
        <f t="shared" si="10"/>
        <v>1</v>
      </c>
      <c r="W101" s="134" t="s">
        <v>18</v>
      </c>
      <c r="X101" s="134">
        <v>3</v>
      </c>
      <c r="Y101" s="134">
        <v>3</v>
      </c>
      <c r="Z101" s="134" t="s">
        <v>18</v>
      </c>
      <c r="AD101" s="134">
        <f t="shared" si="6"/>
        <v>117</v>
      </c>
      <c r="AE101" s="43">
        <f>IF(IFERROR(DATEDIF(AE$3,$O101,"D")&gt;=0,FALSE),IFERROR(AVERAGE($E101:E101),"N/A"),"")</f>
        <v>3</v>
      </c>
      <c r="AF101" s="43" t="str">
        <f>IF(IFERROR(DATEDIF(AF$3,$O101,"D")&gt;=0,FALSE),IFERROR(AVERAGE($E101:F101),"N/A"),"")</f>
        <v/>
      </c>
      <c r="AG101" s="43" t="str">
        <f>IF(IFERROR(DATEDIF(AG$3,$O101,"D")&gt;=0,FALSE),IFERROR(AVERAGE($E101:G101),"N/A"),"")</f>
        <v/>
      </c>
      <c r="AH101" s="43" t="str">
        <f>IF(IFERROR(DATEDIF(AH$3,$O101,"D")&gt;=0,FALSE),IFERROR(AVERAGE($E101:H101),"N/A"),"")</f>
        <v/>
      </c>
      <c r="AI101" s="43" t="str">
        <f>IF(IFERROR(DATEDIF(AI$3,$O101,"D")&gt;=0,FALSE),IFERROR(AVERAGE($E101:I101),"N/A"),"")</f>
        <v/>
      </c>
      <c r="AJ101" s="43" t="str">
        <f>IF(IFERROR(DATEDIF(AJ$3,$O101,"D")&gt;=0,FALSE),IFERROR(AVERAGE($E101:J101),"N/A"),"")</f>
        <v/>
      </c>
      <c r="AK101" s="43" t="str">
        <f>IF(IFERROR(DATEDIF(AK$3,$O101,"D")&gt;=0,FALSE),IFERROR(AVERAGE($E101:K101),"N/A"),"")</f>
        <v/>
      </c>
      <c r="AL101" s="43" t="str">
        <f>IF(IFERROR(DATEDIF(AL$3,$O101,"D")&gt;=0,FALSE),IFERROR(AVERAGE($E101:L101),"N/A"),"")</f>
        <v/>
      </c>
      <c r="AM101" s="43" t="str">
        <f>IF(IFERROR(DATEDIF(AM$3,$O101,"D")&gt;=0,FALSE),IFERROR(AVERAGE($E101:M101),"N/A"),"")</f>
        <v/>
      </c>
      <c r="AN101" s="128" t="str">
        <f>IF(IFERROR(DATEDIF(AN$3,$O101,"D")&gt;=0,FALSE),IFERROR(AVERAGE($E101:N101),"N/A"),"")</f>
        <v/>
      </c>
    </row>
    <row r="102" spans="1:42" ht="15.75" x14ac:dyDescent="0.25">
      <c r="D102" s="20">
        <v>118</v>
      </c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56">
        <v>42836</v>
      </c>
      <c r="P102" s="134" t="b">
        <v>1</v>
      </c>
      <c r="Q102" s="134" t="s">
        <v>48</v>
      </c>
      <c r="R102" t="str">
        <f t="shared" si="7"/>
        <v>N/A</v>
      </c>
      <c r="S102" t="str">
        <f t="shared" si="8"/>
        <v/>
      </c>
      <c r="T102" t="str">
        <f t="shared" si="9"/>
        <v/>
      </c>
      <c r="U102">
        <f t="shared" si="10"/>
        <v>0</v>
      </c>
      <c r="W102" s="134" t="s">
        <v>18</v>
      </c>
      <c r="X102" s="134">
        <v>0</v>
      </c>
      <c r="Y102" s="134">
        <v>0</v>
      </c>
      <c r="Z102" s="134" t="s">
        <v>18</v>
      </c>
      <c r="AD102" s="134">
        <f t="shared" si="6"/>
        <v>118</v>
      </c>
      <c r="AE102" s="43" t="str">
        <f>IF(IFERROR(DATEDIF(AE$3,$O102,"D")&gt;=0,FALSE),IFERROR(AVERAGE($E102:E102),"N/A"),"")</f>
        <v/>
      </c>
      <c r="AF102" s="43" t="str">
        <f>IF(IFERROR(DATEDIF(AF$3,$O102,"D")&gt;=0,FALSE),IFERROR(AVERAGE($E102:F102),"N/A"),"")</f>
        <v/>
      </c>
      <c r="AG102" s="43" t="str">
        <f>IF(IFERROR(DATEDIF(AG$3,$O102,"D")&gt;=0,FALSE),IFERROR(AVERAGE($E102:G102),"N/A"),"")</f>
        <v/>
      </c>
      <c r="AH102" s="43" t="str">
        <f>IF(IFERROR(DATEDIF(AH$3,$O102,"D")&gt;=0,FALSE),IFERROR(AVERAGE($E102:H102),"N/A"),"")</f>
        <v/>
      </c>
      <c r="AI102" s="43" t="str">
        <f>IF(IFERROR(DATEDIF(AI$3,$O102,"D")&gt;=0,FALSE),IFERROR(AVERAGE($E102:I102),"N/A"),"")</f>
        <v/>
      </c>
      <c r="AJ102" s="43" t="str">
        <f>IF(IFERROR(DATEDIF(AJ$3,$O102,"D")&gt;=0,FALSE),IFERROR(AVERAGE($E102:J102),"N/A"),"")</f>
        <v/>
      </c>
      <c r="AK102" s="43" t="str">
        <f>IF(IFERROR(DATEDIF(AK$3,$O102,"D")&gt;=0,FALSE),IFERROR(AVERAGE($E102:K102),"N/A"),"")</f>
        <v/>
      </c>
      <c r="AL102" s="43" t="str">
        <f>IF(IFERROR(DATEDIF(AL$3,$O102,"D")&gt;=0,FALSE),IFERROR(AVERAGE($E102:L102),"N/A"),"")</f>
        <v/>
      </c>
      <c r="AM102" s="43" t="str">
        <f>IF(IFERROR(DATEDIF(AM$3,$O102,"D")&gt;=0,FALSE),IFERROR(AVERAGE($E102:M102),"N/A"),"")</f>
        <v/>
      </c>
      <c r="AN102" s="128" t="str">
        <f>IF(IFERROR(DATEDIF(AN$3,$O102,"D")&gt;=0,FALSE),IFERROR(AVERAGE($E102:N102),"N/A"),"")</f>
        <v/>
      </c>
    </row>
    <row r="103" spans="1:42" ht="15.75" x14ac:dyDescent="0.25">
      <c r="D103" s="21">
        <v>119</v>
      </c>
      <c r="E103" s="182">
        <v>2</v>
      </c>
      <c r="F103" s="182">
        <v>1</v>
      </c>
      <c r="G103" s="182">
        <v>1</v>
      </c>
      <c r="H103" s="182">
        <v>1</v>
      </c>
      <c r="I103" s="182"/>
      <c r="J103" s="182"/>
      <c r="K103" s="182"/>
      <c r="L103" s="182"/>
      <c r="M103" s="182"/>
      <c r="N103" s="182"/>
      <c r="O103" s="56">
        <v>42853</v>
      </c>
      <c r="P103" s="134" t="b">
        <v>1</v>
      </c>
      <c r="Q103" s="134" t="b">
        <v>1</v>
      </c>
      <c r="R103">
        <f t="shared" si="7"/>
        <v>1.25</v>
      </c>
      <c r="S103">
        <f t="shared" si="8"/>
        <v>1.25</v>
      </c>
      <c r="T103">
        <f t="shared" si="9"/>
        <v>2</v>
      </c>
      <c r="U103">
        <f t="shared" si="10"/>
        <v>4</v>
      </c>
      <c r="W103" s="134" t="s">
        <v>18</v>
      </c>
      <c r="X103" s="134">
        <v>1.25</v>
      </c>
      <c r="Y103" s="134" t="s">
        <v>18</v>
      </c>
      <c r="Z103" s="134">
        <v>1.25</v>
      </c>
      <c r="AD103" s="134">
        <f t="shared" si="6"/>
        <v>119</v>
      </c>
      <c r="AE103" s="43">
        <f>IF(IFERROR(DATEDIF(AE$3,$O103,"D")&gt;=0,FALSE),IFERROR(AVERAGE($E103:E103),"N/A"),"")</f>
        <v>2</v>
      </c>
      <c r="AF103" s="43">
        <f>IF(IFERROR(DATEDIF(AF$3,$O103,"D")&gt;=0,FALSE),IFERROR(AVERAGE($E103:F103),"N/A"),"")</f>
        <v>1.5</v>
      </c>
      <c r="AG103" s="43">
        <f>IF(IFERROR(DATEDIF(AG$3,$O103,"D")&gt;=0,FALSE),IFERROR(AVERAGE($E103:G103),"N/A"),"")</f>
        <v>1.3333333333333333</v>
      </c>
      <c r="AH103" s="43">
        <f>IF(IFERROR(DATEDIF(AH$3,$O103,"D")&gt;=0,FALSE),IFERROR(AVERAGE($E103:H103),"N/A"),"")</f>
        <v>1.25</v>
      </c>
      <c r="AI103" s="43">
        <f>IF(IFERROR(DATEDIF(AI$3,$O103,"D")&gt;=0,FALSE),IFERROR(AVERAGE($E103:I103),"N/A"),"")</f>
        <v>1.25</v>
      </c>
      <c r="AJ103" s="43" t="str">
        <f>IF(IFERROR(DATEDIF(AJ$3,$O103,"D")&gt;=0,FALSE),IFERROR(AVERAGE($E103:J103),"N/A"),"")</f>
        <v/>
      </c>
      <c r="AK103" s="43" t="str">
        <f>IF(IFERROR(DATEDIF(AK$3,$O103,"D")&gt;=0,FALSE),IFERROR(AVERAGE($E103:K103),"N/A"),"")</f>
        <v/>
      </c>
      <c r="AL103" s="43" t="str">
        <f>IF(IFERROR(DATEDIF(AL$3,$O103,"D")&gt;=0,FALSE),IFERROR(AVERAGE($E103:L103),"N/A"),"")</f>
        <v/>
      </c>
      <c r="AM103" s="43" t="str">
        <f>IF(IFERROR(DATEDIF(AM$3,$O103,"D")&gt;=0,FALSE),IFERROR(AVERAGE($E103:M103),"N/A"),"")</f>
        <v/>
      </c>
      <c r="AN103" s="128" t="str">
        <f>IF(IFERROR(DATEDIF(AN$3,$O103,"D")&gt;=0,FALSE),IFERROR(AVERAGE($E103:N103),"N/A"),"")</f>
        <v/>
      </c>
    </row>
    <row r="104" spans="1:42" ht="16.5" thickBot="1" x14ac:dyDescent="0.3">
      <c r="D104" s="105">
        <v>120</v>
      </c>
      <c r="E104" s="183">
        <v>2</v>
      </c>
      <c r="F104" s="183"/>
      <c r="G104" s="183"/>
      <c r="H104" s="183"/>
      <c r="I104" s="183"/>
      <c r="J104" s="183"/>
      <c r="K104" s="183"/>
      <c r="L104" s="183"/>
      <c r="M104" s="183"/>
      <c r="N104" s="183"/>
      <c r="O104" s="142">
        <v>42842</v>
      </c>
      <c r="P104" s="138" t="b">
        <v>0</v>
      </c>
      <c r="Q104" s="134" t="s">
        <v>48</v>
      </c>
      <c r="R104">
        <f t="shared" si="7"/>
        <v>2</v>
      </c>
      <c r="S104">
        <f t="shared" si="8"/>
        <v>2</v>
      </c>
      <c r="T104">
        <f t="shared" si="9"/>
        <v>2</v>
      </c>
      <c r="U104">
        <f t="shared" si="10"/>
        <v>1</v>
      </c>
      <c r="W104" s="138">
        <v>2</v>
      </c>
      <c r="X104" s="138" t="s">
        <v>18</v>
      </c>
      <c r="Y104" s="138">
        <v>2</v>
      </c>
      <c r="Z104" s="138" t="s">
        <v>18</v>
      </c>
      <c r="AD104" s="134">
        <f t="shared" si="6"/>
        <v>120</v>
      </c>
      <c r="AE104" s="43">
        <f>IF(IFERROR(DATEDIF(AE$3,$O104,"D")&gt;=0,FALSE),IFERROR(AVERAGE($E104:E104),"N/A"),"")</f>
        <v>2</v>
      </c>
      <c r="AF104" s="43" t="str">
        <f>IF(IFERROR(DATEDIF(AF$3,$O104,"D")&gt;=0,FALSE),IFERROR(AVERAGE($E104:F104),"N/A"),"")</f>
        <v/>
      </c>
      <c r="AG104" s="43" t="str">
        <f>IF(IFERROR(DATEDIF(AG$3,$O104,"D")&gt;=0,FALSE),IFERROR(AVERAGE($E104:G104),"N/A"),"")</f>
        <v/>
      </c>
      <c r="AH104" s="43" t="str">
        <f>IF(IFERROR(DATEDIF(AH$3,$O104,"D")&gt;=0,FALSE),IFERROR(AVERAGE($E104:H104),"N/A"),"")</f>
        <v/>
      </c>
      <c r="AI104" s="43" t="str">
        <f>IF(IFERROR(DATEDIF(AI$3,$O104,"D")&gt;=0,FALSE),IFERROR(AVERAGE($E104:I104),"N/A"),"")</f>
        <v/>
      </c>
      <c r="AJ104" s="43" t="str">
        <f>IF(IFERROR(DATEDIF(AJ$3,$O104,"D")&gt;=0,FALSE),IFERROR(AVERAGE($E104:J104),"N/A"),"")</f>
        <v/>
      </c>
      <c r="AK104" s="43" t="str">
        <f>IF(IFERROR(DATEDIF(AK$3,$O104,"D")&gt;=0,FALSE),IFERROR(AVERAGE($E104:K104),"N/A"),"")</f>
        <v/>
      </c>
      <c r="AL104" s="43" t="str">
        <f>IF(IFERROR(DATEDIF(AL$3,$O104,"D")&gt;=0,FALSE),IFERROR(AVERAGE($E104:L104),"N/A"),"")</f>
        <v/>
      </c>
      <c r="AM104" s="43" t="str">
        <f>IF(IFERROR(DATEDIF(AM$3,$O104,"D")&gt;=0,FALSE),IFERROR(AVERAGE($E104:M104),"N/A"),"")</f>
        <v/>
      </c>
      <c r="AN104" s="128" t="str">
        <f>IF(IFERROR(DATEDIF(AN$3,$O104,"D")&gt;=0,FALSE),IFERROR(AVERAGE($E104:N104),"N/A"),"")</f>
        <v/>
      </c>
    </row>
    <row r="105" spans="1:42" ht="31.5" thickTop="1" thickBot="1" x14ac:dyDescent="0.3">
      <c r="B105" s="370" t="s">
        <v>126</v>
      </c>
      <c r="C105" s="370"/>
      <c r="D105" s="147"/>
      <c r="E105" s="131">
        <v>42838</v>
      </c>
      <c r="F105" s="131">
        <v>42843</v>
      </c>
      <c r="G105" s="131">
        <v>42846</v>
      </c>
      <c r="H105" s="131">
        <v>42850</v>
      </c>
      <c r="I105" s="131">
        <v>42853</v>
      </c>
      <c r="J105" s="131">
        <v>42857</v>
      </c>
      <c r="K105" s="131">
        <v>42860</v>
      </c>
      <c r="L105" s="131">
        <v>42864</v>
      </c>
      <c r="M105" s="131">
        <v>42867</v>
      </c>
      <c r="N105" s="131">
        <v>42871</v>
      </c>
      <c r="O105" s="284"/>
      <c r="P105" s="43"/>
      <c r="Q105" s="285" t="s">
        <v>63</v>
      </c>
      <c r="R105" s="221">
        <f>AVERAGE(R5:R104)</f>
        <v>1.2783083645443196</v>
      </c>
      <c r="S105" s="245">
        <f>AVERAGE(S5:S104)</f>
        <v>1.8643813348632627</v>
      </c>
      <c r="T105" s="245">
        <f>AVERAGE(T5:T104)</f>
        <v>2.303370786516854</v>
      </c>
      <c r="U105" s="245">
        <f>AVERAGE(U5:U104)</f>
        <v>2.62</v>
      </c>
      <c r="V105" s="275" t="s">
        <v>117</v>
      </c>
      <c r="W105" s="43">
        <f>IF($AB$105,AVERAGE(W5:W104),AVERAGEIF(W5:W104,"&gt;"&amp;0))</f>
        <v>1.4150793650793652</v>
      </c>
      <c r="X105" s="43">
        <f>IF($AB$105,AVERAGE(X5:X104),AVERAGEIF(X5:X104,"&gt;"&amp;0))</f>
        <v>1.3653206778206777</v>
      </c>
      <c r="Y105" s="43">
        <f>IF($AB$105,AVERAGE(Y5:Y104),AVERAGEIF(Y5:Y104,"&gt;"&amp;0))</f>
        <v>1.4864583333333332</v>
      </c>
      <c r="Z105" s="43">
        <f>IF($AB$105,AVERAGE(Z5:Z104),AVERAGEIF(Z5:Z104,"&gt;"&amp;0))</f>
        <v>1.3430762852404643</v>
      </c>
      <c r="AA105" s="184" t="s">
        <v>121</v>
      </c>
      <c r="AB105" t="b">
        <v>0</v>
      </c>
      <c r="AD105" s="238" t="s">
        <v>64</v>
      </c>
      <c r="AE105" s="100">
        <f>AVERAGE(AE5:AE104)</f>
        <v>1.6404494382022472</v>
      </c>
      <c r="AF105" s="100">
        <f t="shared" ref="AF105:AN105" si="11">AVERAGE(AF5:AF104)</f>
        <v>1.3987341772151898</v>
      </c>
      <c r="AG105" s="100">
        <f t="shared" si="11"/>
        <v>1.182432432432432</v>
      </c>
      <c r="AH105" s="100">
        <f t="shared" si="11"/>
        <v>1.1724137931034482</v>
      </c>
      <c r="AI105" s="100">
        <f t="shared" si="11"/>
        <v>1.2173913043478264</v>
      </c>
      <c r="AJ105" s="100">
        <f t="shared" si="11"/>
        <v>1.1576923076923078</v>
      </c>
      <c r="AK105" s="100">
        <f t="shared" si="11"/>
        <v>1.1177944862155389</v>
      </c>
      <c r="AL105" s="100">
        <f t="shared" si="11"/>
        <v>1.2232142857142858</v>
      </c>
      <c r="AM105" s="100">
        <f t="shared" si="11"/>
        <v>1.1130952380952381</v>
      </c>
      <c r="AN105" s="212">
        <f t="shared" si="11"/>
        <v>1.0629629629629631</v>
      </c>
    </row>
    <row r="106" spans="1:42" ht="15" customHeight="1" x14ac:dyDescent="0.25">
      <c r="A106" s="360" t="s">
        <v>79</v>
      </c>
      <c r="B106" s="288" t="s">
        <v>16</v>
      </c>
      <c r="C106" s="291">
        <f>COUNTIF($P$5:$P$104,FALSE)</f>
        <v>13</v>
      </c>
      <c r="D106" s="227" t="s">
        <v>99</v>
      </c>
      <c r="E106" s="227">
        <f>SUMPRODUCT(--(E$5:E$104&gt;0),--($P$5:$P$104=FALSE))</f>
        <v>6</v>
      </c>
      <c r="F106" s="227">
        <f t="shared" ref="F106:N106" si="12">SUMPRODUCT(--(F$5:F$104&gt;0),--($P$5:$P$104=FALSE))</f>
        <v>5</v>
      </c>
      <c r="G106" s="227">
        <f t="shared" si="12"/>
        <v>4</v>
      </c>
      <c r="H106" s="227">
        <f t="shared" si="12"/>
        <v>4</v>
      </c>
      <c r="I106" s="227">
        <f t="shared" si="12"/>
        <v>4</v>
      </c>
      <c r="J106" s="227">
        <f t="shared" si="12"/>
        <v>2</v>
      </c>
      <c r="K106" s="227">
        <f t="shared" si="12"/>
        <v>2</v>
      </c>
      <c r="L106" s="227">
        <f t="shared" si="12"/>
        <v>1</v>
      </c>
      <c r="M106" s="227">
        <f t="shared" si="12"/>
        <v>2</v>
      </c>
      <c r="N106" s="227">
        <f t="shared" si="12"/>
        <v>1</v>
      </c>
      <c r="O106" s="43"/>
      <c r="Q106" s="43"/>
      <c r="T106" t="s">
        <v>16</v>
      </c>
      <c r="U106" s="245">
        <f>SUM(U6:U104)</f>
        <v>261</v>
      </c>
      <c r="V106" s="276" t="s">
        <v>116</v>
      </c>
      <c r="W106" s="45">
        <f>COUNT(W5:W104)</f>
        <v>13</v>
      </c>
      <c r="X106" s="45">
        <f>COUNT(X5:X104)</f>
        <v>87</v>
      </c>
      <c r="Y106" s="45">
        <f>COUNT(Y5:Y104)</f>
        <v>30</v>
      </c>
      <c r="Z106" s="42">
        <f>COUNT(Z5:Z104)</f>
        <v>70</v>
      </c>
      <c r="AD106" s="237" t="s">
        <v>65</v>
      </c>
      <c r="AE106" s="45">
        <f>SUM('Albopictus Mortality'!C28:F28)</f>
        <v>3</v>
      </c>
      <c r="AF106" s="45">
        <f>SUM('Albopictus Mortality'!G28:K28)</f>
        <v>2</v>
      </c>
      <c r="AG106" s="45">
        <f>SUM('Albopictus Mortality'!L28:N28)</f>
        <v>1</v>
      </c>
      <c r="AH106" s="45">
        <f>SUM('Albopictus Mortality'!O28:R28)</f>
        <v>0</v>
      </c>
      <c r="AI106" s="45">
        <f>SUM('Albopictus Mortality'!S28:U28)</f>
        <v>3</v>
      </c>
      <c r="AJ106" s="45">
        <f>SUM('Albopictus Mortality'!V28:Y28)</f>
        <v>1</v>
      </c>
      <c r="AK106" s="45">
        <f>SUM('Albopictus Mortality'!Z28:AB28)</f>
        <v>0</v>
      </c>
      <c r="AL106" s="45">
        <f>SUM('Albopictus Mortality'!AC28:AF28)</f>
        <v>1</v>
      </c>
      <c r="AM106" s="45">
        <f>SUM('Albopictus Mortality'!AG28:AI28)</f>
        <v>0</v>
      </c>
      <c r="AN106" s="42">
        <f>SUM('Albopictus Mortality'!AJ28:AM28)</f>
        <v>0</v>
      </c>
      <c r="AO106">
        <f>CORREL(AE105:AN105,AE106:AN106)</f>
        <v>0.77201147833862316</v>
      </c>
      <c r="AP106">
        <f>_xlfn.T.TEST(AE105:AN105,AE106:AN106,2,1)</f>
        <v>0.71292320647932594</v>
      </c>
    </row>
    <row r="107" spans="1:42" x14ac:dyDescent="0.25">
      <c r="A107" s="361"/>
      <c r="B107" s="289" t="s">
        <v>123</v>
      </c>
      <c r="C107" s="292">
        <f>COUNTIFS($T$5:$T$104,"&gt;"&amp;0,$P$5:$P$104,FALSE)</f>
        <v>9</v>
      </c>
      <c r="D107" s="43" t="s">
        <v>102</v>
      </c>
      <c r="E107" s="43">
        <v>60</v>
      </c>
      <c r="F107" s="43">
        <v>62.5</v>
      </c>
      <c r="G107" s="43">
        <v>57.142857142857139</v>
      </c>
      <c r="H107" s="43">
        <v>57.142857142857139</v>
      </c>
      <c r="I107" s="43">
        <v>100</v>
      </c>
      <c r="J107" s="43">
        <v>66.666666666666671</v>
      </c>
      <c r="K107" s="43">
        <v>66.666666666666671</v>
      </c>
      <c r="L107" s="43">
        <v>50</v>
      </c>
      <c r="M107" s="43">
        <v>100</v>
      </c>
      <c r="N107" s="229">
        <v>50</v>
      </c>
      <c r="O107" s="43"/>
      <c r="Q107" s="43"/>
      <c r="V107" t="s">
        <v>119</v>
      </c>
      <c r="W107">
        <f>_xlfn.VAR.P(W5:W104)</f>
        <v>0.68759690858591982</v>
      </c>
      <c r="X107">
        <f>_xlfn.VAR.P(X5:X104)</f>
        <v>0.53083656916376076</v>
      </c>
      <c r="Y107">
        <f>_xlfn.VAR.P(Y5:Y104)</f>
        <v>0.81243631267321748</v>
      </c>
      <c r="Z107">
        <f>_xlfn.VAR.P(Z5:Z104)</f>
        <v>0.37175690957599894</v>
      </c>
    </row>
    <row r="108" spans="1:42" x14ac:dyDescent="0.25">
      <c r="A108" s="361"/>
      <c r="B108" s="289" t="s">
        <v>124</v>
      </c>
      <c r="C108" s="286">
        <f>C106-C107</f>
        <v>4</v>
      </c>
      <c r="D108" s="43" t="s">
        <v>100</v>
      </c>
      <c r="E108" s="43">
        <f>SUMPRODUCT(--($P$5:$P$104=FALSE),E$5:E$104)/(E$106/E$107%)</f>
        <v>1.2</v>
      </c>
      <c r="F108" s="43">
        <f t="shared" ref="F108:N108" si="13">SUMPRODUCT(--($P$5:$P$104=FALSE),F$5:F$104)/(F$106/F$107%)</f>
        <v>1.125</v>
      </c>
      <c r="G108" s="43">
        <f t="shared" si="13"/>
        <v>1</v>
      </c>
      <c r="H108" s="43">
        <f t="shared" si="13"/>
        <v>1</v>
      </c>
      <c r="I108" s="43">
        <f t="shared" si="13"/>
        <v>1.25</v>
      </c>
      <c r="J108" s="43">
        <f t="shared" si="13"/>
        <v>2.0000000000000004</v>
      </c>
      <c r="K108" s="43">
        <f t="shared" si="13"/>
        <v>1.3333333333333335</v>
      </c>
      <c r="L108" s="43">
        <f t="shared" si="13"/>
        <v>1.5</v>
      </c>
      <c r="M108" s="43">
        <f t="shared" si="13"/>
        <v>1</v>
      </c>
      <c r="N108" s="43">
        <f t="shared" si="13"/>
        <v>1</v>
      </c>
      <c r="O108" s="43"/>
      <c r="Q108" s="43"/>
      <c r="V108" t="s">
        <v>118</v>
      </c>
      <c r="W108" s="358">
        <f>_xlfn.T.TEST(W5:W104,X5:X104,2,2)</f>
        <v>0.41733697113890833</v>
      </c>
      <c r="X108" s="358"/>
      <c r="Y108" s="358">
        <f>_xlfn.T.TEST(Y5:Y104,Z5:Z104,2,3)</f>
        <v>1.0165306303156563E-2</v>
      </c>
      <c r="Z108" s="358"/>
    </row>
    <row r="109" spans="1:42" x14ac:dyDescent="0.25">
      <c r="A109" s="361"/>
      <c r="B109" s="289"/>
      <c r="C109" s="286"/>
      <c r="D109" s="153" t="s">
        <v>130</v>
      </c>
      <c r="E109" s="43">
        <f>AVERAGEIFS(E$5:E$104,E$5:E$104,"&gt;"&amp;0,$P$5:$P$104,FALSE)</f>
        <v>2</v>
      </c>
      <c r="F109" s="43">
        <f t="shared" ref="F109:N109" si="14">AVERAGEIFS(F$5:F$104,F$5:F$104,"&gt;"&amp;0,$P$5:$P$104,FALSE)</f>
        <v>1.8</v>
      </c>
      <c r="G109" s="43">
        <f t="shared" si="14"/>
        <v>1.75</v>
      </c>
      <c r="H109" s="43">
        <f t="shared" si="14"/>
        <v>1.75</v>
      </c>
      <c r="I109" s="43">
        <f t="shared" si="14"/>
        <v>1.25</v>
      </c>
      <c r="J109" s="43">
        <f t="shared" si="14"/>
        <v>3</v>
      </c>
      <c r="K109" s="43">
        <f t="shared" si="14"/>
        <v>2</v>
      </c>
      <c r="L109" s="43">
        <f t="shared" si="14"/>
        <v>3</v>
      </c>
      <c r="M109" s="43">
        <f t="shared" si="14"/>
        <v>1</v>
      </c>
      <c r="N109" s="43">
        <f t="shared" si="14"/>
        <v>2</v>
      </c>
      <c r="O109" s="43"/>
      <c r="Q109" s="43"/>
      <c r="W109" s="277"/>
      <c r="X109" s="277"/>
      <c r="Y109" s="277"/>
      <c r="Z109" s="277"/>
    </row>
    <row r="110" spans="1:42" ht="15.75" thickBot="1" x14ac:dyDescent="0.3">
      <c r="A110" s="362"/>
      <c r="B110" s="290" t="s">
        <v>125</v>
      </c>
      <c r="C110" s="293">
        <f>C107/COUNTIF(P5:P104,FALSE)%</f>
        <v>69.230769230769226</v>
      </c>
      <c r="D110" s="230" t="s">
        <v>103</v>
      </c>
      <c r="E110" s="230">
        <f t="array" ref="E110">SUMPRODUCT(--($P$5:$P$104=FALSE),--($T$5:$T$104&gt;0),IFERROR(E$5:E$104/$T$5:$T$104,""))/E$106</f>
        <v>0.94444444444444431</v>
      </c>
      <c r="F110" s="230">
        <f t="array" ref="F110">SUMPRODUCT(--($P$5:$P$104=FALSE),--($T$5:$T$104&gt;0),IFERROR(F$5:F$104/$T$5:$T$104,""))/F$106</f>
        <v>0.76666666666666661</v>
      </c>
      <c r="G110" s="230">
        <f t="array" ref="G110">SUMPRODUCT(--($P$5:$P$104=FALSE),--($T$5:$T$104&gt;0),IFERROR(G$5:G$104/$T$5:$T$104,""))/G$106</f>
        <v>0.75</v>
      </c>
      <c r="H110" s="230">
        <f t="array" ref="H110">SUMPRODUCT(--($P$5:$P$104=FALSE),--($T$5:$T$104&gt;0),IFERROR(H$5:H$104/$T$5:$T$104,""))/H$106</f>
        <v>0.75</v>
      </c>
      <c r="I110" s="230">
        <f t="array" ref="I110">SUMPRODUCT(--($P$5:$P$104=FALSE),--($T$5:$T$104&gt;0),IFERROR(I$5:I$104/$T$5:$T$104,""))/I$106</f>
        <v>0.45833333333333331</v>
      </c>
      <c r="J110" s="230">
        <f t="array" ref="J110">SUMPRODUCT(--($P$5:$P$104=FALSE),--($T$5:$T$104&gt;0),IFERROR(J$5:J$104/$T$5:$T$104,""))/J$106</f>
        <v>1</v>
      </c>
      <c r="K110" s="230">
        <f t="array" ref="K110">SUMPRODUCT(--($P$5:$P$104=FALSE),--($T$5:$T$104&gt;0),IFERROR(K$5:K$104/$T$5:$T$104,""))/K$106</f>
        <v>0.66666666666666663</v>
      </c>
      <c r="L110" s="230">
        <f t="array" ref="L110">SUMPRODUCT(--($P$5:$P$104=FALSE),--($T$5:$T$104&gt;0),IFERROR(L$5:L$104/$T$5:$T$104,""))/L$106</f>
        <v>1</v>
      </c>
      <c r="M110" s="230">
        <f t="array" ref="M110">SUMPRODUCT(--($P$5:$P$104=FALSE),--($T$5:$T$104&gt;0),IFERROR(M$5:M$104/$T$5:$T$104,""))/M$106</f>
        <v>0.41666666666666663</v>
      </c>
      <c r="N110" s="231">
        <f t="array" ref="N110">SUMPRODUCT(--($P$5:$P$104=FALSE),--($T$5:$T$104&gt;0),IFERROR(N$5:N$104/$T$5:$T$104,""))/N$106</f>
        <v>1</v>
      </c>
      <c r="O110" s="153"/>
      <c r="P110" s="153"/>
      <c r="Q110" s="153"/>
      <c r="R110" s="153"/>
      <c r="S110" s="153"/>
      <c r="T110" s="153"/>
      <c r="U110" s="153"/>
      <c r="V110" t="s">
        <v>120</v>
      </c>
      <c r="W110" t="s">
        <v>115</v>
      </c>
      <c r="X110">
        <f>_xlfn.T.TEST(W5:W104,Y5:Y104,2,3)</f>
        <v>0.52827824469388851</v>
      </c>
    </row>
    <row r="111" spans="1:42" x14ac:dyDescent="0.25">
      <c r="A111" s="360" t="s">
        <v>54</v>
      </c>
      <c r="B111" s="288" t="s">
        <v>16</v>
      </c>
      <c r="C111" s="291">
        <f>COUNTIF($P$5:$P$104,TRUE)</f>
        <v>87</v>
      </c>
      <c r="D111" s="227" t="s">
        <v>99</v>
      </c>
      <c r="E111" s="227">
        <f>SUMPRODUCT(--(E$5:E$104&gt;0),--($P$5:$P$104=TRUE))</f>
        <v>62</v>
      </c>
      <c r="F111" s="227">
        <f t="shared" ref="F111:N111" si="15">SUMPRODUCT(--(F$5:F$104&gt;0),--($P$5:$P$104=TRUE))</f>
        <v>46</v>
      </c>
      <c r="G111" s="227">
        <f t="shared" si="15"/>
        <v>29</v>
      </c>
      <c r="H111" s="227">
        <f t="shared" si="15"/>
        <v>37</v>
      </c>
      <c r="I111" s="227">
        <f t="shared" si="15"/>
        <v>25</v>
      </c>
      <c r="J111" s="227">
        <f t="shared" si="15"/>
        <v>17</v>
      </c>
      <c r="K111" s="227">
        <f t="shared" si="15"/>
        <v>10</v>
      </c>
      <c r="L111" s="227">
        <f t="shared" si="15"/>
        <v>5</v>
      </c>
      <c r="M111" s="227">
        <f t="shared" si="15"/>
        <v>0</v>
      </c>
      <c r="N111" s="227">
        <f t="shared" si="15"/>
        <v>0</v>
      </c>
      <c r="O111" s="43"/>
      <c r="P111" s="153"/>
      <c r="Q111" s="153"/>
      <c r="R111" s="43"/>
      <c r="S111" s="43"/>
      <c r="W111" t="s">
        <v>33</v>
      </c>
      <c r="X111">
        <f>_xlfn.T.TEST(Y5:Y104,Z5:Z104,2,3)</f>
        <v>1.0165306303156563E-2</v>
      </c>
    </row>
    <row r="112" spans="1:42" x14ac:dyDescent="0.25">
      <c r="A112" s="361"/>
      <c r="B112" s="289" t="s">
        <v>123</v>
      </c>
      <c r="C112" s="292">
        <f>COUNTIFS($T$5:$T$104,"&gt;"&amp;0,$P$5:$P$104,TRUE)</f>
        <v>74</v>
      </c>
      <c r="D112" s="43" t="s">
        <v>102</v>
      </c>
      <c r="E112" s="43">
        <v>78.48101265822784</v>
      </c>
      <c r="F112" s="43">
        <v>65.714285714285722</v>
      </c>
      <c r="G112" s="43">
        <v>45.3125</v>
      </c>
      <c r="H112" s="43">
        <v>77.083333333333343</v>
      </c>
      <c r="I112" s="43">
        <v>75.757575757575751</v>
      </c>
      <c r="J112" s="43">
        <v>80.952380952380949</v>
      </c>
      <c r="K112" s="43">
        <v>66.666666666666671</v>
      </c>
      <c r="L112" s="43">
        <v>100</v>
      </c>
      <c r="M112" s="43">
        <v>0</v>
      </c>
      <c r="N112" s="229">
        <v>0</v>
      </c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</row>
    <row r="113" spans="1:19" x14ac:dyDescent="0.25">
      <c r="A113" s="361"/>
      <c r="B113" s="289" t="s">
        <v>124</v>
      </c>
      <c r="C113" s="286">
        <f>C111-C112</f>
        <v>13</v>
      </c>
      <c r="D113" s="43" t="s">
        <v>100</v>
      </c>
      <c r="E113" s="43">
        <f>SUMPRODUCT(E$5:E$104,--($P$5:$P$104))/(E$111/E$112%)</f>
        <v>1.6962025316455696</v>
      </c>
      <c r="F113" s="43">
        <f t="shared" ref="F113:L113" si="16">SUMPRODUCT(F$5:F$104,--($P$5:$P$104))/(F$111/F$112%)</f>
        <v>1.1142857142857145</v>
      </c>
      <c r="G113" s="43">
        <f t="shared" si="16"/>
        <v>0.65625</v>
      </c>
      <c r="H113" s="43">
        <f t="shared" si="16"/>
        <v>1.4583333333333335</v>
      </c>
      <c r="I113" s="43">
        <f t="shared" si="16"/>
        <v>1.1515151515151512</v>
      </c>
      <c r="J113" s="43">
        <f t="shared" si="16"/>
        <v>1.5238095238095237</v>
      </c>
      <c r="K113" s="43">
        <f t="shared" si="16"/>
        <v>1.0000000000000002</v>
      </c>
      <c r="L113" s="43">
        <f t="shared" si="16"/>
        <v>2.2000000000000002</v>
      </c>
      <c r="M113" s="43"/>
      <c r="N113" s="229"/>
      <c r="O113" s="43"/>
    </row>
    <row r="114" spans="1:19" ht="15.75" thickBot="1" x14ac:dyDescent="0.3">
      <c r="A114" s="361"/>
      <c r="B114" s="289"/>
      <c r="C114" s="286"/>
      <c r="D114" s="153" t="s">
        <v>130</v>
      </c>
      <c r="E114" s="43">
        <f>AVERAGEIFS(E$5:E$104,E$5:E$104,"&gt;"&amp;0,$P$5:$P$104,TRUE)</f>
        <v>2.161290322580645</v>
      </c>
      <c r="F114" s="43">
        <f t="shared" ref="F114:L114" si="17">AVERAGEIFS(F$5:F$104,F$5:F$104,"&gt;"&amp;0,$P$5:$P$104,TRUE)</f>
        <v>1.6956521739130435</v>
      </c>
      <c r="G114" s="43">
        <f t="shared" si="17"/>
        <v>1.4482758620689655</v>
      </c>
      <c r="H114" s="43">
        <f t="shared" si="17"/>
        <v>1.8918918918918919</v>
      </c>
      <c r="I114" s="43">
        <f t="shared" si="17"/>
        <v>1.52</v>
      </c>
      <c r="J114" s="43">
        <f t="shared" si="17"/>
        <v>1.8823529411764706</v>
      </c>
      <c r="K114" s="43">
        <f t="shared" si="17"/>
        <v>1.5</v>
      </c>
      <c r="L114" s="43">
        <f t="shared" si="17"/>
        <v>2.2000000000000002</v>
      </c>
      <c r="M114" s="43"/>
      <c r="N114" s="229"/>
      <c r="O114" s="43"/>
    </row>
    <row r="115" spans="1:19" ht="15.75" customHeight="1" thickBot="1" x14ac:dyDescent="0.3">
      <c r="A115" s="362"/>
      <c r="B115" s="290" t="s">
        <v>125</v>
      </c>
      <c r="C115" s="293">
        <f>C112/COUNTIF(P5:P104,TRUE)%</f>
        <v>85.05747126436782</v>
      </c>
      <c r="D115" s="230" t="s">
        <v>103</v>
      </c>
      <c r="E115" s="230">
        <f t="array" ref="E115">SUMPRODUCT(--($P$5:$P$104=TRUE),--($T$5:$T$104&gt;0),IFERROR((E$5:E$104/$T$5:$T$104),""))/E$111</f>
        <v>0.86021505376344087</v>
      </c>
      <c r="F115" s="230">
        <f t="array" ref="F115">SUMPRODUCT(--($P$5:$P$104=TRUE),--($T$5:$T$104&gt;0),IFERROR((F$5:F$104/$T$5:$T$104),""))/F$111</f>
        <v>0.72463768115942018</v>
      </c>
      <c r="G115" s="230">
        <f t="array" ref="G115">SUMPRODUCT(--($P$5:$P$104=TRUE),--($T$5:$T$104&gt;0),IFERROR((G$5:G$104/$T$5:$T$104),""))/G$111</f>
        <v>0.61494252873563204</v>
      </c>
      <c r="H115" s="230">
        <f t="array" ref="H115">SUMPRODUCT(--($P$5:$P$104=TRUE),--($T$5:$T$104&gt;0),IFERROR((H$5:H$104/$T$5:$T$104),""))/H$111</f>
        <v>0.7432432432432432</v>
      </c>
      <c r="I115" s="230">
        <f t="array" ref="I115">SUMPRODUCT(--($P$5:$P$104=TRUE),--($T$5:$T$104&gt;0),IFERROR((I$5:I$104/$T$5:$T$104),""))/I$111</f>
        <v>0.60000000000000009</v>
      </c>
      <c r="J115" s="230">
        <f t="array" ref="J115">SUMPRODUCT(--($P$5:$P$104=TRUE),--($T$5:$T$104&gt;0),IFERROR((J$5:J$104/$T$5:$T$104),""))/J$111</f>
        <v>0.75</v>
      </c>
      <c r="K115" s="230">
        <f t="array" ref="K115">SUMPRODUCT(--($P$5:$P$104=TRUE),--($T$5:$T$104&gt;0),IFERROR((K$5:K$104/$T$5:$T$104),""))/K$111</f>
        <v>0.58333333333333326</v>
      </c>
      <c r="L115" s="230">
        <f t="array" ref="L115">SUMPRODUCT(--($P$5:$P$104=TRUE),--($T$5:$T$104&gt;0),IFERROR((L$5:L$104/$T$5:$T$104),""))/L$111</f>
        <v>0.8</v>
      </c>
      <c r="M115" s="230"/>
      <c r="N115" s="231"/>
      <c r="O115" s="278"/>
    </row>
    <row r="116" spans="1:19" ht="15" customHeight="1" x14ac:dyDescent="0.25">
      <c r="A116" s="360" t="s">
        <v>88</v>
      </c>
      <c r="B116" s="288" t="s">
        <v>16</v>
      </c>
      <c r="C116" s="291">
        <f>COUNTIFS($P$5:$P$104,TRUE,$Q$5:$Q$104,FALSE)</f>
        <v>9</v>
      </c>
      <c r="D116" s="227" t="s">
        <v>99</v>
      </c>
      <c r="E116" s="227">
        <f>SUMPRODUCT(--(E$5:E$104&gt;0),--($P$5:$P$104=TRUE),(--($Q$5:$Q$104=FALSE)))</f>
        <v>6</v>
      </c>
      <c r="F116" s="227">
        <f t="shared" ref="F116:K116" si="18">SUMPRODUCT(--(F$5:F$104&gt;0),--($P$5:$P$104=TRUE),(--($Q$5:$Q$104=FALSE)))</f>
        <v>4</v>
      </c>
      <c r="G116" s="227">
        <f t="shared" si="18"/>
        <v>3</v>
      </c>
      <c r="H116" s="227">
        <f t="shared" si="18"/>
        <v>3</v>
      </c>
      <c r="I116" s="227">
        <f t="shared" si="18"/>
        <v>3</v>
      </c>
      <c r="J116" s="227">
        <f t="shared" si="18"/>
        <v>0</v>
      </c>
      <c r="K116" s="227">
        <f t="shared" si="18"/>
        <v>0</v>
      </c>
      <c r="L116" s="227"/>
      <c r="M116" s="227"/>
      <c r="N116" s="228"/>
      <c r="O116" s="279"/>
    </row>
    <row r="117" spans="1:19" x14ac:dyDescent="0.25">
      <c r="A117" s="361"/>
      <c r="B117" s="289" t="s">
        <v>123</v>
      </c>
      <c r="C117" s="292">
        <f>COUNTIFS($T$5:$T$104,"&gt;"&amp;0,$P$5:$P$104,TRUE,$Q$5:$Q$104,FALSE)</f>
        <v>7</v>
      </c>
      <c r="D117" s="43" t="s">
        <v>102</v>
      </c>
      <c r="E117" s="43">
        <v>66.666666666666671</v>
      </c>
      <c r="F117" s="43">
        <v>80</v>
      </c>
      <c r="G117" s="43">
        <v>60</v>
      </c>
      <c r="H117" s="43">
        <v>100</v>
      </c>
      <c r="I117" s="43">
        <v>100</v>
      </c>
      <c r="J117" s="43">
        <v>0</v>
      </c>
      <c r="K117" s="299">
        <v>0</v>
      </c>
      <c r="L117" s="43"/>
      <c r="M117" s="43"/>
      <c r="N117" s="229"/>
      <c r="O117" s="279"/>
    </row>
    <row r="118" spans="1:19" x14ac:dyDescent="0.25">
      <c r="A118" s="361"/>
      <c r="B118" s="289" t="s">
        <v>124</v>
      </c>
      <c r="C118" s="286">
        <f>C116-C117</f>
        <v>2</v>
      </c>
      <c r="D118" s="43" t="s">
        <v>100</v>
      </c>
      <c r="E118" s="43">
        <f>SUMPRODUCT(--($P$5:$P$104=TRUE),--($Q$5:$Q$104=FALSE),E$5:E$104)/(E116/E117%)</f>
        <v>1.4444444444444446</v>
      </c>
      <c r="F118" s="43">
        <f>SUMPRODUCT(--($P$5:$P$104=TRUE),--($Q$5:$Q$104=FALSE),F$5:F$104)/(F116/F117%)</f>
        <v>1.6</v>
      </c>
      <c r="G118" s="43">
        <f>SUMPRODUCT(--($P$5:$P$104=TRUE),--($Q$5:$Q$104=FALSE),G$5:G$104)/(G116/G117%)</f>
        <v>1</v>
      </c>
      <c r="H118" s="43">
        <f>SUMPRODUCT(--($P$5:$P$104=TRUE),--($Q$5:$Q$104=FALSE),H$5:H$104)/(H116/H117%)</f>
        <v>2</v>
      </c>
      <c r="I118" s="43">
        <f>SUMPRODUCT(--($P$5:$P$104=TRUE),--($Q$5:$Q$104=FALSE),I$5:I$104)/(I116/I117%)</f>
        <v>1.3333333333333333</v>
      </c>
      <c r="J118" s="43"/>
      <c r="K118" s="299"/>
      <c r="L118" s="43"/>
      <c r="M118" s="43"/>
      <c r="N118" s="229"/>
      <c r="O118" s="279"/>
    </row>
    <row r="119" spans="1:19" ht="15.75" thickBot="1" x14ac:dyDescent="0.3">
      <c r="A119" s="361"/>
      <c r="B119" s="289"/>
      <c r="C119" s="286"/>
      <c r="D119" s="153" t="s">
        <v>130</v>
      </c>
      <c r="E119" s="43">
        <f>AVERAGEIFS(E$5:E$104,E$5:E$104,"&gt;"&amp;0,$P$5:$P$104,TRUE,$Q$5:$Q$104,FALSE)</f>
        <v>2.1666666666666665</v>
      </c>
      <c r="F119" s="43">
        <f>AVERAGEIFS(F$5:F$104,F$5:F$104,"&gt;"&amp;0,$P$5:$P$104,TRUE,$Q$5:$Q$104,FALSE)</f>
        <v>2</v>
      </c>
      <c r="G119" s="43">
        <f>AVERAGEIFS(G$5:G$104,G$5:G$104,"&gt;"&amp;0,$P$5:$P$104,TRUE,$Q$5:$Q$104,FALSE)</f>
        <v>1.6666666666666667</v>
      </c>
      <c r="H119" s="43">
        <f>AVERAGEIFS(H$5:H$104,H$5:H$104,"&gt;"&amp;0,$P$5:$P$104,TRUE,$Q$5:$Q$104,FALSE)</f>
        <v>2</v>
      </c>
      <c r="I119" s="43">
        <f>AVERAGEIFS(I$5:I$104,I$5:I$104,"&gt;"&amp;0,$P$5:$P$104,TRUE,$Q$5:$Q$104,FALSE)</f>
        <v>1.3333333333333333</v>
      </c>
      <c r="J119" s="43"/>
      <c r="K119" s="43"/>
      <c r="L119" s="43"/>
      <c r="M119" s="43"/>
      <c r="N119" s="229"/>
      <c r="O119" s="280"/>
      <c r="Q119" s="43"/>
      <c r="R119" s="43"/>
      <c r="S119" s="43"/>
    </row>
    <row r="120" spans="1:19" ht="15.75" thickBot="1" x14ac:dyDescent="0.3">
      <c r="A120" s="362"/>
      <c r="B120" s="290" t="s">
        <v>125</v>
      </c>
      <c r="C120" s="293">
        <f>C117/COUNTIFS($P$5:$P$104,TRUE,$Q$5:$Q$104,FALSE)%</f>
        <v>77.777777777777786</v>
      </c>
      <c r="D120" s="230" t="s">
        <v>103</v>
      </c>
      <c r="E120" s="230">
        <f t="array" ref="E120">SUMPRODUCT(--($P$5:$P$104=TRUE),--($Q$5:$Q$104=FALSE),--($T$5:$T$104&gt;0),IFERROR((E$5:E$104/$T$5:$T$104),""))/E$116</f>
        <v>0.94444444444444453</v>
      </c>
      <c r="F120" s="230">
        <f t="array" ref="F120">SUMPRODUCT(--($P$5:$P$104=TRUE),--($Q$5:$Q$104=FALSE),--($T$5:$T$104&gt;0),IFERROR((F$5:F$104/$T$5:$T$104),""))/F$116</f>
        <v>0.79166666666666663</v>
      </c>
      <c r="G120" s="230">
        <f t="array" ref="G120">SUMPRODUCT(--($P$5:$P$104=TRUE),--($Q$5:$Q$104=FALSE),--($T$5:$T$104&gt;0),IFERROR((G$5:G$104/$T$5:$T$104),""))/G$116</f>
        <v>0.72222222222222221</v>
      </c>
      <c r="H120" s="230">
        <f t="array" ref="H120">SUMPRODUCT(--($P$5:$P$104=TRUE),--($Q$5:$Q$104=FALSE),--($T$5:$T$104&gt;0),IFERROR((H$5:H$104/$T$5:$T$104),""))/H$116</f>
        <v>0.83333333333333337</v>
      </c>
      <c r="I120" s="230">
        <f t="array" ref="I120">SUMPRODUCT(--($P$5:$P$104=TRUE),--($Q$5:$Q$104=FALSE),--($T$5:$T$104&gt;0),IFERROR((I$5:I$104/$T$5:$T$104),""))/I$116</f>
        <v>0.61111111111111105</v>
      </c>
      <c r="J120" s="230"/>
      <c r="K120" s="299"/>
      <c r="L120" s="230"/>
      <c r="M120" s="230"/>
      <c r="N120" s="231"/>
      <c r="O120" s="43"/>
      <c r="Q120" s="43"/>
      <c r="R120" s="43"/>
      <c r="S120" s="43"/>
    </row>
    <row r="121" spans="1:19" ht="15" customHeight="1" x14ac:dyDescent="0.25">
      <c r="A121" s="360" t="s">
        <v>81</v>
      </c>
      <c r="B121" s="288" t="s">
        <v>16</v>
      </c>
      <c r="C121" s="291">
        <f>COUNTIFS($P$5:$P$104,TRUE,$Q$5:$Q$104,TRUE)</f>
        <v>70</v>
      </c>
      <c r="D121" s="227" t="s">
        <v>99</v>
      </c>
      <c r="E121" s="227">
        <v>56</v>
      </c>
      <c r="F121" s="227">
        <v>42</v>
      </c>
      <c r="G121" s="227">
        <v>26</v>
      </c>
      <c r="H121" s="227">
        <v>34</v>
      </c>
      <c r="I121" s="227">
        <v>22</v>
      </c>
      <c r="J121" s="227">
        <v>17</v>
      </c>
      <c r="K121" s="227">
        <v>10</v>
      </c>
      <c r="L121" s="227">
        <v>5</v>
      </c>
      <c r="M121" s="227">
        <v>0</v>
      </c>
      <c r="N121" s="228">
        <v>0</v>
      </c>
      <c r="O121" s="43"/>
      <c r="Q121" s="43"/>
      <c r="R121" s="43"/>
      <c r="S121" s="43"/>
    </row>
    <row r="122" spans="1:19" x14ac:dyDescent="0.25">
      <c r="A122" s="361"/>
      <c r="B122" s="289" t="s">
        <v>123</v>
      </c>
      <c r="C122" s="292">
        <f>COUNTIFS($T$5:$T$104,"&gt;"&amp;0,$P$5:$P$104,TRUE,$Q$5:$Q$104,TRUE)</f>
        <v>67</v>
      </c>
      <c r="D122" s="43" t="s">
        <v>102</v>
      </c>
      <c r="E122" s="43">
        <v>80</v>
      </c>
      <c r="F122" s="43">
        <v>64.615384615384613</v>
      </c>
      <c r="G122" s="43">
        <v>44.067796610169495</v>
      </c>
      <c r="H122" s="43">
        <v>75.555555555555557</v>
      </c>
      <c r="I122" s="43">
        <v>73.333333333333343</v>
      </c>
      <c r="J122" s="43">
        <v>85</v>
      </c>
      <c r="K122" s="43">
        <v>71.428571428571416</v>
      </c>
      <c r="L122" s="43">
        <v>100</v>
      </c>
      <c r="M122" s="43">
        <v>0</v>
      </c>
      <c r="N122" s="229">
        <v>0</v>
      </c>
      <c r="O122" s="43"/>
      <c r="Q122" s="43"/>
      <c r="R122" s="43"/>
      <c r="S122" s="43"/>
    </row>
    <row r="123" spans="1:19" x14ac:dyDescent="0.25">
      <c r="A123" s="361"/>
      <c r="B123" s="289" t="s">
        <v>124</v>
      </c>
      <c r="C123" s="286">
        <f>C121-C122</f>
        <v>3</v>
      </c>
      <c r="D123" s="43" t="s">
        <v>100</v>
      </c>
      <c r="E123" s="43">
        <f>SUMPRODUCT(--($P$5:$P$104=TRUE),--($Q$5:$Q$104=TRUE),E$5:E$104)/(E121/E122%)</f>
        <v>1.7285714285714286</v>
      </c>
      <c r="F123" s="43">
        <f t="shared" ref="F123:L123" si="19">SUMPRODUCT(--($P$5:$P$104=TRUE),--($Q$5:$Q$104=TRUE),F$5:F$104)/(F121/F122%)</f>
        <v>1.0769230769230766</v>
      </c>
      <c r="G123" s="43">
        <f t="shared" si="19"/>
        <v>0.62711864406779672</v>
      </c>
      <c r="H123" s="43">
        <f t="shared" si="19"/>
        <v>1.4222222222222223</v>
      </c>
      <c r="I123" s="43">
        <f t="shared" si="19"/>
        <v>1.1333333333333335</v>
      </c>
      <c r="J123" s="43">
        <f t="shared" si="19"/>
        <v>1.6</v>
      </c>
      <c r="K123" s="43">
        <f t="shared" si="19"/>
        <v>1.0714285714285714</v>
      </c>
      <c r="L123" s="43">
        <f t="shared" si="19"/>
        <v>2.2000000000000002</v>
      </c>
      <c r="M123" s="43"/>
      <c r="N123" s="229"/>
      <c r="O123" s="43"/>
      <c r="Q123" s="43"/>
      <c r="R123" s="43"/>
      <c r="S123" s="43"/>
    </row>
    <row r="124" spans="1:19" x14ac:dyDescent="0.25">
      <c r="A124" s="361"/>
      <c r="B124" s="289"/>
      <c r="C124" s="286"/>
      <c r="D124" s="153" t="s">
        <v>130</v>
      </c>
      <c r="E124" s="43">
        <f>AVERAGEIFS(E$5:E$104,E$5:E$104,"&gt;"&amp;0,$P$5:$P$104,TRUE,$Q$5:$Q$104,TRUE)</f>
        <v>2.1607142857142856</v>
      </c>
      <c r="F124" s="43">
        <f t="shared" ref="F124:L124" si="20">AVERAGEIFS(F$5:F$104,F$5:F$104,"&gt;"&amp;0,$P$5:$P$104,TRUE,$Q$5:$Q$104,TRUE)</f>
        <v>1.6666666666666667</v>
      </c>
      <c r="G124" s="43">
        <f t="shared" si="20"/>
        <v>1.4230769230769231</v>
      </c>
      <c r="H124" s="43">
        <f t="shared" si="20"/>
        <v>1.8823529411764706</v>
      </c>
      <c r="I124" s="43">
        <f t="shared" si="20"/>
        <v>1.5454545454545454</v>
      </c>
      <c r="J124" s="43">
        <f t="shared" si="20"/>
        <v>1.8823529411764706</v>
      </c>
      <c r="K124" s="43">
        <f t="shared" si="20"/>
        <v>1.5</v>
      </c>
      <c r="L124" s="43">
        <f t="shared" si="20"/>
        <v>2.2000000000000002</v>
      </c>
      <c r="M124" s="43"/>
      <c r="N124" s="229"/>
      <c r="O124" s="43"/>
      <c r="Q124" s="43"/>
      <c r="R124" s="43"/>
      <c r="S124" s="43"/>
    </row>
    <row r="125" spans="1:19" ht="15.75" thickBot="1" x14ac:dyDescent="0.3">
      <c r="A125" s="362"/>
      <c r="B125" s="290" t="s">
        <v>125</v>
      </c>
      <c r="C125" s="294">
        <f>C122/COUNTIFS($P$5:$P$104,TRUE,$Q$5:$Q$104,TRUE)%</f>
        <v>95.714285714285722</v>
      </c>
      <c r="D125" s="230" t="s">
        <v>103</v>
      </c>
      <c r="E125" s="230">
        <f t="array" ref="E125">SUMPRODUCT(--($P$5:$P$104=TRUE),--($Q$5:$Q$104=TRUE),--($T$5:$T$104&gt;0),IFERROR((E$5:E$104/$T$5:$T$104),""))/E$121</f>
        <v>0.85119047619047605</v>
      </c>
      <c r="F125" s="230">
        <f t="array" ref="F125">SUMPRODUCT(--($P$5:$P$104=TRUE),--($Q$5:$Q$104=TRUE),--($T$5:$T$104&gt;0),IFERROR((F$5:F$104/$T$5:$T$104),""))/F$121</f>
        <v>0.71825396825396814</v>
      </c>
      <c r="G125" s="230">
        <f t="array" ref="G125">SUMPRODUCT(--($P$5:$P$104=TRUE),--($Q$5:$Q$104=TRUE),--($T$5:$T$104&gt;0),IFERROR((G$5:G$104/$T$5:$T$104),""))/G$121</f>
        <v>0.60256410256410253</v>
      </c>
      <c r="H125" s="230">
        <f t="array" ref="H125">SUMPRODUCT(--($P$5:$P$104=TRUE),--($Q$5:$Q$104=TRUE),--($T$5:$T$104&gt;0),IFERROR((H$5:H$104/$T$5:$T$104),""))/H$121</f>
        <v>0.73529411764705876</v>
      </c>
      <c r="I125" s="230">
        <f t="array" ref="I125">SUMPRODUCT(--($P$5:$P$104=TRUE),--($Q$5:$Q$104=TRUE),--($T$5:$T$104&gt;0),IFERROR((I$5:I$104/$T$5:$T$104),""))/I$121</f>
        <v>0.59848484848484851</v>
      </c>
      <c r="J125" s="230">
        <f t="array" ref="J125">SUMPRODUCT(--($P$5:$P$104=TRUE),--($Q$5:$Q$104=TRUE),--($T$5:$T$104&gt;0),IFERROR((J$5:J$104/$T$5:$T$104),""))/J$121</f>
        <v>0.75</v>
      </c>
      <c r="K125" s="230">
        <f t="array" ref="K125">SUMPRODUCT(--($P$5:$P$104=TRUE),--($Q$5:$Q$104=TRUE),--($T$5:$T$104&gt;0),IFERROR((K$5:K$104/$T$5:$T$104),""))/K$121</f>
        <v>0.58333333333333326</v>
      </c>
      <c r="L125" s="230">
        <f t="array" ref="L125">SUMPRODUCT(--($P$5:$P$104=TRUE),--($Q$5:$Q$104=TRUE),--($T$5:$T$104&gt;0),IFERROR((L$5:L$104/$T$5:$T$104),""))/L$121</f>
        <v>0.8</v>
      </c>
      <c r="M125" s="230"/>
      <c r="N125" s="231"/>
      <c r="O125" s="43"/>
      <c r="Q125" s="43"/>
      <c r="R125" s="43"/>
      <c r="S125" s="43"/>
    </row>
    <row r="126" spans="1:19" ht="15" customHeight="1" x14ac:dyDescent="0.25">
      <c r="A126" s="360" t="s">
        <v>101</v>
      </c>
      <c r="B126" s="288" t="s">
        <v>16</v>
      </c>
      <c r="C126" s="291">
        <v>100</v>
      </c>
      <c r="D126" s="227" t="s">
        <v>99</v>
      </c>
      <c r="E126" s="227">
        <v>68</v>
      </c>
      <c r="F126" s="227">
        <v>51</v>
      </c>
      <c r="G126" s="227">
        <v>33</v>
      </c>
      <c r="H126" s="227">
        <v>41</v>
      </c>
      <c r="I126" s="227">
        <v>29</v>
      </c>
      <c r="J126" s="227">
        <v>19</v>
      </c>
      <c r="K126" s="227">
        <v>12</v>
      </c>
      <c r="L126" s="227">
        <v>6</v>
      </c>
      <c r="M126" s="227">
        <v>2</v>
      </c>
      <c r="N126" s="228">
        <v>1</v>
      </c>
      <c r="O126" s="43"/>
      <c r="Q126" s="43"/>
      <c r="R126" s="43"/>
      <c r="S126" s="43"/>
    </row>
    <row r="127" spans="1:19" x14ac:dyDescent="0.25">
      <c r="A127" s="361"/>
      <c r="B127" s="289" t="s">
        <v>123</v>
      </c>
      <c r="C127" s="295">
        <f>COUNTIF(T5:T104,"&gt;"&amp;0)</f>
        <v>83</v>
      </c>
      <c r="D127" s="43" t="s">
        <v>102</v>
      </c>
      <c r="E127" s="43">
        <v>76.404494382022477</v>
      </c>
      <c r="F127" s="43">
        <v>65.384615384615387</v>
      </c>
      <c r="G127" s="43">
        <v>46.478873239436624</v>
      </c>
      <c r="H127" s="43">
        <v>74.545454545454533</v>
      </c>
      <c r="I127" s="43">
        <v>78.378378378378386</v>
      </c>
      <c r="J127" s="43">
        <v>79.166666666666671</v>
      </c>
      <c r="K127" s="43">
        <v>66.666666666666671</v>
      </c>
      <c r="L127" s="43">
        <v>85.714285714285708</v>
      </c>
      <c r="M127" s="43">
        <v>33.333333333333336</v>
      </c>
      <c r="N127" s="229">
        <v>25</v>
      </c>
      <c r="O127" s="43"/>
      <c r="Q127" s="43"/>
      <c r="R127" s="43"/>
      <c r="S127" s="43"/>
    </row>
    <row r="128" spans="1:19" ht="14.25" customHeight="1" x14ac:dyDescent="0.25">
      <c r="A128" s="361"/>
      <c r="B128" s="289" t="s">
        <v>124</v>
      </c>
      <c r="C128" s="286">
        <f>C126-C127</f>
        <v>17</v>
      </c>
      <c r="D128" s="43" t="s">
        <v>100</v>
      </c>
      <c r="E128" s="43">
        <f>AVERAGE(E$5:E$104)</f>
        <v>1.6404494382022472</v>
      </c>
      <c r="F128" s="43">
        <f t="shared" ref="F128:N128" si="21">AVERAGE(F$5:F$104)</f>
        <v>1.1153846153846154</v>
      </c>
      <c r="G128" s="43">
        <f t="shared" si="21"/>
        <v>0.7</v>
      </c>
      <c r="H128" s="43">
        <f t="shared" si="21"/>
        <v>1.4</v>
      </c>
      <c r="I128" s="43">
        <f t="shared" si="21"/>
        <v>1.131578947368421</v>
      </c>
      <c r="J128" s="43">
        <f t="shared" si="21"/>
        <v>1.5833333333333333</v>
      </c>
      <c r="K128" s="43">
        <f t="shared" si="21"/>
        <v>1.0555555555555556</v>
      </c>
      <c r="L128" s="43">
        <f t="shared" si="21"/>
        <v>2</v>
      </c>
      <c r="M128" s="43">
        <f t="shared" si="21"/>
        <v>0.33333333333333331</v>
      </c>
      <c r="N128" s="43">
        <f t="shared" si="21"/>
        <v>0.5</v>
      </c>
      <c r="O128" s="43"/>
      <c r="Q128" s="43"/>
      <c r="R128" s="43"/>
      <c r="S128" s="43"/>
    </row>
    <row r="129" spans="1:40" ht="14.25" customHeight="1" x14ac:dyDescent="0.25">
      <c r="A129" s="361"/>
      <c r="B129" s="289"/>
      <c r="C129" s="286"/>
      <c r="D129" s="153" t="s">
        <v>130</v>
      </c>
      <c r="E129" s="43">
        <f>AVERAGEIF(E$5:E$104,"&gt;"&amp;0)</f>
        <v>2.1470588235294117</v>
      </c>
      <c r="F129" s="43">
        <f t="shared" ref="F129:N129" si="22">AVERAGEIF(F$5:F$104,"&gt;"&amp;0)</f>
        <v>1.7058823529411764</v>
      </c>
      <c r="G129" s="43">
        <f t="shared" si="22"/>
        <v>1.4848484848484849</v>
      </c>
      <c r="H129" s="43">
        <f t="shared" si="22"/>
        <v>1.8780487804878048</v>
      </c>
      <c r="I129" s="43">
        <f t="shared" si="22"/>
        <v>1.4827586206896552</v>
      </c>
      <c r="J129" s="43">
        <f t="shared" si="22"/>
        <v>2</v>
      </c>
      <c r="K129" s="43">
        <f t="shared" si="22"/>
        <v>1.5833333333333333</v>
      </c>
      <c r="L129" s="43">
        <f t="shared" si="22"/>
        <v>2.3333333333333335</v>
      </c>
      <c r="M129" s="43">
        <f t="shared" si="22"/>
        <v>1</v>
      </c>
      <c r="N129" s="43">
        <f t="shared" si="22"/>
        <v>2</v>
      </c>
      <c r="O129" s="43"/>
      <c r="Q129" s="43"/>
      <c r="R129" s="43"/>
      <c r="S129" s="43"/>
    </row>
    <row r="130" spans="1:40" s="109" customFormat="1" ht="15.75" thickBot="1" x14ac:dyDescent="0.3">
      <c r="A130" s="362"/>
      <c r="B130" s="290" t="s">
        <v>125</v>
      </c>
      <c r="C130" s="294">
        <f>C127/100%</f>
        <v>83</v>
      </c>
      <c r="D130" s="230" t="s">
        <v>103</v>
      </c>
      <c r="E130" s="230">
        <v>0.86764705882352955</v>
      </c>
      <c r="F130" s="230">
        <v>0.72875816993464049</v>
      </c>
      <c r="G130" s="230">
        <v>0.63131313131313116</v>
      </c>
      <c r="H130" s="230">
        <v>0.74390243902439024</v>
      </c>
      <c r="I130" s="230">
        <v>0.58045977011494265</v>
      </c>
      <c r="J130" s="230">
        <v>0.77631578947368407</v>
      </c>
      <c r="K130" s="230">
        <v>0.59722222222222221</v>
      </c>
      <c r="L130" s="230">
        <v>0.83333333333333337</v>
      </c>
      <c r="M130" s="230">
        <v>0.41666666666666663</v>
      </c>
      <c r="N130" s="231">
        <v>1</v>
      </c>
      <c r="O130" s="43"/>
      <c r="Q130" s="181"/>
    </row>
    <row r="131" spans="1:40" s="109" customFormat="1" x14ac:dyDescent="0.25">
      <c r="A131" s="360" t="s">
        <v>6</v>
      </c>
      <c r="B131" s="288" t="s">
        <v>16</v>
      </c>
      <c r="C131" s="291">
        <v>40</v>
      </c>
      <c r="D131" s="227" t="s">
        <v>99</v>
      </c>
      <c r="E131" s="227">
        <f>COUNTIF(E140:E179,"&gt;"&amp;0)</f>
        <v>30</v>
      </c>
      <c r="F131" s="227">
        <f t="shared" ref="F131:K131" si="23">COUNTIF(F140:F179,"&gt;"&amp;0)</f>
        <v>16</v>
      </c>
      <c r="G131" s="227">
        <f t="shared" si="23"/>
        <v>13</v>
      </c>
      <c r="H131" s="227">
        <f t="shared" si="23"/>
        <v>11</v>
      </c>
      <c r="I131" s="227">
        <f t="shared" si="23"/>
        <v>7</v>
      </c>
      <c r="J131" s="227">
        <f t="shared" si="23"/>
        <v>4</v>
      </c>
      <c r="K131" s="298">
        <f t="shared" si="23"/>
        <v>2</v>
      </c>
      <c r="L131" s="227"/>
      <c r="M131" s="227"/>
      <c r="N131" s="228"/>
      <c r="O131" s="43"/>
      <c r="Q131" s="181"/>
    </row>
    <row r="132" spans="1:40" s="109" customFormat="1" x14ac:dyDescent="0.25">
      <c r="A132" s="361"/>
      <c r="B132" s="289" t="s">
        <v>123</v>
      </c>
      <c r="C132" s="295">
        <f>COUNTIF(T140:T181,"&gt;"&amp;0)</f>
        <v>34</v>
      </c>
      <c r="D132" s="43" t="s">
        <v>102</v>
      </c>
      <c r="E132" s="43">
        <f>E131/INDEX('Albopictus Mortality'!$A$3:$AP$51,MATCH("Control",'Albopictus Mortality'!$A$3:$A$51,0)+1,MATCH(E$3,'Albopictus Mortality'!$A$3:$AP$3,0))%</f>
        <v>75</v>
      </c>
      <c r="F132" s="43">
        <f>F131/INDEX('Albopictus Mortality'!$A$3:$AP$51,MATCH("Control",'Albopictus Mortality'!$A$3:$A$51,0)+1,MATCH(F$3,'Albopictus Mortality'!$A$3:$AP$3,0))%</f>
        <v>76.19047619047619</v>
      </c>
      <c r="G132" s="43">
        <f>G131/INDEX('Albopictus Mortality'!$A$3:$AP$51,MATCH("Control",'Albopictus Mortality'!$A$3:$A$51,0)+1,MATCH(G$3,'Albopictus Mortality'!$A$3:$AP$3,0))%</f>
        <v>61.904761904761905</v>
      </c>
      <c r="H132" s="43">
        <f>H131/INDEX('Albopictus Mortality'!$A$3:$AP$51,MATCH("Control",'Albopictus Mortality'!$A$3:$A$51,0)+1,MATCH(H$3,'Albopictus Mortality'!$A$3:$AP$3,0))%</f>
        <v>73.333333333333343</v>
      </c>
      <c r="I132" s="43">
        <f>I131/INDEX('Albopictus Mortality'!$A$3:$AP$51,MATCH("Control",'Albopictus Mortality'!$A$3:$A$51,0)+1,MATCH(I$3,'Albopictus Mortality'!$A$3:$AP$3,0))%</f>
        <v>77.777777777777786</v>
      </c>
      <c r="J132" s="43">
        <f>J131/INDEX('Albopictus Mortality'!$A$3:$AP$51,MATCH("Control",'Albopictus Mortality'!$A$3:$A$51,0)+1,MATCH(J$3,'Albopictus Mortality'!$A$3:$AP$3,0))%</f>
        <v>80</v>
      </c>
      <c r="K132" s="299">
        <f>K131/INDEX('Albopictus Mortality'!$A$3:$AP$51,MATCH("Control",'Albopictus Mortality'!$A$3:$A$51,0)+1,MATCH(K$3,'Albopictus Mortality'!$A$3:$AP$3,0))%</f>
        <v>66.666666666666671</v>
      </c>
      <c r="L132" s="43"/>
      <c r="M132" s="43"/>
      <c r="N132" s="229"/>
      <c r="O132" s="43"/>
      <c r="Q132" s="181"/>
    </row>
    <row r="133" spans="1:40" s="109" customFormat="1" x14ac:dyDescent="0.25">
      <c r="A133" s="361"/>
      <c r="B133" s="289" t="s">
        <v>124</v>
      </c>
      <c r="C133" s="286">
        <f>C131-C132</f>
        <v>6</v>
      </c>
      <c r="D133" s="43" t="s">
        <v>100</v>
      </c>
      <c r="E133" s="43">
        <f>AVERAGE(E$140:E$179)</f>
        <v>1.4750000000000001</v>
      </c>
      <c r="F133" s="43">
        <f t="shared" ref="F133:K133" si="24">AVERAGE(F$140:F$179)</f>
        <v>1.2857142857142858</v>
      </c>
      <c r="G133" s="43">
        <f t="shared" si="24"/>
        <v>1.0476190476190477</v>
      </c>
      <c r="H133" s="43">
        <f t="shared" si="24"/>
        <v>1.3333333333333333</v>
      </c>
      <c r="I133" s="43">
        <f t="shared" si="24"/>
        <v>1.1111111111111112</v>
      </c>
      <c r="J133" s="43">
        <f t="shared" si="24"/>
        <v>1.1666666666666667</v>
      </c>
      <c r="K133" s="299">
        <f t="shared" si="24"/>
        <v>0.66666666666666663</v>
      </c>
      <c r="L133" s="43"/>
      <c r="M133" s="43"/>
      <c r="N133" s="229"/>
      <c r="O133" s="43"/>
      <c r="P133" s="43"/>
      <c r="Q133" s="181"/>
    </row>
    <row r="134" spans="1:40" s="109" customFormat="1" x14ac:dyDescent="0.25">
      <c r="A134" s="361"/>
      <c r="B134" s="289"/>
      <c r="C134" s="286"/>
      <c r="D134" s="153" t="s">
        <v>130</v>
      </c>
      <c r="E134" s="43">
        <f>AVERAGEIF(E140:E179,"&gt;"&amp;0)</f>
        <v>1.9666666666666666</v>
      </c>
      <c r="F134" s="43">
        <f t="shared" ref="F134:K134" si="25">AVERAGEIF(F140:F179,"&gt;"&amp;0)</f>
        <v>1.6875</v>
      </c>
      <c r="G134" s="43">
        <f t="shared" si="25"/>
        <v>1.6923076923076923</v>
      </c>
      <c r="H134" s="43">
        <f t="shared" si="25"/>
        <v>1.8181818181818181</v>
      </c>
      <c r="I134" s="43">
        <f t="shared" si="25"/>
        <v>1.4285714285714286</v>
      </c>
      <c r="J134" s="43">
        <f t="shared" si="25"/>
        <v>1.75</v>
      </c>
      <c r="K134" s="43">
        <f t="shared" si="25"/>
        <v>1</v>
      </c>
      <c r="L134" s="43"/>
      <c r="M134" s="43"/>
      <c r="N134" s="229"/>
      <c r="O134" s="43"/>
      <c r="P134" s="43"/>
      <c r="Q134" s="181"/>
    </row>
    <row r="135" spans="1:40" s="109" customFormat="1" ht="15.75" thickBot="1" x14ac:dyDescent="0.3">
      <c r="A135" s="362"/>
      <c r="B135" s="290" t="s">
        <v>125</v>
      </c>
      <c r="C135" s="294">
        <f>C132/C131%</f>
        <v>85</v>
      </c>
      <c r="D135" s="230" t="s">
        <v>103</v>
      </c>
      <c r="E135" s="230">
        <f t="array" ref="E135">AVERAGE(IFERROR(E$5:E$104/$T$5:$T$104,""))</f>
        <v>0.71084337349397597</v>
      </c>
      <c r="F135" s="230">
        <f t="array" ref="F135">AVERAGE(IFERROR(F$5:F$104/$T$5:$T$104,""))</f>
        <v>0.4477911646586345</v>
      </c>
      <c r="G135" s="230">
        <f t="array" ref="G135">AVERAGE(IFERROR(G$5:G$104/$T$5:$T$104,""))</f>
        <v>0.25100401606425699</v>
      </c>
      <c r="H135" s="230">
        <f t="array" ref="H135">AVERAGE(IFERROR(H$5:H$104/$T$5:$T$104,""))</f>
        <v>0.36746987951807231</v>
      </c>
      <c r="I135" s="230">
        <f t="array" ref="I135">AVERAGE(IFERROR(I$5:I$104/$T$5:$T$104,""))</f>
        <v>0.2028112449799197</v>
      </c>
      <c r="J135" s="230">
        <f t="array" ref="J135">AVERAGE(IFERROR(J$5:J$104/$T$5:$T$104,""))</f>
        <v>0.17771084337349397</v>
      </c>
      <c r="K135" s="299">
        <f t="array" ref="K135">AVERAGE(IFERROR(K$5:K$104/$T$5:$T$104,""))</f>
        <v>8.6345381526104409E-2</v>
      </c>
      <c r="L135" s="43"/>
      <c r="M135" s="230"/>
      <c r="N135" s="231"/>
      <c r="O135" s="43"/>
      <c r="P135" s="43"/>
      <c r="Q135" s="181"/>
    </row>
    <row r="136" spans="1:40" s="109" customFormat="1" ht="15" customHeight="1" x14ac:dyDescent="0.25">
      <c r="A136" s="283"/>
      <c r="B136" s="43"/>
      <c r="C136" s="297"/>
      <c r="D136" s="43"/>
      <c r="E136" s="43"/>
      <c r="F136" s="43"/>
      <c r="G136" s="43"/>
      <c r="H136" s="43"/>
      <c r="I136" s="43"/>
      <c r="J136" s="43"/>
      <c r="K136" s="227"/>
      <c r="L136" s="227"/>
      <c r="M136" s="43"/>
      <c r="N136" s="43"/>
      <c r="O136" s="43"/>
      <c r="P136" s="43"/>
      <c r="Q136" s="181"/>
    </row>
    <row r="137" spans="1:40" s="109" customFormat="1" ht="15.75" x14ac:dyDescent="0.25">
      <c r="D137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80"/>
      <c r="P137" s="43"/>
      <c r="Q137" s="181"/>
    </row>
    <row r="138" spans="1:40" ht="16.5" thickBot="1" x14ac:dyDescent="0.3">
      <c r="D138" s="139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1"/>
      <c r="P138" s="181"/>
      <c r="Q138" s="43"/>
    </row>
    <row r="139" spans="1:40" ht="16.5" thickTop="1" thickBot="1" x14ac:dyDescent="0.3">
      <c r="D139" s="366" t="s">
        <v>9</v>
      </c>
      <c r="E139" s="367"/>
      <c r="F139" s="367"/>
      <c r="G139" s="367"/>
      <c r="H139" s="367"/>
      <c r="I139" s="367"/>
      <c r="J139" s="367"/>
      <c r="K139" s="367"/>
      <c r="L139" s="367"/>
      <c r="M139" s="367"/>
      <c r="N139" s="367"/>
      <c r="O139" s="368"/>
      <c r="P139" s="43"/>
      <c r="R139" t="s">
        <v>63</v>
      </c>
      <c r="S139" t="s">
        <v>127</v>
      </c>
      <c r="T139" t="s">
        <v>104</v>
      </c>
      <c r="U139" t="s">
        <v>129</v>
      </c>
      <c r="AE139" s="131">
        <v>42838</v>
      </c>
      <c r="AF139" s="131">
        <v>42843</v>
      </c>
      <c r="AG139" s="131">
        <v>42846</v>
      </c>
      <c r="AH139" s="131">
        <v>42850</v>
      </c>
      <c r="AI139" s="131">
        <v>42853</v>
      </c>
      <c r="AJ139" s="131">
        <v>42857</v>
      </c>
      <c r="AK139" s="131">
        <v>42860</v>
      </c>
      <c r="AL139" s="131">
        <v>42864</v>
      </c>
      <c r="AM139" s="131">
        <v>42867</v>
      </c>
      <c r="AN139" s="131">
        <v>42871</v>
      </c>
    </row>
    <row r="140" spans="1:40" ht="16.5" thickTop="1" x14ac:dyDescent="0.25">
      <c r="D140" s="143">
        <v>1</v>
      </c>
      <c r="E140" s="15">
        <v>3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56">
        <v>42842</v>
      </c>
      <c r="R140">
        <v>3</v>
      </c>
      <c r="S140">
        <v>3</v>
      </c>
      <c r="T140">
        <f>LARGE(E140:N140,1)</f>
        <v>3</v>
      </c>
      <c r="U140">
        <f>COUNTIF(E140:N140,"&gt;"&amp;0)</f>
        <v>1</v>
      </c>
      <c r="AD140">
        <f t="shared" ref="AD140:AD162" si="26">D140</f>
        <v>1</v>
      </c>
      <c r="AE140">
        <f>IFERROR(AVERAGE($E140:E140),"N/A")</f>
        <v>3</v>
      </c>
      <c r="AF140">
        <f>IFERROR(AVERAGE($E140:F140),"N/A")</f>
        <v>3</v>
      </c>
      <c r="AG140">
        <f>IFERROR(AVERAGE($E140:G140),"N/A")</f>
        <v>3</v>
      </c>
      <c r="AH140">
        <f>IFERROR(AVERAGE($E140:H140),"N/A")</f>
        <v>3</v>
      </c>
      <c r="AI140">
        <f>IFERROR(AVERAGE($E140:I140),"N/A")</f>
        <v>3</v>
      </c>
      <c r="AJ140">
        <f>IFERROR(AVERAGE($E140:J140),"N/A")</f>
        <v>3</v>
      </c>
      <c r="AK140">
        <f>IFERROR(AVERAGE($E140:K140),"N/A")</f>
        <v>3</v>
      </c>
      <c r="AL140">
        <f>IFERROR(AVERAGE($E140:L140),"N/A")</f>
        <v>3</v>
      </c>
      <c r="AM140">
        <f>IFERROR(AVERAGE($E140:M140),"N/A")</f>
        <v>3</v>
      </c>
      <c r="AN140">
        <f>IFERROR(AVERAGE($E140:N140),"N/A")</f>
        <v>3</v>
      </c>
    </row>
    <row r="141" spans="1:40" ht="15.75" x14ac:dyDescent="0.25">
      <c r="D141" s="144">
        <v>2</v>
      </c>
      <c r="E141" s="15">
        <v>3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56">
        <v>42842</v>
      </c>
      <c r="R141">
        <v>3</v>
      </c>
      <c r="S141">
        <v>3</v>
      </c>
      <c r="T141">
        <f t="shared" ref="T141:T179" si="27">LARGE(E141:N141,1)</f>
        <v>3</v>
      </c>
      <c r="U141">
        <f t="shared" ref="U141:U179" si="28">COUNTIF(E141:N141,"&gt;"&amp;0)</f>
        <v>1</v>
      </c>
      <c r="AD141">
        <f t="shared" si="26"/>
        <v>2</v>
      </c>
      <c r="AE141">
        <f>IFERROR(AVERAGE($E141:E141),"N/A")</f>
        <v>3</v>
      </c>
      <c r="AF141">
        <f>IFERROR(AVERAGE($E141:F141),"N/A")</f>
        <v>3</v>
      </c>
      <c r="AG141">
        <f>IFERROR(AVERAGE($E141:G141),"N/A")</f>
        <v>3</v>
      </c>
      <c r="AH141">
        <f>IFERROR(AVERAGE($E141:H141),"N/A")</f>
        <v>3</v>
      </c>
      <c r="AI141">
        <f>IFERROR(AVERAGE($E141:I141),"N/A")</f>
        <v>3</v>
      </c>
      <c r="AJ141">
        <f>IFERROR(AVERAGE($E141:J141),"N/A")</f>
        <v>3</v>
      </c>
      <c r="AK141">
        <f>IFERROR(AVERAGE($E141:K141),"N/A")</f>
        <v>3</v>
      </c>
      <c r="AL141">
        <f>IFERROR(AVERAGE($E141:L141),"N/A")</f>
        <v>3</v>
      </c>
      <c r="AM141">
        <f>IFERROR(AVERAGE($E141:M141),"N/A")</f>
        <v>3</v>
      </c>
      <c r="AN141">
        <f>IFERROR(AVERAGE($E141:N141),"N/A")</f>
        <v>3</v>
      </c>
    </row>
    <row r="142" spans="1:40" ht="15.75" x14ac:dyDescent="0.25">
      <c r="D142" s="143">
        <v>3</v>
      </c>
      <c r="E142" s="15">
        <v>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56">
        <v>42842</v>
      </c>
      <c r="R142">
        <v>0</v>
      </c>
      <c r="S142" t="s">
        <v>18</v>
      </c>
      <c r="T142">
        <f t="shared" si="27"/>
        <v>0</v>
      </c>
      <c r="U142">
        <f t="shared" si="28"/>
        <v>0</v>
      </c>
      <c r="AD142">
        <f t="shared" si="26"/>
        <v>3</v>
      </c>
      <c r="AE142">
        <f>IFERROR(AVERAGE($E142:E142),"N/A")</f>
        <v>0</v>
      </c>
      <c r="AF142">
        <f>IFERROR(AVERAGE($E142:F142),"N/A")</f>
        <v>0</v>
      </c>
      <c r="AG142">
        <f>IFERROR(AVERAGE($E142:G142),"N/A")</f>
        <v>0</v>
      </c>
      <c r="AH142">
        <f>IFERROR(AVERAGE($E142:H142),"N/A")</f>
        <v>0</v>
      </c>
      <c r="AI142">
        <f>IFERROR(AVERAGE($E142:I142),"N/A")</f>
        <v>0</v>
      </c>
      <c r="AJ142">
        <f>IFERROR(AVERAGE($E142:J142),"N/A")</f>
        <v>0</v>
      </c>
      <c r="AK142">
        <f>IFERROR(AVERAGE($E142:K142),"N/A")</f>
        <v>0</v>
      </c>
      <c r="AL142">
        <f>IFERROR(AVERAGE($E142:L142),"N/A")</f>
        <v>0</v>
      </c>
      <c r="AM142">
        <f>IFERROR(AVERAGE($E142:M142),"N/A")</f>
        <v>0</v>
      </c>
      <c r="AN142">
        <f>IFERROR(AVERAGE($E142:N142),"N/A")</f>
        <v>0</v>
      </c>
    </row>
    <row r="143" spans="1:40" ht="15.75" x14ac:dyDescent="0.25">
      <c r="D143" s="143">
        <v>4</v>
      </c>
      <c r="E143" s="15">
        <v>2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56">
        <v>42842</v>
      </c>
      <c r="R143">
        <v>2</v>
      </c>
      <c r="S143">
        <v>2</v>
      </c>
      <c r="T143">
        <f t="shared" si="27"/>
        <v>2</v>
      </c>
      <c r="U143">
        <f t="shared" si="28"/>
        <v>1</v>
      </c>
      <c r="AD143">
        <f t="shared" si="26"/>
        <v>4</v>
      </c>
      <c r="AE143">
        <f>IFERROR(AVERAGE($E143:E143),"N/A")</f>
        <v>2</v>
      </c>
      <c r="AF143">
        <f>IFERROR(AVERAGE($E143:F143),"N/A")</f>
        <v>2</v>
      </c>
      <c r="AG143">
        <f>IFERROR(AVERAGE($E143:G143),"N/A")</f>
        <v>2</v>
      </c>
      <c r="AH143">
        <f>IFERROR(AVERAGE($E143:H143),"N/A")</f>
        <v>2</v>
      </c>
      <c r="AI143">
        <f>IFERROR(AVERAGE($E143:I143),"N/A")</f>
        <v>2</v>
      </c>
      <c r="AJ143">
        <f>IFERROR(AVERAGE($E143:J143),"N/A")</f>
        <v>2</v>
      </c>
      <c r="AK143">
        <f>IFERROR(AVERAGE($E143:K143),"N/A")</f>
        <v>2</v>
      </c>
      <c r="AL143">
        <f>IFERROR(AVERAGE($E143:L143),"N/A")</f>
        <v>2</v>
      </c>
      <c r="AM143">
        <f>IFERROR(AVERAGE($E143:M143),"N/A")</f>
        <v>2</v>
      </c>
      <c r="AN143">
        <f>IFERROR(AVERAGE($E143:N143),"N/A")</f>
        <v>2</v>
      </c>
    </row>
    <row r="144" spans="1:40" ht="15.75" x14ac:dyDescent="0.25">
      <c r="D144" s="144">
        <v>5</v>
      </c>
      <c r="E144" s="15">
        <v>0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56">
        <v>42842</v>
      </c>
      <c r="R144">
        <v>0</v>
      </c>
      <c r="S144" t="s">
        <v>18</v>
      </c>
      <c r="T144">
        <f t="shared" si="27"/>
        <v>0</v>
      </c>
      <c r="U144">
        <f t="shared" si="28"/>
        <v>0</v>
      </c>
      <c r="AD144">
        <f t="shared" si="26"/>
        <v>5</v>
      </c>
      <c r="AE144">
        <f>IFERROR(AVERAGE($E144:E144),"N/A")</f>
        <v>0</v>
      </c>
      <c r="AF144">
        <f>IFERROR(AVERAGE($E144:F144),"N/A")</f>
        <v>0</v>
      </c>
      <c r="AG144">
        <f>IFERROR(AVERAGE($E144:G144),"N/A")</f>
        <v>0</v>
      </c>
      <c r="AH144">
        <f>IFERROR(AVERAGE($E144:H144),"N/A")</f>
        <v>0</v>
      </c>
      <c r="AI144">
        <f>IFERROR(AVERAGE($E144:I144),"N/A")</f>
        <v>0</v>
      </c>
      <c r="AJ144">
        <f>IFERROR(AVERAGE($E144:J144),"N/A")</f>
        <v>0</v>
      </c>
      <c r="AK144">
        <f>IFERROR(AVERAGE($E144:K144),"N/A")</f>
        <v>0</v>
      </c>
      <c r="AL144">
        <f>IFERROR(AVERAGE($E144:L144),"N/A")</f>
        <v>0</v>
      </c>
      <c r="AM144">
        <f>IFERROR(AVERAGE($E144:M144),"N/A")</f>
        <v>0</v>
      </c>
      <c r="AN144">
        <f>IFERROR(AVERAGE($E144:N144),"N/A")</f>
        <v>0</v>
      </c>
    </row>
    <row r="145" spans="4:40" ht="15.75" x14ac:dyDescent="0.25">
      <c r="D145" s="143">
        <v>6</v>
      </c>
      <c r="E145" s="15">
        <v>2</v>
      </c>
      <c r="F145" s="15">
        <v>1</v>
      </c>
      <c r="G145" s="15">
        <v>2</v>
      </c>
      <c r="H145" s="15">
        <v>2</v>
      </c>
      <c r="I145" s="15"/>
      <c r="J145" s="15"/>
      <c r="K145" s="15"/>
      <c r="L145" s="15"/>
      <c r="M145" s="15"/>
      <c r="N145" s="15"/>
      <c r="O145" s="56">
        <v>42853</v>
      </c>
      <c r="R145">
        <v>1.75</v>
      </c>
      <c r="S145">
        <v>1.75</v>
      </c>
      <c r="T145">
        <f t="shared" si="27"/>
        <v>2</v>
      </c>
      <c r="U145">
        <f t="shared" si="28"/>
        <v>4</v>
      </c>
      <c r="AD145">
        <f t="shared" si="26"/>
        <v>6</v>
      </c>
      <c r="AE145">
        <f>IFERROR(AVERAGE($E145:E145),"N/A")</f>
        <v>2</v>
      </c>
      <c r="AF145">
        <f>IFERROR(AVERAGE($E145:F145),"N/A")</f>
        <v>1.5</v>
      </c>
      <c r="AG145">
        <f>IFERROR(AVERAGE($E145:G145),"N/A")</f>
        <v>1.6666666666666667</v>
      </c>
      <c r="AH145">
        <f>IFERROR(AVERAGE($E145:H145),"N/A")</f>
        <v>1.75</v>
      </c>
      <c r="AI145">
        <f>IFERROR(AVERAGE($E145:I145),"N/A")</f>
        <v>1.75</v>
      </c>
      <c r="AJ145">
        <f>IFERROR(AVERAGE($E145:J145),"N/A")</f>
        <v>1.75</v>
      </c>
      <c r="AK145">
        <f>IFERROR(AVERAGE($E145:K145),"N/A")</f>
        <v>1.75</v>
      </c>
      <c r="AL145">
        <f>IFERROR(AVERAGE($E145:L145),"N/A")</f>
        <v>1.75</v>
      </c>
      <c r="AM145">
        <f>IFERROR(AVERAGE($E145:M145),"N/A")</f>
        <v>1.75</v>
      </c>
      <c r="AN145">
        <f>IFERROR(AVERAGE($E145:N145),"N/A")</f>
        <v>1.75</v>
      </c>
    </row>
    <row r="146" spans="4:40" ht="15.75" x14ac:dyDescent="0.25">
      <c r="D146" s="143">
        <v>7</v>
      </c>
      <c r="E146" s="15">
        <v>3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56">
        <v>42842</v>
      </c>
      <c r="R146">
        <v>3</v>
      </c>
      <c r="S146">
        <v>3</v>
      </c>
      <c r="T146">
        <f t="shared" si="27"/>
        <v>3</v>
      </c>
      <c r="U146">
        <f t="shared" si="28"/>
        <v>1</v>
      </c>
      <c r="AD146">
        <f t="shared" si="26"/>
        <v>7</v>
      </c>
      <c r="AE146">
        <f>IFERROR(AVERAGE($E146:E146),"N/A")</f>
        <v>3</v>
      </c>
      <c r="AF146">
        <f>IFERROR(AVERAGE($E146:F146),"N/A")</f>
        <v>3</v>
      </c>
      <c r="AG146">
        <f>IFERROR(AVERAGE($E146:G146),"N/A")</f>
        <v>3</v>
      </c>
      <c r="AH146">
        <f>IFERROR(AVERAGE($E146:H146),"N/A")</f>
        <v>3</v>
      </c>
      <c r="AI146">
        <f>IFERROR(AVERAGE($E146:I146),"N/A")</f>
        <v>3</v>
      </c>
      <c r="AJ146">
        <f>IFERROR(AVERAGE($E146:J146),"N/A")</f>
        <v>3</v>
      </c>
      <c r="AK146">
        <f>IFERROR(AVERAGE($E146:K146),"N/A")</f>
        <v>3</v>
      </c>
      <c r="AL146">
        <f>IFERROR(AVERAGE($E146:L146),"N/A")</f>
        <v>3</v>
      </c>
      <c r="AM146">
        <f>IFERROR(AVERAGE($E146:M146),"N/A")</f>
        <v>3</v>
      </c>
      <c r="AN146">
        <f>IFERROR(AVERAGE($E146:N146),"N/A")</f>
        <v>3</v>
      </c>
    </row>
    <row r="147" spans="4:40" ht="15.75" x14ac:dyDescent="0.25">
      <c r="D147" s="144">
        <v>8</v>
      </c>
      <c r="E147" s="15">
        <v>2</v>
      </c>
      <c r="F147" s="15">
        <v>0</v>
      </c>
      <c r="G147" s="15">
        <v>0</v>
      </c>
      <c r="H147" s="15">
        <v>0</v>
      </c>
      <c r="I147" s="15">
        <v>1</v>
      </c>
      <c r="J147" s="15">
        <v>2</v>
      </c>
      <c r="K147" s="15">
        <v>1</v>
      </c>
      <c r="L147" s="15"/>
      <c r="M147" s="15"/>
      <c r="N147" s="15"/>
      <c r="O147" s="56">
        <v>42864</v>
      </c>
      <c r="R147">
        <v>0.8571428571428571</v>
      </c>
      <c r="S147">
        <v>1.5</v>
      </c>
      <c r="T147">
        <f t="shared" si="27"/>
        <v>2</v>
      </c>
      <c r="U147">
        <f t="shared" si="28"/>
        <v>4</v>
      </c>
      <c r="AD147">
        <f t="shared" si="26"/>
        <v>8</v>
      </c>
      <c r="AE147">
        <f>IFERROR(AVERAGE($E147:E147),"N/A")</f>
        <v>2</v>
      </c>
      <c r="AF147">
        <f>IFERROR(AVERAGE($E147:F147),"N/A")</f>
        <v>1</v>
      </c>
      <c r="AG147">
        <f>IFERROR(AVERAGE($E147:G147),"N/A")</f>
        <v>0.66666666666666663</v>
      </c>
      <c r="AH147">
        <f>IFERROR(AVERAGE($E147:H147),"N/A")</f>
        <v>0.5</v>
      </c>
      <c r="AI147">
        <f>IFERROR(AVERAGE($E147:I147),"N/A")</f>
        <v>0.6</v>
      </c>
      <c r="AJ147">
        <f>IFERROR(AVERAGE($E147:J147),"N/A")</f>
        <v>0.83333333333333337</v>
      </c>
      <c r="AK147">
        <f>IFERROR(AVERAGE($E147:K147),"N/A")</f>
        <v>0.8571428571428571</v>
      </c>
      <c r="AL147">
        <f>IFERROR(AVERAGE($E147:L147),"N/A")</f>
        <v>0.8571428571428571</v>
      </c>
      <c r="AM147">
        <f>IFERROR(AVERAGE($E147:M147),"N/A")</f>
        <v>0.8571428571428571</v>
      </c>
      <c r="AN147">
        <f>IFERROR(AVERAGE($E147:N147),"N/A")</f>
        <v>0.8571428571428571</v>
      </c>
    </row>
    <row r="148" spans="4:40" ht="15.75" x14ac:dyDescent="0.25">
      <c r="D148" s="143">
        <v>9</v>
      </c>
      <c r="E148" s="15">
        <v>2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56">
        <v>42842</v>
      </c>
      <c r="R148">
        <v>2</v>
      </c>
      <c r="S148">
        <v>2</v>
      </c>
      <c r="T148">
        <f t="shared" si="27"/>
        <v>2</v>
      </c>
      <c r="U148">
        <f t="shared" si="28"/>
        <v>1</v>
      </c>
      <c r="AD148">
        <f t="shared" si="26"/>
        <v>9</v>
      </c>
      <c r="AE148">
        <f>IFERROR(AVERAGE($E148:E148),"N/A")</f>
        <v>2</v>
      </c>
      <c r="AF148">
        <f>IFERROR(AVERAGE($E148:F148),"N/A")</f>
        <v>2</v>
      </c>
      <c r="AG148">
        <f>IFERROR(AVERAGE($E148:G148),"N/A")</f>
        <v>2</v>
      </c>
      <c r="AH148">
        <f>IFERROR(AVERAGE($E148:H148),"N/A")</f>
        <v>2</v>
      </c>
      <c r="AI148">
        <f>IFERROR(AVERAGE($E148:I148),"N/A")</f>
        <v>2</v>
      </c>
      <c r="AJ148">
        <f>IFERROR(AVERAGE($E148:J148),"N/A")</f>
        <v>2</v>
      </c>
      <c r="AK148">
        <f>IFERROR(AVERAGE($E148:K148),"N/A")</f>
        <v>2</v>
      </c>
      <c r="AL148">
        <f>IFERROR(AVERAGE($E148:L148),"N/A")</f>
        <v>2</v>
      </c>
      <c r="AM148">
        <f>IFERROR(AVERAGE($E148:M148),"N/A")</f>
        <v>2</v>
      </c>
      <c r="AN148">
        <f>IFERROR(AVERAGE($E148:N148),"N/A")</f>
        <v>2</v>
      </c>
    </row>
    <row r="149" spans="4:40" ht="15.75" x14ac:dyDescent="0.25">
      <c r="D149" s="143">
        <v>10</v>
      </c>
      <c r="E149" s="15">
        <v>3</v>
      </c>
      <c r="F149" s="15"/>
      <c r="G149" s="15"/>
      <c r="H149" s="15"/>
      <c r="I149" s="15"/>
      <c r="J149" s="15"/>
      <c r="K149" s="15"/>
      <c r="L149" s="15"/>
      <c r="M149" s="15"/>
      <c r="N149" s="15"/>
      <c r="O149" s="56">
        <v>42842</v>
      </c>
      <c r="R149">
        <v>3</v>
      </c>
      <c r="S149">
        <v>3</v>
      </c>
      <c r="T149">
        <f t="shared" si="27"/>
        <v>3</v>
      </c>
      <c r="U149">
        <f t="shared" si="28"/>
        <v>1</v>
      </c>
      <c r="AD149">
        <f t="shared" si="26"/>
        <v>10</v>
      </c>
      <c r="AE149">
        <f>IFERROR(AVERAGE($E149:E149),"N/A")</f>
        <v>3</v>
      </c>
      <c r="AF149">
        <f>IFERROR(AVERAGE($E149:F149),"N/A")</f>
        <v>3</v>
      </c>
      <c r="AG149">
        <f>IFERROR(AVERAGE($E149:G149),"N/A")</f>
        <v>3</v>
      </c>
      <c r="AH149">
        <f>IFERROR(AVERAGE($E149:H149),"N/A")</f>
        <v>3</v>
      </c>
      <c r="AI149">
        <f>IFERROR(AVERAGE($E149:I149),"N/A")</f>
        <v>3</v>
      </c>
      <c r="AJ149">
        <f>IFERROR(AVERAGE($E149:J149),"N/A")</f>
        <v>3</v>
      </c>
      <c r="AK149">
        <f>IFERROR(AVERAGE($E149:K149),"N/A")</f>
        <v>3</v>
      </c>
      <c r="AL149">
        <f>IFERROR(AVERAGE($E149:L149),"N/A")</f>
        <v>3</v>
      </c>
      <c r="AM149">
        <f>IFERROR(AVERAGE($E149:M149),"N/A")</f>
        <v>3</v>
      </c>
      <c r="AN149">
        <f>IFERROR(AVERAGE($E149:N149),"N/A")</f>
        <v>3</v>
      </c>
    </row>
    <row r="150" spans="4:40" ht="15.75" x14ac:dyDescent="0.25">
      <c r="D150" s="144">
        <v>11</v>
      </c>
      <c r="E150" s="15">
        <v>2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56">
        <v>42842</v>
      </c>
      <c r="R150">
        <v>2</v>
      </c>
      <c r="S150">
        <v>2</v>
      </c>
      <c r="T150">
        <f t="shared" si="27"/>
        <v>2</v>
      </c>
      <c r="U150">
        <f t="shared" si="28"/>
        <v>1</v>
      </c>
      <c r="AD150">
        <f t="shared" si="26"/>
        <v>11</v>
      </c>
      <c r="AE150">
        <f>IFERROR(AVERAGE($E150:E150),"N/A")</f>
        <v>2</v>
      </c>
      <c r="AF150">
        <f>IFERROR(AVERAGE($E150:F150),"N/A")</f>
        <v>2</v>
      </c>
      <c r="AG150">
        <f>IFERROR(AVERAGE($E150:G150),"N/A")</f>
        <v>2</v>
      </c>
      <c r="AH150">
        <f>IFERROR(AVERAGE($E150:H150),"N/A")</f>
        <v>2</v>
      </c>
      <c r="AI150">
        <f>IFERROR(AVERAGE($E150:I150),"N/A")</f>
        <v>2</v>
      </c>
      <c r="AJ150">
        <f>IFERROR(AVERAGE($E150:J150),"N/A")</f>
        <v>2</v>
      </c>
      <c r="AK150">
        <f>IFERROR(AVERAGE($E150:K150),"N/A")</f>
        <v>2</v>
      </c>
      <c r="AL150">
        <f>IFERROR(AVERAGE($E150:L150),"N/A")</f>
        <v>2</v>
      </c>
      <c r="AM150">
        <f>IFERROR(AVERAGE($E150:M150),"N/A")</f>
        <v>2</v>
      </c>
      <c r="AN150">
        <f>IFERROR(AVERAGE($E150:N150),"N/A")</f>
        <v>2</v>
      </c>
    </row>
    <row r="151" spans="4:40" ht="15.75" x14ac:dyDescent="0.25">
      <c r="D151" s="143">
        <v>12</v>
      </c>
      <c r="E151" s="15">
        <v>1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56">
        <v>42842</v>
      </c>
      <c r="R151">
        <v>1</v>
      </c>
      <c r="S151">
        <v>1</v>
      </c>
      <c r="T151">
        <f t="shared" si="27"/>
        <v>1</v>
      </c>
      <c r="U151">
        <f t="shared" si="28"/>
        <v>1</v>
      </c>
      <c r="AD151">
        <f t="shared" si="26"/>
        <v>12</v>
      </c>
      <c r="AE151">
        <f>IFERROR(AVERAGE($E151:E151),"N/A")</f>
        <v>1</v>
      </c>
      <c r="AF151">
        <f>IFERROR(AVERAGE($E151:F151),"N/A")</f>
        <v>1</v>
      </c>
      <c r="AG151">
        <f>IFERROR(AVERAGE($E151:G151),"N/A")</f>
        <v>1</v>
      </c>
      <c r="AH151">
        <f>IFERROR(AVERAGE($E151:H151),"N/A")</f>
        <v>1</v>
      </c>
      <c r="AI151">
        <f>IFERROR(AVERAGE($E151:I151),"N/A")</f>
        <v>1</v>
      </c>
      <c r="AJ151">
        <f>IFERROR(AVERAGE($E151:J151),"N/A")</f>
        <v>1</v>
      </c>
      <c r="AK151">
        <f>IFERROR(AVERAGE($E151:K151),"N/A")</f>
        <v>1</v>
      </c>
      <c r="AL151">
        <f>IFERROR(AVERAGE($E151:L151),"N/A")</f>
        <v>1</v>
      </c>
      <c r="AM151">
        <f>IFERROR(AVERAGE($E151:M151),"N/A")</f>
        <v>1</v>
      </c>
      <c r="AN151">
        <f>IFERROR(AVERAGE($E151:N151),"N/A")</f>
        <v>1</v>
      </c>
    </row>
    <row r="152" spans="4:40" ht="15.75" x14ac:dyDescent="0.25">
      <c r="D152" s="143">
        <v>13</v>
      </c>
      <c r="E152" s="15">
        <v>2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56">
        <v>42842</v>
      </c>
      <c r="R152">
        <v>2</v>
      </c>
      <c r="S152">
        <v>2</v>
      </c>
      <c r="T152">
        <f t="shared" si="27"/>
        <v>2</v>
      </c>
      <c r="U152">
        <f t="shared" si="28"/>
        <v>1</v>
      </c>
      <c r="AD152">
        <f t="shared" si="26"/>
        <v>13</v>
      </c>
      <c r="AE152">
        <f>IFERROR(AVERAGE($E152:E152),"N/A")</f>
        <v>2</v>
      </c>
      <c r="AF152">
        <f>IFERROR(AVERAGE($E152:F152),"N/A")</f>
        <v>2</v>
      </c>
      <c r="AG152">
        <f>IFERROR(AVERAGE($E152:G152),"N/A")</f>
        <v>2</v>
      </c>
      <c r="AH152">
        <f>IFERROR(AVERAGE($E152:H152),"N/A")</f>
        <v>2</v>
      </c>
      <c r="AI152">
        <f>IFERROR(AVERAGE($E152:I152),"N/A")</f>
        <v>2</v>
      </c>
      <c r="AJ152">
        <f>IFERROR(AVERAGE($E152:J152),"N/A")</f>
        <v>2</v>
      </c>
      <c r="AK152">
        <f>IFERROR(AVERAGE($E152:K152),"N/A")</f>
        <v>2</v>
      </c>
      <c r="AL152">
        <f>IFERROR(AVERAGE($E152:L152),"N/A")</f>
        <v>2</v>
      </c>
      <c r="AM152">
        <f>IFERROR(AVERAGE($E152:M152),"N/A")</f>
        <v>2</v>
      </c>
      <c r="AN152">
        <f>IFERROR(AVERAGE($E152:N152),"N/A")</f>
        <v>2</v>
      </c>
    </row>
    <row r="153" spans="4:40" ht="15.75" x14ac:dyDescent="0.25">
      <c r="D153" s="144">
        <v>14</v>
      </c>
      <c r="E153" s="15">
        <v>3</v>
      </c>
      <c r="F153" s="15">
        <v>2</v>
      </c>
      <c r="G153" s="15">
        <v>2</v>
      </c>
      <c r="H153" s="15">
        <v>0</v>
      </c>
      <c r="I153" s="15">
        <v>1</v>
      </c>
      <c r="J153" s="15">
        <v>0</v>
      </c>
      <c r="K153" s="15"/>
      <c r="L153" s="15"/>
      <c r="M153" s="15"/>
      <c r="N153" s="15"/>
      <c r="O153" s="56">
        <v>42858</v>
      </c>
      <c r="R153">
        <v>1.3333333333333333</v>
      </c>
      <c r="S153">
        <v>2</v>
      </c>
      <c r="T153">
        <f t="shared" si="27"/>
        <v>3</v>
      </c>
      <c r="U153">
        <f t="shared" si="28"/>
        <v>4</v>
      </c>
      <c r="AD153">
        <f t="shared" si="26"/>
        <v>14</v>
      </c>
      <c r="AE153">
        <f>IFERROR(AVERAGE($E153:E153),"N/A")</f>
        <v>3</v>
      </c>
      <c r="AF153">
        <f>IFERROR(AVERAGE($E153:F153),"N/A")</f>
        <v>2.5</v>
      </c>
      <c r="AG153">
        <f>IFERROR(AVERAGE($E153:G153),"N/A")</f>
        <v>2.3333333333333335</v>
      </c>
      <c r="AH153">
        <f>IFERROR(AVERAGE($E153:H153),"N/A")</f>
        <v>1.75</v>
      </c>
      <c r="AI153">
        <f>IFERROR(AVERAGE($E153:I153),"N/A")</f>
        <v>1.6</v>
      </c>
      <c r="AJ153">
        <f>IFERROR(AVERAGE($E153:J153),"N/A")</f>
        <v>1.3333333333333333</v>
      </c>
      <c r="AK153">
        <f>IFERROR(AVERAGE($E153:K153),"N/A")</f>
        <v>1.3333333333333333</v>
      </c>
      <c r="AL153">
        <f>IFERROR(AVERAGE($E153:L153),"N/A")</f>
        <v>1.3333333333333333</v>
      </c>
      <c r="AM153">
        <f>IFERROR(AVERAGE($E153:M153),"N/A")</f>
        <v>1.3333333333333333</v>
      </c>
      <c r="AN153">
        <f>IFERROR(AVERAGE($E153:N153),"N/A")</f>
        <v>1.3333333333333333</v>
      </c>
    </row>
    <row r="154" spans="4:40" ht="15.75" x14ac:dyDescent="0.25">
      <c r="D154" s="143">
        <v>15</v>
      </c>
      <c r="E154" s="15">
        <v>0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56">
        <v>42842</v>
      </c>
      <c r="R154">
        <v>0</v>
      </c>
      <c r="S154" t="s">
        <v>18</v>
      </c>
      <c r="T154">
        <f t="shared" si="27"/>
        <v>0</v>
      </c>
      <c r="U154">
        <f t="shared" si="28"/>
        <v>0</v>
      </c>
      <c r="AD154">
        <f t="shared" si="26"/>
        <v>15</v>
      </c>
      <c r="AE154">
        <f>IFERROR(AVERAGE($E154:E154),"N/A")</f>
        <v>0</v>
      </c>
      <c r="AF154">
        <f>IFERROR(AVERAGE($E154:F154),"N/A")</f>
        <v>0</v>
      </c>
      <c r="AG154">
        <f>IFERROR(AVERAGE($E154:G154),"N/A")</f>
        <v>0</v>
      </c>
      <c r="AH154">
        <f>IFERROR(AVERAGE($E154:H154),"N/A")</f>
        <v>0</v>
      </c>
      <c r="AI154">
        <f>IFERROR(AVERAGE($E154:I154),"N/A")</f>
        <v>0</v>
      </c>
      <c r="AJ154">
        <f>IFERROR(AVERAGE($E154:J154),"N/A")</f>
        <v>0</v>
      </c>
      <c r="AK154">
        <f>IFERROR(AVERAGE($E154:K154),"N/A")</f>
        <v>0</v>
      </c>
      <c r="AL154">
        <f>IFERROR(AVERAGE($E154:L154),"N/A")</f>
        <v>0</v>
      </c>
      <c r="AM154">
        <f>IFERROR(AVERAGE($E154:M154),"N/A")</f>
        <v>0</v>
      </c>
      <c r="AN154">
        <f>IFERROR(AVERAGE($E154:N154),"N/A")</f>
        <v>0</v>
      </c>
    </row>
    <row r="155" spans="4:40" ht="15.75" x14ac:dyDescent="0.25">
      <c r="D155" s="143">
        <v>16</v>
      </c>
      <c r="E155" s="15">
        <v>0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K155" s="15"/>
      <c r="L155" s="15"/>
      <c r="M155" s="15"/>
      <c r="N155" s="15"/>
      <c r="O155" s="56">
        <v>42860</v>
      </c>
      <c r="R155">
        <v>0.66666666666666663</v>
      </c>
      <c r="S155">
        <v>2</v>
      </c>
      <c r="T155">
        <f t="shared" si="27"/>
        <v>2</v>
      </c>
      <c r="U155">
        <f t="shared" si="28"/>
        <v>2</v>
      </c>
      <c r="AD155">
        <f t="shared" si="26"/>
        <v>16</v>
      </c>
      <c r="AE155">
        <f>IFERROR(AVERAGE($E155:E155),"N/A")</f>
        <v>0</v>
      </c>
      <c r="AF155">
        <f>IFERROR(AVERAGE($E155:F155),"N/A")</f>
        <v>1</v>
      </c>
      <c r="AG155">
        <f>IFERROR(AVERAGE($E155:G155),"N/A")</f>
        <v>0.66666666666666663</v>
      </c>
      <c r="AH155">
        <f>IFERROR(AVERAGE($E155:H155),"N/A")</f>
        <v>1</v>
      </c>
      <c r="AI155">
        <f>IFERROR(AVERAGE($E155:I155),"N/A")</f>
        <v>0.8</v>
      </c>
      <c r="AJ155">
        <f>IFERROR(AVERAGE($E155:J155),"N/A")</f>
        <v>0.66666666666666663</v>
      </c>
      <c r="AK155">
        <f>IFERROR(AVERAGE($E155:K155),"N/A")</f>
        <v>0.66666666666666663</v>
      </c>
      <c r="AL155">
        <f>IFERROR(AVERAGE($E155:L155),"N/A")</f>
        <v>0.66666666666666663</v>
      </c>
      <c r="AM155">
        <f>IFERROR(AVERAGE($E155:M155),"N/A")</f>
        <v>0.66666666666666663</v>
      </c>
      <c r="AN155">
        <f>IFERROR(AVERAGE($E155:N155),"N/A")</f>
        <v>0.66666666666666663</v>
      </c>
    </row>
    <row r="156" spans="4:40" ht="15.75" x14ac:dyDescent="0.25">
      <c r="D156" s="144">
        <v>17</v>
      </c>
      <c r="E156" s="15">
        <v>0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56">
        <v>42842</v>
      </c>
      <c r="R156">
        <v>0</v>
      </c>
      <c r="S156" t="s">
        <v>18</v>
      </c>
      <c r="T156">
        <f t="shared" si="27"/>
        <v>0</v>
      </c>
      <c r="U156">
        <f t="shared" si="28"/>
        <v>0</v>
      </c>
      <c r="AD156">
        <f t="shared" si="26"/>
        <v>17</v>
      </c>
      <c r="AE156">
        <f>IFERROR(AVERAGE($E156:E156),"N/A")</f>
        <v>0</v>
      </c>
      <c r="AF156">
        <f>IFERROR(AVERAGE($E156:F156),"N/A")</f>
        <v>0</v>
      </c>
      <c r="AG156">
        <f>IFERROR(AVERAGE($E156:G156),"N/A")</f>
        <v>0</v>
      </c>
      <c r="AH156">
        <f>IFERROR(AVERAGE($E156:H156),"N/A")</f>
        <v>0</v>
      </c>
      <c r="AI156">
        <f>IFERROR(AVERAGE($E156:I156),"N/A")</f>
        <v>0</v>
      </c>
      <c r="AJ156">
        <f>IFERROR(AVERAGE($E156:J156),"N/A")</f>
        <v>0</v>
      </c>
      <c r="AK156">
        <f>IFERROR(AVERAGE($E156:K156),"N/A")</f>
        <v>0</v>
      </c>
      <c r="AL156">
        <f>IFERROR(AVERAGE($E156:L156),"N/A")</f>
        <v>0</v>
      </c>
      <c r="AM156">
        <f>IFERROR(AVERAGE($E156:M156),"N/A")</f>
        <v>0</v>
      </c>
      <c r="AN156">
        <f>IFERROR(AVERAGE($E156:N156),"N/A")</f>
        <v>0</v>
      </c>
    </row>
    <row r="157" spans="4:40" ht="15.75" x14ac:dyDescent="0.25">
      <c r="D157" s="143">
        <v>18</v>
      </c>
      <c r="E157" s="15">
        <v>0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56">
        <v>42839</v>
      </c>
      <c r="R157">
        <v>0</v>
      </c>
      <c r="S157" t="s">
        <v>18</v>
      </c>
      <c r="T157">
        <f t="shared" si="27"/>
        <v>0</v>
      </c>
      <c r="U157">
        <f t="shared" si="28"/>
        <v>0</v>
      </c>
      <c r="AD157">
        <f t="shared" si="26"/>
        <v>18</v>
      </c>
      <c r="AE157">
        <f>IFERROR(AVERAGE($E157:E157),"N/A")</f>
        <v>0</v>
      </c>
      <c r="AF157">
        <f>IFERROR(AVERAGE($E157:F157),"N/A")</f>
        <v>0</v>
      </c>
      <c r="AG157">
        <f>IFERROR(AVERAGE($E157:G157),"N/A")</f>
        <v>0</v>
      </c>
      <c r="AH157">
        <f>IFERROR(AVERAGE($E157:H157),"N/A")</f>
        <v>0</v>
      </c>
      <c r="AI157">
        <f>IFERROR(AVERAGE($E157:I157),"N/A")</f>
        <v>0</v>
      </c>
      <c r="AJ157">
        <f>IFERROR(AVERAGE($E157:J157),"N/A")</f>
        <v>0</v>
      </c>
      <c r="AK157">
        <f>IFERROR(AVERAGE($E157:K157),"N/A")</f>
        <v>0</v>
      </c>
      <c r="AL157">
        <f>IFERROR(AVERAGE($E157:L157),"N/A")</f>
        <v>0</v>
      </c>
      <c r="AM157">
        <f>IFERROR(AVERAGE($E157:M157),"N/A")</f>
        <v>0</v>
      </c>
      <c r="AN157">
        <f>IFERROR(AVERAGE($E157:N157),"N/A")</f>
        <v>0</v>
      </c>
    </row>
    <row r="158" spans="4:40" ht="15.75" x14ac:dyDescent="0.25">
      <c r="D158" s="143">
        <v>19</v>
      </c>
      <c r="E158" s="15">
        <v>1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56">
        <v>42842</v>
      </c>
      <c r="R158">
        <v>1</v>
      </c>
      <c r="S158">
        <v>1</v>
      </c>
      <c r="T158">
        <f t="shared" si="27"/>
        <v>1</v>
      </c>
      <c r="U158">
        <f t="shared" si="28"/>
        <v>1</v>
      </c>
      <c r="AD158">
        <f t="shared" si="26"/>
        <v>19</v>
      </c>
      <c r="AE158">
        <f>IFERROR(AVERAGE($E158:E158),"N/A")</f>
        <v>1</v>
      </c>
      <c r="AF158">
        <f>IFERROR(AVERAGE($E158:F158),"N/A")</f>
        <v>1</v>
      </c>
      <c r="AG158">
        <f>IFERROR(AVERAGE($E158:G158),"N/A")</f>
        <v>1</v>
      </c>
      <c r="AH158">
        <f>IFERROR(AVERAGE($E158:H158),"N/A")</f>
        <v>1</v>
      </c>
      <c r="AI158">
        <f>IFERROR(AVERAGE($E158:I158),"N/A")</f>
        <v>1</v>
      </c>
      <c r="AJ158">
        <f>IFERROR(AVERAGE($E158:J158),"N/A")</f>
        <v>1</v>
      </c>
      <c r="AK158">
        <f>IFERROR(AVERAGE($E158:K158),"N/A")</f>
        <v>1</v>
      </c>
      <c r="AL158">
        <f>IFERROR(AVERAGE($E158:L158),"N/A")</f>
        <v>1</v>
      </c>
      <c r="AM158">
        <f>IFERROR(AVERAGE($E158:M158),"N/A")</f>
        <v>1</v>
      </c>
      <c r="AN158">
        <f>IFERROR(AVERAGE($E158:N158),"N/A")</f>
        <v>1</v>
      </c>
    </row>
    <row r="159" spans="4:40" ht="15.75" x14ac:dyDescent="0.25">
      <c r="D159" s="144">
        <v>20</v>
      </c>
      <c r="E159" s="15">
        <v>0</v>
      </c>
      <c r="F159" s="15">
        <v>0</v>
      </c>
      <c r="G159" s="15">
        <v>1</v>
      </c>
      <c r="H159" s="15">
        <v>3</v>
      </c>
      <c r="I159" s="15">
        <v>2</v>
      </c>
      <c r="J159" s="15">
        <v>1</v>
      </c>
      <c r="K159" s="15">
        <v>1</v>
      </c>
      <c r="L159" s="15"/>
      <c r="M159" s="15"/>
      <c r="N159" s="15"/>
      <c r="O159" s="56">
        <v>42863</v>
      </c>
      <c r="R159">
        <v>1.1428571428571428</v>
      </c>
      <c r="S159">
        <v>1.6</v>
      </c>
      <c r="T159">
        <f t="shared" si="27"/>
        <v>3</v>
      </c>
      <c r="U159">
        <f t="shared" si="28"/>
        <v>5</v>
      </c>
      <c r="AD159">
        <f t="shared" si="26"/>
        <v>20</v>
      </c>
      <c r="AE159">
        <f>IFERROR(AVERAGE($E159:E159),"N/A")</f>
        <v>0</v>
      </c>
      <c r="AF159">
        <f>IFERROR(AVERAGE($E159:F159),"N/A")</f>
        <v>0</v>
      </c>
      <c r="AG159">
        <f>IFERROR(AVERAGE($E159:G159),"N/A")</f>
        <v>0.33333333333333331</v>
      </c>
      <c r="AH159">
        <f>IFERROR(AVERAGE($E159:H159),"N/A")</f>
        <v>1</v>
      </c>
      <c r="AI159">
        <f>IFERROR(AVERAGE($E159:I159),"N/A")</f>
        <v>1.2</v>
      </c>
      <c r="AJ159">
        <f>IFERROR(AVERAGE($E159:J159),"N/A")</f>
        <v>1.1666666666666667</v>
      </c>
      <c r="AK159">
        <f>IFERROR(AVERAGE($E159:K159),"N/A")</f>
        <v>1.1428571428571428</v>
      </c>
      <c r="AL159">
        <f>IFERROR(AVERAGE($E159:L159),"N/A")</f>
        <v>1.1428571428571428</v>
      </c>
      <c r="AM159">
        <f>IFERROR(AVERAGE($E159:M159),"N/A")</f>
        <v>1.1428571428571428</v>
      </c>
      <c r="AN159">
        <f>IFERROR(AVERAGE($E159:N159),"N/A")</f>
        <v>1.1428571428571428</v>
      </c>
    </row>
    <row r="160" spans="4:40" ht="15.75" x14ac:dyDescent="0.25">
      <c r="D160" s="143">
        <v>21</v>
      </c>
      <c r="E160" s="15">
        <v>1</v>
      </c>
      <c r="F160" s="15"/>
      <c r="G160" s="15"/>
      <c r="H160" s="15"/>
      <c r="I160" s="15"/>
      <c r="J160" s="15"/>
      <c r="K160" s="15"/>
      <c r="L160" s="15"/>
      <c r="M160" s="15"/>
      <c r="N160" s="15"/>
      <c r="O160" s="56">
        <v>42842</v>
      </c>
      <c r="R160">
        <v>1</v>
      </c>
      <c r="S160">
        <v>1</v>
      </c>
      <c r="T160">
        <f t="shared" si="27"/>
        <v>1</v>
      </c>
      <c r="U160">
        <f t="shared" si="28"/>
        <v>1</v>
      </c>
      <c r="AD160">
        <f t="shared" si="26"/>
        <v>21</v>
      </c>
      <c r="AE160">
        <f>IFERROR(AVERAGE($E160:E160),"N/A")</f>
        <v>1</v>
      </c>
      <c r="AF160">
        <f>IFERROR(AVERAGE($E160:F160),"N/A")</f>
        <v>1</v>
      </c>
      <c r="AG160">
        <f>IFERROR(AVERAGE($E160:G160),"N/A")</f>
        <v>1</v>
      </c>
      <c r="AH160">
        <f>IFERROR(AVERAGE($E160:H160),"N/A")</f>
        <v>1</v>
      </c>
      <c r="AI160">
        <f>IFERROR(AVERAGE($E160:I160),"N/A")</f>
        <v>1</v>
      </c>
      <c r="AJ160">
        <f>IFERROR(AVERAGE($E160:J160),"N/A")</f>
        <v>1</v>
      </c>
      <c r="AK160">
        <f>IFERROR(AVERAGE($E160:K160),"N/A")</f>
        <v>1</v>
      </c>
      <c r="AL160">
        <f>IFERROR(AVERAGE($E160:L160),"N/A")</f>
        <v>1</v>
      </c>
      <c r="AM160">
        <f>IFERROR(AVERAGE($E160:M160),"N/A")</f>
        <v>1</v>
      </c>
      <c r="AN160">
        <f>IFERROR(AVERAGE($E160:N160),"N/A")</f>
        <v>1</v>
      </c>
    </row>
    <row r="161" spans="4:40" ht="15.75" x14ac:dyDescent="0.25">
      <c r="D161" s="143">
        <v>22</v>
      </c>
      <c r="E161" s="15">
        <v>1</v>
      </c>
      <c r="F161" s="15">
        <v>1</v>
      </c>
      <c r="G161" s="15">
        <v>0</v>
      </c>
      <c r="H161" s="15">
        <v>1</v>
      </c>
      <c r="I161" s="15"/>
      <c r="J161" s="15"/>
      <c r="K161" s="15"/>
      <c r="L161" s="15"/>
      <c r="M161" s="15"/>
      <c r="N161" s="15"/>
      <c r="O161" s="56">
        <v>42851</v>
      </c>
      <c r="R161">
        <v>0.75</v>
      </c>
      <c r="S161">
        <v>1</v>
      </c>
      <c r="T161">
        <f t="shared" si="27"/>
        <v>1</v>
      </c>
      <c r="U161">
        <f t="shared" si="28"/>
        <v>3</v>
      </c>
      <c r="AD161">
        <f t="shared" si="26"/>
        <v>22</v>
      </c>
      <c r="AE161">
        <f>IFERROR(AVERAGE($E161:E161),"N/A")</f>
        <v>1</v>
      </c>
      <c r="AF161">
        <f>IFERROR(AVERAGE($E161:F161),"N/A")</f>
        <v>1</v>
      </c>
      <c r="AG161">
        <f>IFERROR(AVERAGE($E161:G161),"N/A")</f>
        <v>0.66666666666666663</v>
      </c>
      <c r="AH161">
        <f>IFERROR(AVERAGE($E161:H161),"N/A")</f>
        <v>0.75</v>
      </c>
      <c r="AI161">
        <f>IFERROR(AVERAGE($E161:I161),"N/A")</f>
        <v>0.75</v>
      </c>
      <c r="AJ161">
        <f>IFERROR(AVERAGE($E161:J161),"N/A")</f>
        <v>0.75</v>
      </c>
      <c r="AK161">
        <f>IFERROR(AVERAGE($E161:K161),"N/A")</f>
        <v>0.75</v>
      </c>
      <c r="AL161">
        <f>IFERROR(AVERAGE($E161:L161),"N/A")</f>
        <v>0.75</v>
      </c>
      <c r="AM161">
        <f>IFERROR(AVERAGE($E161:M161),"N/A")</f>
        <v>0.75</v>
      </c>
      <c r="AN161">
        <f>IFERROR(AVERAGE($E161:N161),"N/A")</f>
        <v>0.75</v>
      </c>
    </row>
    <row r="162" spans="4:40" ht="15.75" x14ac:dyDescent="0.25">
      <c r="D162" s="144">
        <v>23</v>
      </c>
      <c r="E162" s="15">
        <v>0</v>
      </c>
      <c r="F162" s="15"/>
      <c r="G162" s="15"/>
      <c r="H162" s="15"/>
      <c r="I162" s="15"/>
      <c r="J162" s="15"/>
      <c r="K162" s="15"/>
      <c r="L162" s="15"/>
      <c r="M162" s="15"/>
      <c r="N162" s="15"/>
      <c r="O162" s="56">
        <v>42842</v>
      </c>
      <c r="R162">
        <v>0</v>
      </c>
      <c r="S162" t="s">
        <v>18</v>
      </c>
      <c r="T162">
        <f t="shared" si="27"/>
        <v>0</v>
      </c>
      <c r="U162">
        <f t="shared" si="28"/>
        <v>0</v>
      </c>
      <c r="AD162">
        <f t="shared" si="26"/>
        <v>23</v>
      </c>
      <c r="AE162">
        <f>IFERROR(AVERAGE($E162:E162),"N/A")</f>
        <v>0</v>
      </c>
      <c r="AF162">
        <f>IFERROR(AVERAGE($E162:F162),"N/A")</f>
        <v>0</v>
      </c>
      <c r="AG162">
        <f>IFERROR(AVERAGE($E162:G162),"N/A")</f>
        <v>0</v>
      </c>
      <c r="AH162">
        <f>IFERROR(AVERAGE($E162:H162),"N/A")</f>
        <v>0</v>
      </c>
      <c r="AI162">
        <f>IFERROR(AVERAGE($E162:I162),"N/A")</f>
        <v>0</v>
      </c>
      <c r="AJ162">
        <f>IFERROR(AVERAGE($E162:J162),"N/A")</f>
        <v>0</v>
      </c>
      <c r="AK162">
        <f>IFERROR(AVERAGE($E162:K162),"N/A")</f>
        <v>0</v>
      </c>
      <c r="AL162">
        <f>IFERROR(AVERAGE($E162:L162),"N/A")</f>
        <v>0</v>
      </c>
      <c r="AM162">
        <f>IFERROR(AVERAGE($E162:M162),"N/A")</f>
        <v>0</v>
      </c>
      <c r="AN162">
        <f>IFERROR(AVERAGE($E162:N162),"N/A")</f>
        <v>0</v>
      </c>
    </row>
    <row r="163" spans="4:40" ht="15.75" x14ac:dyDescent="0.25">
      <c r="D163" s="143">
        <v>24</v>
      </c>
      <c r="E163" s="15">
        <v>0</v>
      </c>
      <c r="F163" s="15">
        <v>2</v>
      </c>
      <c r="G163" s="15">
        <v>2</v>
      </c>
      <c r="H163" s="15">
        <v>1</v>
      </c>
      <c r="I163" s="15">
        <v>1</v>
      </c>
      <c r="J163" s="15"/>
      <c r="K163" s="15"/>
      <c r="L163" s="15"/>
      <c r="M163" s="15"/>
      <c r="N163" s="15"/>
      <c r="O163" s="56">
        <v>42856</v>
      </c>
      <c r="R163">
        <v>1.2</v>
      </c>
      <c r="S163">
        <v>1.5</v>
      </c>
      <c r="T163">
        <f t="shared" si="27"/>
        <v>2</v>
      </c>
      <c r="U163">
        <f t="shared" si="28"/>
        <v>4</v>
      </c>
      <c r="AD163">
        <f t="shared" ref="AD163:AD179" si="29">D163</f>
        <v>24</v>
      </c>
      <c r="AE163">
        <f>IFERROR(AVERAGE($E163:E163),"N/A")</f>
        <v>0</v>
      </c>
      <c r="AF163">
        <f>IFERROR(AVERAGE($E163:F163),"N/A")</f>
        <v>1</v>
      </c>
      <c r="AG163">
        <f>IFERROR(AVERAGE($E163:G163),"N/A")</f>
        <v>1.3333333333333333</v>
      </c>
      <c r="AH163">
        <f>IFERROR(AVERAGE($E163:H163),"N/A")</f>
        <v>1.25</v>
      </c>
      <c r="AI163">
        <f>IFERROR(AVERAGE($E163:I163),"N/A")</f>
        <v>1.2</v>
      </c>
      <c r="AJ163">
        <f>IFERROR(AVERAGE($E163:J163),"N/A")</f>
        <v>1.2</v>
      </c>
      <c r="AK163">
        <f>IFERROR(AVERAGE($E163:K163),"N/A")</f>
        <v>1.2</v>
      </c>
      <c r="AL163">
        <f>IFERROR(AVERAGE($E163:L163),"N/A")</f>
        <v>1.2</v>
      </c>
      <c r="AM163">
        <f>IFERROR(AVERAGE($E163:M163),"N/A")</f>
        <v>1.2</v>
      </c>
      <c r="AN163">
        <f>IFERROR(AVERAGE($E163:N163),"N/A")</f>
        <v>1.2</v>
      </c>
    </row>
    <row r="164" spans="4:40" ht="15.75" x14ac:dyDescent="0.25">
      <c r="D164" s="143">
        <v>25</v>
      </c>
      <c r="E164" s="15">
        <v>1</v>
      </c>
      <c r="F164" s="15">
        <v>1</v>
      </c>
      <c r="G164" s="15">
        <v>1</v>
      </c>
      <c r="H164" s="15"/>
      <c r="I164" s="15"/>
      <c r="J164" s="15"/>
      <c r="K164" s="15"/>
      <c r="L164" s="15"/>
      <c r="M164" s="15"/>
      <c r="N164" s="15"/>
      <c r="O164" s="56">
        <v>42849</v>
      </c>
      <c r="R164">
        <v>1</v>
      </c>
      <c r="S164">
        <v>1</v>
      </c>
      <c r="T164">
        <f t="shared" si="27"/>
        <v>1</v>
      </c>
      <c r="U164">
        <f t="shared" si="28"/>
        <v>3</v>
      </c>
      <c r="AD164">
        <f t="shared" si="29"/>
        <v>25</v>
      </c>
      <c r="AE164">
        <f>IFERROR(AVERAGE($E164:E164),"N/A")</f>
        <v>1</v>
      </c>
      <c r="AF164">
        <f>IFERROR(AVERAGE($E164:F164),"N/A")</f>
        <v>1</v>
      </c>
      <c r="AG164">
        <f>IFERROR(AVERAGE($E164:G164),"N/A")</f>
        <v>1</v>
      </c>
      <c r="AH164">
        <f>IFERROR(AVERAGE($E164:H164),"N/A")</f>
        <v>1</v>
      </c>
      <c r="AI164">
        <f>IFERROR(AVERAGE($E164:I164),"N/A")</f>
        <v>1</v>
      </c>
      <c r="AJ164">
        <f>IFERROR(AVERAGE($E164:J164),"N/A")</f>
        <v>1</v>
      </c>
      <c r="AK164">
        <f>IFERROR(AVERAGE($E164:K164),"N/A")</f>
        <v>1</v>
      </c>
      <c r="AL164">
        <f>IFERROR(AVERAGE($E164:L164),"N/A")</f>
        <v>1</v>
      </c>
      <c r="AM164">
        <f>IFERROR(AVERAGE($E164:M164),"N/A")</f>
        <v>1</v>
      </c>
      <c r="AN164">
        <f>IFERROR(AVERAGE($E164:N164),"N/A")</f>
        <v>1</v>
      </c>
    </row>
    <row r="165" spans="4:40" ht="15.75" x14ac:dyDescent="0.25">
      <c r="D165" s="144">
        <v>26</v>
      </c>
      <c r="E165" s="15">
        <v>2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56">
        <v>42843</v>
      </c>
      <c r="R165">
        <v>2</v>
      </c>
      <c r="S165">
        <v>2</v>
      </c>
      <c r="T165">
        <f t="shared" si="27"/>
        <v>2</v>
      </c>
      <c r="U165">
        <f t="shared" si="28"/>
        <v>1</v>
      </c>
      <c r="AD165">
        <f t="shared" si="29"/>
        <v>26</v>
      </c>
      <c r="AE165">
        <f>IFERROR(AVERAGE($E165:E165),"N/A")</f>
        <v>2</v>
      </c>
      <c r="AF165">
        <f>IFERROR(AVERAGE($E165:F165),"N/A")</f>
        <v>2</v>
      </c>
      <c r="AG165">
        <f>IFERROR(AVERAGE($E165:G165),"N/A")</f>
        <v>2</v>
      </c>
      <c r="AH165">
        <f>IFERROR(AVERAGE($E165:H165),"N/A")</f>
        <v>2</v>
      </c>
      <c r="AI165">
        <f>IFERROR(AVERAGE($E165:I165),"N/A")</f>
        <v>2</v>
      </c>
      <c r="AJ165">
        <f>IFERROR(AVERAGE($E165:J165),"N/A")</f>
        <v>2</v>
      </c>
      <c r="AK165">
        <f>IFERROR(AVERAGE($E165:K165),"N/A")</f>
        <v>2</v>
      </c>
      <c r="AL165">
        <f>IFERROR(AVERAGE($E165:L165),"N/A")</f>
        <v>2</v>
      </c>
      <c r="AM165">
        <f>IFERROR(AVERAGE($E165:M165),"N/A")</f>
        <v>2</v>
      </c>
      <c r="AN165">
        <f>IFERROR(AVERAGE($E165:N165),"N/A")</f>
        <v>2</v>
      </c>
    </row>
    <row r="166" spans="4:40" ht="15.75" x14ac:dyDescent="0.25">
      <c r="D166" s="143">
        <v>27</v>
      </c>
      <c r="E166" s="15">
        <v>2</v>
      </c>
      <c r="F166" s="15">
        <v>2</v>
      </c>
      <c r="G166" s="15">
        <v>2</v>
      </c>
      <c r="H166" s="15">
        <v>1</v>
      </c>
      <c r="I166" s="15"/>
      <c r="J166" s="15"/>
      <c r="K166" s="15"/>
      <c r="L166" s="15"/>
      <c r="M166" s="15"/>
      <c r="N166" s="15"/>
      <c r="O166" s="56">
        <v>42853</v>
      </c>
      <c r="R166">
        <v>1.75</v>
      </c>
      <c r="S166">
        <v>1.75</v>
      </c>
      <c r="T166">
        <f t="shared" si="27"/>
        <v>2</v>
      </c>
      <c r="U166">
        <f t="shared" si="28"/>
        <v>4</v>
      </c>
      <c r="AD166">
        <f t="shared" si="29"/>
        <v>27</v>
      </c>
      <c r="AE166">
        <f>IFERROR(AVERAGE($E166:E166),"N/A")</f>
        <v>2</v>
      </c>
      <c r="AF166">
        <f>IFERROR(AVERAGE($E166:F166),"N/A")</f>
        <v>2</v>
      </c>
      <c r="AG166">
        <f>IFERROR(AVERAGE($E166:G166),"N/A")</f>
        <v>2</v>
      </c>
      <c r="AH166">
        <f>IFERROR(AVERAGE($E166:H166),"N/A")</f>
        <v>1.75</v>
      </c>
      <c r="AI166">
        <f>IFERROR(AVERAGE($E166:I166),"N/A")</f>
        <v>1.75</v>
      </c>
      <c r="AJ166">
        <f>IFERROR(AVERAGE($E166:J166),"N/A")</f>
        <v>1.75</v>
      </c>
      <c r="AK166">
        <f>IFERROR(AVERAGE($E166:K166),"N/A")</f>
        <v>1.75</v>
      </c>
      <c r="AL166">
        <f>IFERROR(AVERAGE($E166:L166),"N/A")</f>
        <v>1.75</v>
      </c>
      <c r="AM166">
        <f>IFERROR(AVERAGE($E166:M166),"N/A")</f>
        <v>1.75</v>
      </c>
      <c r="AN166">
        <f>IFERROR(AVERAGE($E166:N166),"N/A")</f>
        <v>1.75</v>
      </c>
    </row>
    <row r="167" spans="4:40" ht="15.75" x14ac:dyDescent="0.25">
      <c r="D167" s="143">
        <v>28</v>
      </c>
      <c r="E167" s="15">
        <v>3</v>
      </c>
      <c r="F167" s="15"/>
      <c r="G167" s="15"/>
      <c r="H167" s="15"/>
      <c r="I167" s="15"/>
      <c r="J167" s="15"/>
      <c r="K167" s="15"/>
      <c r="L167" s="15"/>
      <c r="M167" s="15"/>
      <c r="N167" s="15"/>
      <c r="O167" s="56">
        <v>42842</v>
      </c>
      <c r="R167">
        <v>3</v>
      </c>
      <c r="S167">
        <v>3</v>
      </c>
      <c r="T167">
        <f t="shared" si="27"/>
        <v>3</v>
      </c>
      <c r="U167">
        <f t="shared" si="28"/>
        <v>1</v>
      </c>
      <c r="AD167">
        <f t="shared" si="29"/>
        <v>28</v>
      </c>
      <c r="AE167">
        <f>IFERROR(AVERAGE($E167:E167),"N/A")</f>
        <v>3</v>
      </c>
      <c r="AF167">
        <f>IFERROR(AVERAGE($E167:F167),"N/A")</f>
        <v>3</v>
      </c>
      <c r="AG167">
        <f>IFERROR(AVERAGE($E167:G167),"N/A")</f>
        <v>3</v>
      </c>
      <c r="AH167">
        <f>IFERROR(AVERAGE($E167:H167),"N/A")</f>
        <v>3</v>
      </c>
      <c r="AI167">
        <f>IFERROR(AVERAGE($E167:I167),"N/A")</f>
        <v>3</v>
      </c>
      <c r="AJ167">
        <f>IFERROR(AVERAGE($E167:J167),"N/A")</f>
        <v>3</v>
      </c>
      <c r="AK167">
        <f>IFERROR(AVERAGE($E167:K167),"N/A")</f>
        <v>3</v>
      </c>
      <c r="AL167">
        <f>IFERROR(AVERAGE($E167:L167),"N/A")</f>
        <v>3</v>
      </c>
      <c r="AM167">
        <f>IFERROR(AVERAGE($E167:M167),"N/A")</f>
        <v>3</v>
      </c>
      <c r="AN167">
        <f>IFERROR(AVERAGE($E167:N167),"N/A")</f>
        <v>3</v>
      </c>
    </row>
    <row r="168" spans="4:40" ht="15.75" x14ac:dyDescent="0.25">
      <c r="D168" s="144">
        <v>29</v>
      </c>
      <c r="E168" s="15">
        <v>1</v>
      </c>
      <c r="F168" s="15">
        <v>2</v>
      </c>
      <c r="G168" s="15">
        <v>0</v>
      </c>
      <c r="H168" s="15"/>
      <c r="I168" s="15"/>
      <c r="J168" s="15"/>
      <c r="K168" s="15"/>
      <c r="L168" s="15"/>
      <c r="M168" s="15"/>
      <c r="N168" s="15"/>
      <c r="O168" s="56">
        <v>42850</v>
      </c>
      <c r="R168">
        <v>1</v>
      </c>
      <c r="S168">
        <v>1.5</v>
      </c>
      <c r="T168">
        <f t="shared" si="27"/>
        <v>2</v>
      </c>
      <c r="U168">
        <f t="shared" si="28"/>
        <v>2</v>
      </c>
      <c r="AD168">
        <f t="shared" si="29"/>
        <v>29</v>
      </c>
      <c r="AE168">
        <f>IFERROR(AVERAGE($E168:E168),"N/A")</f>
        <v>1</v>
      </c>
      <c r="AF168">
        <f>IFERROR(AVERAGE($E168:F168),"N/A")</f>
        <v>1.5</v>
      </c>
      <c r="AG168">
        <f>IFERROR(AVERAGE($E168:G168),"N/A")</f>
        <v>1</v>
      </c>
      <c r="AH168">
        <f>IFERROR(AVERAGE($E168:H168),"N/A")</f>
        <v>1</v>
      </c>
      <c r="AI168">
        <f>IFERROR(AVERAGE($E168:I168),"N/A")</f>
        <v>1</v>
      </c>
      <c r="AJ168">
        <f>IFERROR(AVERAGE($E168:J168),"N/A")</f>
        <v>1</v>
      </c>
      <c r="AK168">
        <f>IFERROR(AVERAGE($E168:K168),"N/A")</f>
        <v>1</v>
      </c>
      <c r="AL168">
        <f>IFERROR(AVERAGE($E168:L168),"N/A")</f>
        <v>1</v>
      </c>
      <c r="AM168">
        <f>IFERROR(AVERAGE($E168:M168),"N/A")</f>
        <v>1</v>
      </c>
      <c r="AN168">
        <f>IFERROR(AVERAGE($E168:N168),"N/A")</f>
        <v>1</v>
      </c>
    </row>
    <row r="169" spans="4:40" ht="15.75" x14ac:dyDescent="0.25">
      <c r="D169" s="143">
        <v>30</v>
      </c>
      <c r="E169" s="15">
        <v>3</v>
      </c>
      <c r="F169" s="15">
        <v>0</v>
      </c>
      <c r="G169" s="15">
        <v>1</v>
      </c>
      <c r="H169" s="15">
        <v>0</v>
      </c>
      <c r="I169" s="15">
        <v>0</v>
      </c>
      <c r="J169" s="15">
        <v>1</v>
      </c>
      <c r="K169" s="15"/>
      <c r="L169" s="15"/>
      <c r="M169" s="15"/>
      <c r="N169" s="15"/>
      <c r="O169" s="56">
        <v>42857</v>
      </c>
      <c r="R169">
        <v>0.83333333333333337</v>
      </c>
      <c r="S169">
        <v>1.6666666666666667</v>
      </c>
      <c r="T169">
        <f t="shared" si="27"/>
        <v>3</v>
      </c>
      <c r="U169">
        <f t="shared" si="28"/>
        <v>3</v>
      </c>
      <c r="AD169">
        <f t="shared" si="29"/>
        <v>30</v>
      </c>
      <c r="AE169">
        <f>IFERROR(AVERAGE($E169:E169),"N/A")</f>
        <v>3</v>
      </c>
      <c r="AF169">
        <f>IFERROR(AVERAGE($E169:F169),"N/A")</f>
        <v>1.5</v>
      </c>
      <c r="AG169">
        <f>IFERROR(AVERAGE($E169:G169),"N/A")</f>
        <v>1.3333333333333333</v>
      </c>
      <c r="AH169">
        <f>IFERROR(AVERAGE($E169:H169),"N/A")</f>
        <v>1</v>
      </c>
      <c r="AI169">
        <f>IFERROR(AVERAGE($E169:I169),"N/A")</f>
        <v>0.8</v>
      </c>
      <c r="AJ169">
        <f>IFERROR(AVERAGE($E169:J169),"N/A")</f>
        <v>0.83333333333333337</v>
      </c>
      <c r="AK169">
        <f>IFERROR(AVERAGE($E169:K169),"N/A")</f>
        <v>0.83333333333333337</v>
      </c>
      <c r="AL169">
        <f>IFERROR(AVERAGE($E169:L169),"N/A")</f>
        <v>0.83333333333333337</v>
      </c>
      <c r="AM169">
        <f>IFERROR(AVERAGE($E169:M169),"N/A")</f>
        <v>0.83333333333333337</v>
      </c>
      <c r="AN169">
        <f>IFERROR(AVERAGE($E169:N169),"N/A")</f>
        <v>0.83333333333333337</v>
      </c>
    </row>
    <row r="170" spans="4:40" ht="15.75" x14ac:dyDescent="0.25">
      <c r="D170" s="143">
        <v>31</v>
      </c>
      <c r="E170" s="15">
        <v>3</v>
      </c>
      <c r="F170" s="15">
        <v>2</v>
      </c>
      <c r="G170" s="15">
        <v>3</v>
      </c>
      <c r="H170" s="15">
        <v>2</v>
      </c>
      <c r="I170" s="15"/>
      <c r="J170" s="15"/>
      <c r="K170" s="15"/>
      <c r="L170" s="15"/>
      <c r="M170" s="15"/>
      <c r="N170" s="15"/>
      <c r="O170" s="56">
        <v>42852</v>
      </c>
      <c r="R170">
        <v>2.5</v>
      </c>
      <c r="S170">
        <v>2.5</v>
      </c>
      <c r="T170">
        <f t="shared" si="27"/>
        <v>3</v>
      </c>
      <c r="U170">
        <f t="shared" si="28"/>
        <v>4</v>
      </c>
      <c r="AD170">
        <f t="shared" si="29"/>
        <v>31</v>
      </c>
      <c r="AE170">
        <f>IFERROR(AVERAGE($E170:E170),"N/A")</f>
        <v>3</v>
      </c>
      <c r="AF170">
        <f>IFERROR(AVERAGE($E170:F170),"N/A")</f>
        <v>2.5</v>
      </c>
      <c r="AG170">
        <f>IFERROR(AVERAGE($E170:G170),"N/A")</f>
        <v>2.6666666666666665</v>
      </c>
      <c r="AH170">
        <f>IFERROR(AVERAGE($E170:H170),"N/A")</f>
        <v>2.5</v>
      </c>
      <c r="AI170">
        <f>IFERROR(AVERAGE($E170:I170),"N/A")</f>
        <v>2.5</v>
      </c>
      <c r="AJ170">
        <f>IFERROR(AVERAGE($E170:J170),"N/A")</f>
        <v>2.5</v>
      </c>
      <c r="AK170">
        <f>IFERROR(AVERAGE($E170:K170),"N/A")</f>
        <v>2.5</v>
      </c>
      <c r="AL170">
        <f>IFERROR(AVERAGE($E170:L170),"N/A")</f>
        <v>2.5</v>
      </c>
      <c r="AM170">
        <f>IFERROR(AVERAGE($E170:M170),"N/A")</f>
        <v>2.5</v>
      </c>
      <c r="AN170">
        <f>IFERROR(AVERAGE($E170:N170),"N/A")</f>
        <v>2.5</v>
      </c>
    </row>
    <row r="171" spans="4:40" ht="15.75" x14ac:dyDescent="0.25">
      <c r="D171" s="144">
        <v>32</v>
      </c>
      <c r="E171" s="15">
        <v>1</v>
      </c>
      <c r="F171" s="15">
        <v>1</v>
      </c>
      <c r="G171" s="15">
        <v>0</v>
      </c>
      <c r="H171" s="15">
        <v>0</v>
      </c>
      <c r="I171" s="15"/>
      <c r="J171" s="15"/>
      <c r="K171" s="15"/>
      <c r="L171" s="15"/>
      <c r="M171" s="15"/>
      <c r="N171" s="15"/>
      <c r="O171" s="56">
        <v>42852</v>
      </c>
      <c r="R171">
        <v>0.5</v>
      </c>
      <c r="S171">
        <v>1</v>
      </c>
      <c r="T171">
        <f t="shared" si="27"/>
        <v>1</v>
      </c>
      <c r="U171">
        <f t="shared" si="28"/>
        <v>2</v>
      </c>
      <c r="AD171">
        <f t="shared" si="29"/>
        <v>32</v>
      </c>
      <c r="AE171">
        <f>IFERROR(AVERAGE($E171:E171),"N/A")</f>
        <v>1</v>
      </c>
      <c r="AF171">
        <f>IFERROR(AVERAGE($E171:F171),"N/A")</f>
        <v>1</v>
      </c>
      <c r="AG171">
        <f>IFERROR(AVERAGE($E171:G171),"N/A")</f>
        <v>0.66666666666666663</v>
      </c>
      <c r="AH171">
        <f>IFERROR(AVERAGE($E171:H171),"N/A")</f>
        <v>0.5</v>
      </c>
      <c r="AI171">
        <f>IFERROR(AVERAGE($E171:I171),"N/A")</f>
        <v>0.5</v>
      </c>
      <c r="AJ171">
        <f>IFERROR(AVERAGE($E171:J171),"N/A")</f>
        <v>0.5</v>
      </c>
      <c r="AK171">
        <f>IFERROR(AVERAGE($E171:K171),"N/A")</f>
        <v>0.5</v>
      </c>
      <c r="AL171">
        <f>IFERROR(AVERAGE($E171:L171),"N/A")</f>
        <v>0.5</v>
      </c>
      <c r="AM171">
        <f>IFERROR(AVERAGE($E171:M171),"N/A")</f>
        <v>0.5</v>
      </c>
      <c r="AN171">
        <f>IFERROR(AVERAGE($E171:N171),"N/A")</f>
        <v>0.5</v>
      </c>
    </row>
    <row r="172" spans="4:40" ht="15.75" x14ac:dyDescent="0.25">
      <c r="D172" s="143">
        <v>33</v>
      </c>
      <c r="E172" s="15">
        <v>2</v>
      </c>
      <c r="F172" s="15">
        <v>0</v>
      </c>
      <c r="G172" s="15">
        <v>0</v>
      </c>
      <c r="H172" s="15"/>
      <c r="I172" s="15"/>
      <c r="J172" s="15"/>
      <c r="K172" s="15"/>
      <c r="L172" s="15"/>
      <c r="M172" s="15"/>
      <c r="N172" s="15"/>
      <c r="O172" s="56">
        <v>42850</v>
      </c>
      <c r="R172">
        <v>0.66666666666666663</v>
      </c>
      <c r="S172">
        <v>2</v>
      </c>
      <c r="T172">
        <f t="shared" si="27"/>
        <v>2</v>
      </c>
      <c r="U172">
        <f t="shared" si="28"/>
        <v>1</v>
      </c>
      <c r="AD172">
        <f t="shared" si="29"/>
        <v>33</v>
      </c>
      <c r="AE172">
        <f>IFERROR(AVERAGE($E172:E172),"N/A")</f>
        <v>2</v>
      </c>
      <c r="AF172">
        <f>IFERROR(AVERAGE($E172:F172),"N/A")</f>
        <v>1</v>
      </c>
      <c r="AG172">
        <f>IFERROR(AVERAGE($E172:G172),"N/A")</f>
        <v>0.66666666666666663</v>
      </c>
      <c r="AH172">
        <f>IFERROR(AVERAGE($E172:H172),"N/A")</f>
        <v>0.66666666666666663</v>
      </c>
      <c r="AI172">
        <f>IFERROR(AVERAGE($E172:I172),"N/A")</f>
        <v>0.66666666666666663</v>
      </c>
      <c r="AJ172">
        <f>IFERROR(AVERAGE($E172:J172),"N/A")</f>
        <v>0.66666666666666663</v>
      </c>
      <c r="AK172">
        <f>IFERROR(AVERAGE($E172:K172),"N/A")</f>
        <v>0.66666666666666663</v>
      </c>
      <c r="AL172">
        <f>IFERROR(AVERAGE($E172:L172),"N/A")</f>
        <v>0.66666666666666663</v>
      </c>
      <c r="AM172">
        <f>IFERROR(AVERAGE($E172:M172),"N/A")</f>
        <v>0.66666666666666663</v>
      </c>
      <c r="AN172">
        <f>IFERROR(AVERAGE($E172:N172),"N/A")</f>
        <v>0.66666666666666663</v>
      </c>
    </row>
    <row r="173" spans="4:40" ht="15.75" x14ac:dyDescent="0.25">
      <c r="D173" s="143">
        <v>34</v>
      </c>
      <c r="E173" s="15">
        <v>2</v>
      </c>
      <c r="F173" s="15">
        <v>2</v>
      </c>
      <c r="G173" s="15">
        <v>4</v>
      </c>
      <c r="H173" s="15"/>
      <c r="I173" s="15"/>
      <c r="J173" s="15"/>
      <c r="K173" s="15"/>
      <c r="L173" s="15"/>
      <c r="M173" s="15"/>
      <c r="N173" s="15"/>
      <c r="O173" s="56">
        <v>42849</v>
      </c>
      <c r="R173">
        <v>2.6666666666666665</v>
      </c>
      <c r="S173">
        <v>2.6666666666666665</v>
      </c>
      <c r="T173">
        <f t="shared" si="27"/>
        <v>4</v>
      </c>
      <c r="U173">
        <f t="shared" si="28"/>
        <v>3</v>
      </c>
      <c r="AD173">
        <f t="shared" si="29"/>
        <v>34</v>
      </c>
      <c r="AE173">
        <f>IFERROR(AVERAGE($E173:E173),"N/A")</f>
        <v>2</v>
      </c>
      <c r="AF173">
        <f>IFERROR(AVERAGE($E173:F173),"N/A")</f>
        <v>2</v>
      </c>
      <c r="AG173">
        <f>IFERROR(AVERAGE($E173:G173),"N/A")</f>
        <v>2.6666666666666665</v>
      </c>
      <c r="AH173">
        <f>IFERROR(AVERAGE($E173:H173),"N/A")</f>
        <v>2.6666666666666665</v>
      </c>
      <c r="AI173">
        <f>IFERROR(AVERAGE($E173:I173),"N/A")</f>
        <v>2.6666666666666665</v>
      </c>
      <c r="AJ173">
        <f>IFERROR(AVERAGE($E173:J173),"N/A")</f>
        <v>2.6666666666666665</v>
      </c>
      <c r="AK173">
        <f>IFERROR(AVERAGE($E173:K173),"N/A")</f>
        <v>2.6666666666666665</v>
      </c>
      <c r="AL173">
        <f>IFERROR(AVERAGE($E173:L173),"N/A")</f>
        <v>2.6666666666666665</v>
      </c>
      <c r="AM173">
        <f>IFERROR(AVERAGE($E173:M173),"N/A")</f>
        <v>2.6666666666666665</v>
      </c>
      <c r="AN173">
        <f>IFERROR(AVERAGE($E173:N173),"N/A")</f>
        <v>2.6666666666666665</v>
      </c>
    </row>
    <row r="174" spans="4:40" ht="15.75" x14ac:dyDescent="0.25">
      <c r="D174" s="144">
        <v>35</v>
      </c>
      <c r="E174" s="15">
        <v>0</v>
      </c>
      <c r="F174" s="15">
        <v>2</v>
      </c>
      <c r="G174" s="15">
        <v>1</v>
      </c>
      <c r="H174" s="15">
        <v>1</v>
      </c>
      <c r="I174" s="15">
        <v>1</v>
      </c>
      <c r="J174" s="15"/>
      <c r="K174" s="15"/>
      <c r="L174" s="15"/>
      <c r="M174" s="15"/>
      <c r="N174" s="15"/>
      <c r="O174" s="56">
        <v>42856</v>
      </c>
      <c r="R174">
        <v>1</v>
      </c>
      <c r="S174">
        <v>1.25</v>
      </c>
      <c r="T174">
        <f t="shared" si="27"/>
        <v>2</v>
      </c>
      <c r="U174">
        <f t="shared" si="28"/>
        <v>4</v>
      </c>
      <c r="AD174">
        <f t="shared" si="29"/>
        <v>35</v>
      </c>
      <c r="AE174">
        <f>IFERROR(AVERAGE($E174:E174),"N/A")</f>
        <v>0</v>
      </c>
      <c r="AF174">
        <f>IFERROR(AVERAGE($E174:F174),"N/A")</f>
        <v>1</v>
      </c>
      <c r="AG174">
        <f>IFERROR(AVERAGE($E174:G174),"N/A")</f>
        <v>1</v>
      </c>
      <c r="AH174">
        <f>IFERROR(AVERAGE($E174:H174),"N/A")</f>
        <v>1</v>
      </c>
      <c r="AI174">
        <f>IFERROR(AVERAGE($E174:I174),"N/A")</f>
        <v>1</v>
      </c>
      <c r="AJ174">
        <f>IFERROR(AVERAGE($E174:J174),"N/A")</f>
        <v>1</v>
      </c>
      <c r="AK174">
        <f>IFERROR(AVERAGE($E174:K174),"N/A")</f>
        <v>1</v>
      </c>
      <c r="AL174">
        <f>IFERROR(AVERAGE($E174:L174),"N/A")</f>
        <v>1</v>
      </c>
      <c r="AM174">
        <f>IFERROR(AVERAGE($E174:M174),"N/A")</f>
        <v>1</v>
      </c>
      <c r="AN174">
        <f>IFERROR(AVERAGE($E174:N174),"N/A")</f>
        <v>1</v>
      </c>
    </row>
    <row r="175" spans="4:40" ht="15.75" x14ac:dyDescent="0.25">
      <c r="D175" s="143">
        <v>36</v>
      </c>
      <c r="E175" s="15">
        <v>1</v>
      </c>
      <c r="F175" s="15">
        <v>3</v>
      </c>
      <c r="G175" s="15">
        <v>1</v>
      </c>
      <c r="H175" s="15"/>
      <c r="I175" s="15"/>
      <c r="J175" s="15"/>
      <c r="K175" s="15"/>
      <c r="L175" s="15"/>
      <c r="M175" s="15"/>
      <c r="N175" s="15"/>
      <c r="O175" s="56">
        <v>42849</v>
      </c>
      <c r="R175">
        <v>1.6666666666666667</v>
      </c>
      <c r="S175">
        <v>1.6666666666666667</v>
      </c>
      <c r="T175">
        <f t="shared" si="27"/>
        <v>3</v>
      </c>
      <c r="U175">
        <f t="shared" si="28"/>
        <v>3</v>
      </c>
      <c r="AD175">
        <f t="shared" si="29"/>
        <v>36</v>
      </c>
      <c r="AE175">
        <f>IFERROR(AVERAGE($E175:E175),"N/A")</f>
        <v>1</v>
      </c>
      <c r="AF175">
        <f>IFERROR(AVERAGE($E175:F175),"N/A")</f>
        <v>2</v>
      </c>
      <c r="AG175">
        <f>IFERROR(AVERAGE($E175:G175),"N/A")</f>
        <v>1.6666666666666667</v>
      </c>
      <c r="AH175">
        <f>IFERROR(AVERAGE($E175:H175),"N/A")</f>
        <v>1.6666666666666667</v>
      </c>
      <c r="AI175">
        <f>IFERROR(AVERAGE($E175:I175),"N/A")</f>
        <v>1.6666666666666667</v>
      </c>
      <c r="AJ175">
        <f>IFERROR(AVERAGE($E175:J175),"N/A")</f>
        <v>1.6666666666666667</v>
      </c>
      <c r="AK175">
        <f>IFERROR(AVERAGE($E175:K175),"N/A")</f>
        <v>1.6666666666666667</v>
      </c>
      <c r="AL175">
        <f>IFERROR(AVERAGE($E175:L175),"N/A")</f>
        <v>1.6666666666666667</v>
      </c>
      <c r="AM175">
        <f>IFERROR(AVERAGE($E175:M175),"N/A")</f>
        <v>1.6666666666666667</v>
      </c>
      <c r="AN175">
        <f>IFERROR(AVERAGE($E175:N175),"N/A")</f>
        <v>1.6666666666666667</v>
      </c>
    </row>
    <row r="176" spans="4:40" ht="15.75" x14ac:dyDescent="0.25">
      <c r="D176" s="143">
        <v>37</v>
      </c>
      <c r="E176" s="15">
        <v>2</v>
      </c>
      <c r="F176" s="15">
        <v>1</v>
      </c>
      <c r="G176" s="15">
        <v>0</v>
      </c>
      <c r="H176" s="15">
        <v>2</v>
      </c>
      <c r="I176" s="15">
        <v>2</v>
      </c>
      <c r="J176" s="15"/>
      <c r="K176" s="15"/>
      <c r="L176" s="15"/>
      <c r="M176" s="15"/>
      <c r="N176" s="15"/>
      <c r="O176" s="56">
        <v>42856</v>
      </c>
      <c r="R176">
        <v>1.4</v>
      </c>
      <c r="S176">
        <v>1.75</v>
      </c>
      <c r="T176">
        <f t="shared" si="27"/>
        <v>2</v>
      </c>
      <c r="U176">
        <f t="shared" si="28"/>
        <v>4</v>
      </c>
      <c r="AD176">
        <f t="shared" si="29"/>
        <v>37</v>
      </c>
      <c r="AE176">
        <f>IFERROR(AVERAGE($E176:E176),"N/A")</f>
        <v>2</v>
      </c>
      <c r="AF176">
        <f>IFERROR(AVERAGE($E176:F176),"N/A")</f>
        <v>1.5</v>
      </c>
      <c r="AG176">
        <f>IFERROR(AVERAGE($E176:G176),"N/A")</f>
        <v>1</v>
      </c>
      <c r="AH176">
        <f>IFERROR(AVERAGE($E176:H176),"N/A")</f>
        <v>1.25</v>
      </c>
      <c r="AI176">
        <f>IFERROR(AVERAGE($E176:I176),"N/A")</f>
        <v>1.4</v>
      </c>
      <c r="AJ176">
        <f>IFERROR(AVERAGE($E176:J176),"N/A")</f>
        <v>1.4</v>
      </c>
      <c r="AK176">
        <f>IFERROR(AVERAGE($E176:K176),"N/A")</f>
        <v>1.4</v>
      </c>
      <c r="AL176">
        <f>IFERROR(AVERAGE($E176:L176),"N/A")</f>
        <v>1.4</v>
      </c>
      <c r="AM176">
        <f>IFERROR(AVERAGE($E176:M176),"N/A")</f>
        <v>1.4</v>
      </c>
      <c r="AN176">
        <f>IFERROR(AVERAGE($E176:N176),"N/A")</f>
        <v>1.4</v>
      </c>
    </row>
    <row r="177" spans="4:40" ht="15.75" x14ac:dyDescent="0.25">
      <c r="D177" s="144">
        <v>38</v>
      </c>
      <c r="E177" s="15">
        <v>1</v>
      </c>
      <c r="F177" s="15">
        <v>0</v>
      </c>
      <c r="G177" s="15">
        <v>1</v>
      </c>
      <c r="H177" s="15">
        <v>3</v>
      </c>
      <c r="I177" s="15">
        <v>2</v>
      </c>
      <c r="J177" s="15">
        <v>3</v>
      </c>
      <c r="K177" s="15">
        <v>0</v>
      </c>
      <c r="L177" s="15"/>
      <c r="M177" s="15"/>
      <c r="N177" s="15"/>
      <c r="O177" s="56">
        <v>42863</v>
      </c>
      <c r="R177">
        <v>1.4285714285714286</v>
      </c>
      <c r="S177">
        <v>2</v>
      </c>
      <c r="T177">
        <f t="shared" si="27"/>
        <v>3</v>
      </c>
      <c r="U177">
        <f t="shared" si="28"/>
        <v>5</v>
      </c>
      <c r="AD177">
        <f t="shared" si="29"/>
        <v>38</v>
      </c>
      <c r="AE177">
        <f>IFERROR(AVERAGE($E177:E177),"N/A")</f>
        <v>1</v>
      </c>
      <c r="AF177">
        <f>IFERROR(AVERAGE($E177:F177),"N/A")</f>
        <v>0.5</v>
      </c>
      <c r="AG177">
        <f>IFERROR(AVERAGE($E177:G177),"N/A")</f>
        <v>0.66666666666666663</v>
      </c>
      <c r="AH177">
        <f>IFERROR(AVERAGE($E177:H177),"N/A")</f>
        <v>1.25</v>
      </c>
      <c r="AI177">
        <f>IFERROR(AVERAGE($E177:I177),"N/A")</f>
        <v>1.4</v>
      </c>
      <c r="AJ177">
        <f>IFERROR(AVERAGE($E177:J177),"N/A")</f>
        <v>1.6666666666666667</v>
      </c>
      <c r="AK177">
        <f>IFERROR(AVERAGE($E177:K177),"N/A")</f>
        <v>1.4285714285714286</v>
      </c>
      <c r="AL177">
        <f>IFERROR(AVERAGE($E177:L177),"N/A")</f>
        <v>1.4285714285714286</v>
      </c>
      <c r="AM177">
        <f>IFERROR(AVERAGE($E177:M177),"N/A")</f>
        <v>1.4285714285714286</v>
      </c>
      <c r="AN177">
        <f>IFERROR(AVERAGE($E177:N177),"N/A")</f>
        <v>1.4285714285714286</v>
      </c>
    </row>
    <row r="178" spans="4:40" ht="15.75" x14ac:dyDescent="0.25">
      <c r="D178" s="143">
        <v>39</v>
      </c>
      <c r="E178" s="15">
        <v>2</v>
      </c>
      <c r="F178" s="15">
        <v>1</v>
      </c>
      <c r="G178" s="15">
        <v>1</v>
      </c>
      <c r="H178" s="15"/>
      <c r="I178" s="15"/>
      <c r="J178" s="15"/>
      <c r="K178" s="15"/>
      <c r="L178" s="15"/>
      <c r="M178" s="15"/>
      <c r="N178" s="15"/>
      <c r="O178" s="56">
        <v>42850</v>
      </c>
      <c r="R178">
        <v>1.3333333333333333</v>
      </c>
      <c r="S178">
        <v>1.3333333333333333</v>
      </c>
      <c r="T178">
        <f t="shared" si="27"/>
        <v>2</v>
      </c>
      <c r="U178">
        <f t="shared" si="28"/>
        <v>3</v>
      </c>
      <c r="AD178">
        <f t="shared" si="29"/>
        <v>39</v>
      </c>
      <c r="AE178">
        <f>IFERROR(AVERAGE($E178:E178),"N/A")</f>
        <v>2</v>
      </c>
      <c r="AF178">
        <f>IFERROR(AVERAGE($E178:F178),"N/A")</f>
        <v>1.5</v>
      </c>
      <c r="AG178">
        <f>IFERROR(AVERAGE($E178:G178),"N/A")</f>
        <v>1.3333333333333333</v>
      </c>
      <c r="AH178">
        <f>IFERROR(AVERAGE($E178:H178),"N/A")</f>
        <v>1.3333333333333333</v>
      </c>
      <c r="AI178">
        <f>IFERROR(AVERAGE($E178:I178),"N/A")</f>
        <v>1.3333333333333333</v>
      </c>
      <c r="AJ178">
        <f>IFERROR(AVERAGE($E178:J178),"N/A")</f>
        <v>1.3333333333333333</v>
      </c>
      <c r="AK178">
        <f>IFERROR(AVERAGE($E178:K178),"N/A")</f>
        <v>1.3333333333333333</v>
      </c>
      <c r="AL178">
        <f>IFERROR(AVERAGE($E178:L178),"N/A")</f>
        <v>1.3333333333333333</v>
      </c>
      <c r="AM178">
        <f>IFERROR(AVERAGE($E178:M178),"N/A")</f>
        <v>1.3333333333333333</v>
      </c>
      <c r="AN178">
        <f>IFERROR(AVERAGE($E178:N178),"N/A")</f>
        <v>1.3333333333333333</v>
      </c>
    </row>
    <row r="179" spans="4:40" ht="15.75" x14ac:dyDescent="0.25">
      <c r="D179" s="145">
        <v>40</v>
      </c>
      <c r="E179" s="18">
        <v>2</v>
      </c>
      <c r="F179" s="18">
        <v>2</v>
      </c>
      <c r="G179" s="18">
        <v>0</v>
      </c>
      <c r="H179" s="18">
        <v>2</v>
      </c>
      <c r="I179" s="18"/>
      <c r="J179" s="18"/>
      <c r="K179" s="18"/>
      <c r="L179" s="18"/>
      <c r="M179" s="18"/>
      <c r="N179" s="18"/>
      <c r="O179" s="146">
        <v>42852</v>
      </c>
      <c r="R179">
        <v>1.5</v>
      </c>
      <c r="S179">
        <v>2</v>
      </c>
      <c r="T179">
        <f t="shared" si="27"/>
        <v>2</v>
      </c>
      <c r="U179">
        <f t="shared" si="28"/>
        <v>3</v>
      </c>
      <c r="AD179">
        <f t="shared" si="29"/>
        <v>40</v>
      </c>
      <c r="AE179">
        <f>IFERROR(AVERAGE($E179:E179),"N/A")</f>
        <v>2</v>
      </c>
      <c r="AF179">
        <f>IFERROR(AVERAGE($E179:F179),"N/A")</f>
        <v>2</v>
      </c>
      <c r="AG179">
        <f>IFERROR(AVERAGE($E179:G179),"N/A")</f>
        <v>1.3333333333333333</v>
      </c>
      <c r="AH179">
        <f>IFERROR(AVERAGE($E179:H179),"N/A")</f>
        <v>1.5</v>
      </c>
      <c r="AI179">
        <f>IFERROR(AVERAGE($E179:I179),"N/A")</f>
        <v>1.5</v>
      </c>
      <c r="AJ179">
        <f>IFERROR(AVERAGE($E179:J179),"N/A")</f>
        <v>1.5</v>
      </c>
      <c r="AK179">
        <f>IFERROR(AVERAGE($E179:K179),"N/A")</f>
        <v>1.5</v>
      </c>
      <c r="AL179">
        <f>IFERROR(AVERAGE($E179:L179),"N/A")</f>
        <v>1.5</v>
      </c>
      <c r="AM179">
        <f>IFERROR(AVERAGE($E179:M179),"N/A")</f>
        <v>1.5</v>
      </c>
      <c r="AN179">
        <f>IFERROR(AVERAGE($E179:N179),"N/A")</f>
        <v>1.5</v>
      </c>
    </row>
    <row r="180" spans="4:40" ht="15.75" x14ac:dyDescent="0.25">
      <c r="D180" s="9"/>
      <c r="T180" t="s">
        <v>16</v>
      </c>
      <c r="U180">
        <f>SUM(U140:U179)</f>
        <v>83</v>
      </c>
    </row>
    <row r="181" spans="4:40" ht="15.75" x14ac:dyDescent="0.25">
      <c r="D181" s="11"/>
      <c r="T181" t="s">
        <v>62</v>
      </c>
      <c r="U181">
        <f>AVERAGE(U140:U179)</f>
        <v>2.0750000000000002</v>
      </c>
    </row>
    <row r="182" spans="4:40" ht="15.75" x14ac:dyDescent="0.25">
      <c r="D182" s="11"/>
    </row>
    <row r="183" spans="4:40" ht="15.75" x14ac:dyDescent="0.25">
      <c r="D183" s="9"/>
    </row>
    <row r="184" spans="4:40" ht="15.75" x14ac:dyDescent="0.25">
      <c r="D184" s="11"/>
    </row>
    <row r="185" spans="4:40" ht="15.75" x14ac:dyDescent="0.25">
      <c r="D185" s="11"/>
    </row>
    <row r="186" spans="4:40" ht="15.75" x14ac:dyDescent="0.25">
      <c r="D186" s="9"/>
    </row>
    <row r="187" spans="4:40" ht="15.75" x14ac:dyDescent="0.25">
      <c r="D187" s="11"/>
    </row>
    <row r="188" spans="4:40" ht="15.75" x14ac:dyDescent="0.25">
      <c r="D188" s="11"/>
    </row>
    <row r="189" spans="4:40" ht="15.75" x14ac:dyDescent="0.25">
      <c r="D189" s="9"/>
    </row>
    <row r="190" spans="4:40" ht="15.75" x14ac:dyDescent="0.25">
      <c r="D190" s="11"/>
    </row>
    <row r="191" spans="4:40" ht="15.75" x14ac:dyDescent="0.25">
      <c r="D191" s="11"/>
    </row>
    <row r="192" spans="4:40" ht="15.75" x14ac:dyDescent="0.25">
      <c r="D192" s="9"/>
    </row>
    <row r="193" spans="4:4" ht="15.75" x14ac:dyDescent="0.25">
      <c r="D193" s="11"/>
    </row>
    <row r="194" spans="4:4" ht="15.75" x14ac:dyDescent="0.25">
      <c r="D194" s="11"/>
    </row>
  </sheetData>
  <mergeCells count="12">
    <mergeCell ref="A126:A130"/>
    <mergeCell ref="W3:Z3"/>
    <mergeCell ref="D139:O139"/>
    <mergeCell ref="I1:M1"/>
    <mergeCell ref="W108:X108"/>
    <mergeCell ref="Y108:Z108"/>
    <mergeCell ref="A131:A135"/>
    <mergeCell ref="B105:C105"/>
    <mergeCell ref="A106:A110"/>
    <mergeCell ref="A111:A115"/>
    <mergeCell ref="A116:A120"/>
    <mergeCell ref="A121:A125"/>
  </mergeCells>
  <conditionalFormatting sqref="D140:I179">
    <cfRule type="expression" dxfId="82" priority="1">
      <formula>D$3:M$3=$O140:$O303</formula>
    </cfRule>
    <cfRule type="expression" dxfId="81" priority="22">
      <formula>D$3:M$3&gt;$O140:$O303</formula>
    </cfRule>
  </conditionalFormatting>
  <conditionalFormatting sqref="J140:J179">
    <cfRule type="expression" dxfId="80" priority="79">
      <formula>J$3:T$3=$O140:$O303</formula>
    </cfRule>
    <cfRule type="expression" dxfId="79" priority="80">
      <formula>J$3:T$3&gt;$O140:$O303</formula>
    </cfRule>
  </conditionalFormatting>
  <conditionalFormatting sqref="K140:N179">
    <cfRule type="expression" dxfId="78" priority="85">
      <formula>K$3:AC$3=$O140:$O303</formula>
    </cfRule>
    <cfRule type="expression" dxfId="77" priority="86">
      <formula>K$3:AC$3&gt;$O140:$O303</formula>
    </cfRule>
  </conditionalFormatting>
  <conditionalFormatting sqref="E5:I104">
    <cfRule type="expression" dxfId="76" priority="187">
      <formula>E$3:N$3=$O5:$O179</formula>
    </cfRule>
    <cfRule type="expression" dxfId="75" priority="188">
      <formula>E$3:N$3&gt;$O5:$O179</formula>
    </cfRule>
  </conditionalFormatting>
  <conditionalFormatting sqref="J5:J104">
    <cfRule type="expression" dxfId="74" priority="189">
      <formula>J$3:T$3=$O5:$O179</formula>
    </cfRule>
    <cfRule type="expression" dxfId="73" priority="190">
      <formula>J$3:T$3&gt;$O5:$O179</formula>
    </cfRule>
  </conditionalFormatting>
  <conditionalFormatting sqref="K5:N104">
    <cfRule type="expression" dxfId="72" priority="191">
      <formula>K$3:AC$3=$O5:$O179</formula>
    </cfRule>
    <cfRule type="expression" dxfId="71" priority="192">
      <formula>K$3:AC$3&gt;$O5:$O179</formula>
    </cfRule>
  </conditionalFormatting>
  <pageMargins left="0.7" right="0.7" top="0.75" bottom="0.75" header="0.3" footer="0.3"/>
  <pageSetup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14"/>
  <sheetViews>
    <sheetView workbookViewId="0"/>
  </sheetViews>
  <sheetFormatPr defaultRowHeight="15" x14ac:dyDescent="0.25"/>
  <cols>
    <col min="1" max="1" width="16.5703125" customWidth="1"/>
    <col min="2" max="2" width="13.140625" customWidth="1"/>
    <col min="3" max="3" width="13.140625" bestFit="1" customWidth="1"/>
    <col min="4" max="7" width="12.28515625" bestFit="1" customWidth="1"/>
    <col min="8" max="8" width="11.5703125" bestFit="1" customWidth="1"/>
    <col min="9" max="9" width="13.28515625" style="59" customWidth="1"/>
    <col min="10" max="10" width="12" customWidth="1"/>
    <col min="11" max="11" width="14.7109375" customWidth="1"/>
    <col min="12" max="12" width="14.42578125" customWidth="1"/>
    <col min="13" max="13" width="16.7109375" customWidth="1"/>
    <col min="14" max="14" width="13.140625" customWidth="1"/>
    <col min="15" max="15" width="16.28515625" customWidth="1"/>
    <col min="17" max="17" width="11.42578125" customWidth="1"/>
    <col min="19" max="19" width="13.140625" customWidth="1"/>
    <col min="20" max="20" width="10.5703125" customWidth="1"/>
    <col min="21" max="21" width="28.85546875" customWidth="1"/>
    <col min="22" max="22" width="24.5703125" customWidth="1"/>
    <col min="23" max="23" width="9.7109375" customWidth="1"/>
  </cols>
  <sheetData>
    <row r="1" spans="3:36" ht="54.75" customHeight="1" thickBot="1" x14ac:dyDescent="0.3">
      <c r="C1" s="122">
        <v>42835</v>
      </c>
      <c r="D1" s="1" t="s">
        <v>7</v>
      </c>
      <c r="E1" s="2"/>
      <c r="F1" s="2"/>
      <c r="G1" s="2"/>
      <c r="H1" s="2"/>
      <c r="I1" s="379" t="s">
        <v>4</v>
      </c>
      <c r="J1" s="379"/>
      <c r="K1" s="379"/>
      <c r="L1" s="2"/>
      <c r="O1" s="202"/>
      <c r="Q1" s="202"/>
      <c r="R1" s="202"/>
      <c r="S1" s="202"/>
      <c r="T1" s="202"/>
      <c r="U1" s="202"/>
      <c r="V1" s="2"/>
    </row>
    <row r="2" spans="3:36" ht="17.25" customHeight="1" x14ac:dyDescent="0.25">
      <c r="D2" s="267"/>
      <c r="E2" s="268"/>
      <c r="F2" s="268"/>
      <c r="G2" s="268"/>
      <c r="H2" s="268"/>
      <c r="I2" s="268"/>
      <c r="J2" s="268"/>
      <c r="K2" s="268"/>
      <c r="L2" s="268"/>
      <c r="M2" s="281" t="s">
        <v>110</v>
      </c>
      <c r="N2" s="268"/>
      <c r="O2" s="269"/>
      <c r="P2" s="203"/>
      <c r="Q2" s="203"/>
      <c r="R2" s="203"/>
      <c r="S2" s="203"/>
      <c r="T2" s="203"/>
      <c r="U2" s="203"/>
      <c r="V2" s="40">
        <v>2017</v>
      </c>
    </row>
    <row r="3" spans="3:36" s="63" customFormat="1" ht="15.75" customHeight="1" x14ac:dyDescent="0.25">
      <c r="D3" s="270" t="s">
        <v>49</v>
      </c>
      <c r="E3" s="63">
        <f>DATEDIF($C$1,E4,"D")</f>
        <v>3</v>
      </c>
      <c r="F3" s="63">
        <f t="shared" ref="F3:J3" si="0">DATEDIF($C$1,F4,"D")</f>
        <v>8</v>
      </c>
      <c r="G3" s="63">
        <f t="shared" si="0"/>
        <v>11</v>
      </c>
      <c r="H3" s="63">
        <f t="shared" si="0"/>
        <v>15</v>
      </c>
      <c r="I3" s="63">
        <f t="shared" si="0"/>
        <v>18</v>
      </c>
      <c r="J3" s="63">
        <f t="shared" si="0"/>
        <v>22</v>
      </c>
      <c r="R3" s="61"/>
      <c r="S3" s="371" t="s">
        <v>214</v>
      </c>
      <c r="T3" s="372"/>
      <c r="U3" s="372"/>
      <c r="V3" s="372"/>
      <c r="W3" s="373"/>
      <c r="X3" s="62"/>
      <c r="Y3" s="62"/>
      <c r="Z3" s="62"/>
      <c r="AA3" s="62"/>
    </row>
    <row r="4" spans="3:36" ht="30" x14ac:dyDescent="0.25">
      <c r="D4" s="271" t="s">
        <v>3</v>
      </c>
      <c r="E4" s="61">
        <v>42838</v>
      </c>
      <c r="F4" s="61">
        <v>42843</v>
      </c>
      <c r="G4" s="61">
        <v>42846</v>
      </c>
      <c r="H4" s="61">
        <v>42850</v>
      </c>
      <c r="I4" s="61">
        <v>42853</v>
      </c>
      <c r="J4" s="61">
        <v>42857</v>
      </c>
      <c r="K4" s="350" t="s">
        <v>19</v>
      </c>
      <c r="L4" s="351" t="s">
        <v>54</v>
      </c>
      <c r="M4" s="351" t="s">
        <v>33</v>
      </c>
      <c r="N4" s="348" t="s">
        <v>62</v>
      </c>
      <c r="O4" s="349" t="s">
        <v>128</v>
      </c>
      <c r="P4" s="344" t="s">
        <v>104</v>
      </c>
      <c r="Q4" s="347" t="s">
        <v>122</v>
      </c>
      <c r="S4" t="s">
        <v>79</v>
      </c>
      <c r="T4" t="s">
        <v>54</v>
      </c>
      <c r="U4" t="s">
        <v>88</v>
      </c>
      <c r="V4" t="s">
        <v>81</v>
      </c>
      <c r="W4" t="s">
        <v>6</v>
      </c>
    </row>
    <row r="5" spans="3:36" ht="15.75" x14ac:dyDescent="0.25">
      <c r="D5" s="259">
        <v>1</v>
      </c>
      <c r="E5" s="15">
        <v>0</v>
      </c>
      <c r="F5" s="15">
        <v>0</v>
      </c>
      <c r="G5" s="15"/>
      <c r="H5" s="15"/>
      <c r="I5" s="15"/>
      <c r="J5" s="15"/>
      <c r="K5" s="57">
        <v>42844</v>
      </c>
      <c r="L5" s="15" t="b">
        <f>LOOKUP($D5,Table3[Sample Name],Table3[Positive])</f>
        <v>1</v>
      </c>
      <c r="M5" s="15" t="b">
        <f>LOOKUP($D5,Table3[Sample Name],Table3[Disseminated])</f>
        <v>1</v>
      </c>
      <c r="N5" s="15">
        <f>AVERAGE(E5:J5)</f>
        <v>0</v>
      </c>
      <c r="O5" s="261" t="str">
        <f>IFERROR(AVERAGEIF($E5:$J5,"&gt;"&amp;0),"")</f>
        <v/>
      </c>
      <c r="P5" s="251">
        <f>LARGE($E5:$J5,1)</f>
        <v>0</v>
      </c>
      <c r="Q5" s="15">
        <f>COUNTIF($E5:$J5,"&gt;"&amp;0)</f>
        <v>0</v>
      </c>
      <c r="R5" s="15"/>
      <c r="S5" s="15">
        <v>0</v>
      </c>
      <c r="T5" s="15">
        <v>0</v>
      </c>
      <c r="U5" s="15">
        <v>0</v>
      </c>
      <c r="V5" s="15">
        <v>0</v>
      </c>
      <c r="W5" s="353">
        <v>0</v>
      </c>
      <c r="X5" s="15"/>
      <c r="Y5" s="353">
        <v>0</v>
      </c>
      <c r="Z5" s="15"/>
      <c r="AA5" s="15"/>
      <c r="AB5" s="15"/>
      <c r="AC5" s="15"/>
      <c r="AD5" s="15"/>
      <c r="AE5" s="15"/>
      <c r="AF5" s="15"/>
      <c r="AG5" s="10"/>
      <c r="AH5" s="10"/>
      <c r="AI5" s="10"/>
      <c r="AJ5" s="10"/>
    </row>
    <row r="6" spans="3:36" ht="15.75" x14ac:dyDescent="0.25">
      <c r="D6" s="257">
        <v>2</v>
      </c>
      <c r="E6" s="15">
        <v>2</v>
      </c>
      <c r="F6" s="15">
        <v>4</v>
      </c>
      <c r="G6" s="15">
        <v>3</v>
      </c>
      <c r="H6" s="15">
        <v>4</v>
      </c>
      <c r="I6" s="15">
        <v>4</v>
      </c>
      <c r="J6" s="15"/>
      <c r="K6" s="57">
        <v>42857</v>
      </c>
      <c r="L6" s="15" t="b">
        <f>LOOKUP($D6,Table3[Sample Name],Table3[Positive])</f>
        <v>0</v>
      </c>
      <c r="M6" s="15" t="str">
        <f>LOOKUP($D6,Table3[Sample Name],Table3[Disseminated])</f>
        <v>N/A</v>
      </c>
      <c r="N6" s="15">
        <f t="shared" ref="N6:N69" si="1">AVERAGE(E6:J6)</f>
        <v>3.4</v>
      </c>
      <c r="O6" s="261">
        <f t="shared" ref="O6:O69" si="2">IFERROR(AVERAGEIF($E6:$J6,"&gt;"&amp;0),"")</f>
        <v>3.4</v>
      </c>
      <c r="P6" s="251">
        <f t="shared" ref="P6:P69" si="3">LARGE($E6:$J6,1)</f>
        <v>4</v>
      </c>
      <c r="Q6" s="15">
        <f t="shared" ref="Q6:Q69" si="4">COUNTIF($E6:$J6,"&gt;"&amp;0)</f>
        <v>5</v>
      </c>
      <c r="R6" s="16"/>
      <c r="S6" s="15">
        <v>0</v>
      </c>
      <c r="T6" s="15">
        <v>0</v>
      </c>
      <c r="U6" s="15">
        <v>0</v>
      </c>
      <c r="V6" s="15">
        <v>0</v>
      </c>
      <c r="W6" s="353">
        <v>0</v>
      </c>
      <c r="X6" s="16"/>
      <c r="Y6" s="353">
        <v>0</v>
      </c>
      <c r="Z6" s="16"/>
      <c r="AA6" s="16"/>
      <c r="AB6" s="16"/>
      <c r="AC6" s="16"/>
      <c r="AD6" s="16"/>
      <c r="AE6" s="16"/>
      <c r="AF6" s="16"/>
      <c r="AG6" s="12"/>
      <c r="AH6" s="12"/>
      <c r="AI6" s="12"/>
      <c r="AJ6" s="12"/>
    </row>
    <row r="7" spans="3:36" ht="15.75" x14ac:dyDescent="0.25">
      <c r="D7" s="259">
        <v>3</v>
      </c>
      <c r="E7" s="15">
        <v>2</v>
      </c>
      <c r="F7" s="15">
        <v>0</v>
      </c>
      <c r="G7" s="15">
        <v>4</v>
      </c>
      <c r="H7" s="15"/>
      <c r="I7" s="15"/>
      <c r="J7" s="15"/>
      <c r="K7" s="57">
        <v>42849</v>
      </c>
      <c r="L7" s="15" t="b">
        <f>LOOKUP($D7,Table3[Sample Name],Table3[Positive])</f>
        <v>0</v>
      </c>
      <c r="M7" s="15" t="str">
        <f>LOOKUP($D7,Table3[Sample Name],Table3[Disseminated])</f>
        <v>N/A</v>
      </c>
      <c r="N7" s="15">
        <f t="shared" si="1"/>
        <v>2</v>
      </c>
      <c r="O7" s="261">
        <f t="shared" si="2"/>
        <v>3</v>
      </c>
      <c r="P7" s="251">
        <f t="shared" si="3"/>
        <v>4</v>
      </c>
      <c r="Q7" s="15">
        <f t="shared" si="4"/>
        <v>2</v>
      </c>
      <c r="R7" s="15"/>
      <c r="S7" s="15">
        <v>0</v>
      </c>
      <c r="T7" s="15">
        <v>0</v>
      </c>
      <c r="U7" s="15">
        <v>0</v>
      </c>
      <c r="V7" s="15">
        <v>0</v>
      </c>
      <c r="W7" s="353">
        <v>0</v>
      </c>
      <c r="X7" s="15"/>
      <c r="Y7" s="353">
        <v>0</v>
      </c>
      <c r="Z7" s="15"/>
      <c r="AA7" s="15"/>
      <c r="AB7" s="15"/>
      <c r="AC7" s="15"/>
      <c r="AD7" s="15"/>
      <c r="AE7" s="15"/>
      <c r="AF7" s="15"/>
      <c r="AG7" s="10"/>
      <c r="AH7" s="10"/>
      <c r="AI7" s="10"/>
      <c r="AJ7" s="10"/>
    </row>
    <row r="8" spans="3:36" ht="15.75" x14ac:dyDescent="0.25">
      <c r="D8" s="257">
        <v>4</v>
      </c>
      <c r="E8" s="15">
        <v>1</v>
      </c>
      <c r="F8" s="15">
        <v>0</v>
      </c>
      <c r="G8" s="15"/>
      <c r="H8" s="15"/>
      <c r="I8" s="15"/>
      <c r="J8" s="15"/>
      <c r="K8" s="57">
        <v>42844</v>
      </c>
      <c r="L8" s="15" t="b">
        <f>LOOKUP($D8,Table3[Sample Name],Table3[Positive])</f>
        <v>1</v>
      </c>
      <c r="M8" s="15" t="b">
        <f>LOOKUP($D8,Table3[Sample Name],Table3[Disseminated])</f>
        <v>1</v>
      </c>
      <c r="N8" s="15">
        <f t="shared" si="1"/>
        <v>0.5</v>
      </c>
      <c r="O8" s="261">
        <f t="shared" si="2"/>
        <v>1</v>
      </c>
      <c r="P8" s="251">
        <f t="shared" si="3"/>
        <v>1</v>
      </c>
      <c r="Q8" s="15">
        <f t="shared" si="4"/>
        <v>1</v>
      </c>
      <c r="R8" s="16"/>
      <c r="S8" s="15">
        <v>0</v>
      </c>
      <c r="T8" s="15">
        <v>0</v>
      </c>
      <c r="U8" s="15">
        <v>0</v>
      </c>
      <c r="V8" s="15">
        <v>0</v>
      </c>
      <c r="W8" s="353">
        <v>0</v>
      </c>
      <c r="X8" s="16"/>
      <c r="Y8" s="353">
        <v>0</v>
      </c>
      <c r="Z8" s="16"/>
      <c r="AA8" s="16"/>
      <c r="AB8" s="16"/>
      <c r="AC8" s="16"/>
      <c r="AD8" s="16"/>
      <c r="AE8" s="16"/>
      <c r="AF8" s="16"/>
      <c r="AG8" s="12"/>
      <c r="AH8" s="12"/>
      <c r="AI8" s="12"/>
      <c r="AJ8" s="12"/>
    </row>
    <row r="9" spans="3:36" ht="15.75" x14ac:dyDescent="0.25">
      <c r="D9" s="259">
        <v>5</v>
      </c>
      <c r="E9" s="15">
        <v>2</v>
      </c>
      <c r="F9" s="15">
        <v>0</v>
      </c>
      <c r="G9" s="15">
        <v>2</v>
      </c>
      <c r="H9" s="15"/>
      <c r="I9" s="15"/>
      <c r="J9" s="15"/>
      <c r="K9" s="57">
        <v>42849</v>
      </c>
      <c r="L9" s="15" t="b">
        <f>LOOKUP($D9,Table3[Sample Name],Table3[Positive])</f>
        <v>1</v>
      </c>
      <c r="M9" s="15" t="b">
        <f>LOOKUP($D9,Table3[Sample Name],Table3[Disseminated])</f>
        <v>0</v>
      </c>
      <c r="N9" s="15">
        <f t="shared" si="1"/>
        <v>1.3333333333333333</v>
      </c>
      <c r="O9" s="261">
        <f t="shared" si="2"/>
        <v>2</v>
      </c>
      <c r="P9" s="251">
        <f t="shared" si="3"/>
        <v>2</v>
      </c>
      <c r="Q9" s="15">
        <f t="shared" si="4"/>
        <v>2</v>
      </c>
      <c r="R9" s="15"/>
      <c r="S9" s="15">
        <v>0</v>
      </c>
      <c r="T9" s="15">
        <v>0</v>
      </c>
      <c r="U9" s="15">
        <v>0</v>
      </c>
      <c r="V9" s="15">
        <v>0</v>
      </c>
      <c r="W9" s="353">
        <v>0</v>
      </c>
      <c r="X9" s="15"/>
      <c r="Y9" s="353">
        <v>0</v>
      </c>
      <c r="Z9" s="15"/>
      <c r="AA9" s="15"/>
      <c r="AB9" s="15"/>
      <c r="AC9" s="15"/>
      <c r="AD9" s="15"/>
      <c r="AE9" s="15"/>
      <c r="AF9" s="15"/>
      <c r="AG9" s="10"/>
      <c r="AH9" s="10"/>
      <c r="AI9" s="10"/>
      <c r="AJ9" s="10"/>
    </row>
    <row r="10" spans="3:36" ht="15.75" x14ac:dyDescent="0.25">
      <c r="D10" s="257">
        <v>6</v>
      </c>
      <c r="E10" s="15">
        <v>2</v>
      </c>
      <c r="F10" s="15"/>
      <c r="G10" s="15"/>
      <c r="H10" s="15"/>
      <c r="I10" s="15"/>
      <c r="J10" s="15"/>
      <c r="K10" s="57">
        <v>42843</v>
      </c>
      <c r="L10" s="15" t="b">
        <f>LOOKUP($D10,Table3[Sample Name],Table3[Positive])</f>
        <v>1</v>
      </c>
      <c r="M10" s="15" t="b">
        <f>LOOKUP($D10,Table3[Sample Name],Table3[Disseminated])</f>
        <v>0</v>
      </c>
      <c r="N10" s="15">
        <f t="shared" si="1"/>
        <v>2</v>
      </c>
      <c r="O10" s="261">
        <f t="shared" si="2"/>
        <v>2</v>
      </c>
      <c r="P10" s="251">
        <f t="shared" si="3"/>
        <v>2</v>
      </c>
      <c r="Q10" s="15">
        <f t="shared" si="4"/>
        <v>1</v>
      </c>
      <c r="R10" s="16"/>
      <c r="S10" s="15">
        <v>0</v>
      </c>
      <c r="T10" s="15">
        <v>0</v>
      </c>
      <c r="U10" s="15">
        <v>0</v>
      </c>
      <c r="V10" s="15">
        <v>0</v>
      </c>
      <c r="W10" s="353">
        <v>0</v>
      </c>
      <c r="X10" s="16"/>
      <c r="Y10" s="353">
        <v>0</v>
      </c>
      <c r="Z10" s="16"/>
      <c r="AA10" s="16"/>
      <c r="AB10" s="16"/>
      <c r="AC10" s="16"/>
      <c r="AD10" s="16"/>
      <c r="AE10" s="16"/>
      <c r="AF10" s="16"/>
      <c r="AG10" s="12"/>
      <c r="AH10" s="12"/>
      <c r="AI10" s="12"/>
      <c r="AJ10" s="12"/>
    </row>
    <row r="11" spans="3:36" ht="15.75" customHeight="1" x14ac:dyDescent="0.25">
      <c r="D11" s="259">
        <v>7</v>
      </c>
      <c r="E11" s="15">
        <v>0</v>
      </c>
      <c r="F11" s="15">
        <v>0</v>
      </c>
      <c r="G11" s="15"/>
      <c r="H11" s="15"/>
      <c r="I11" s="15"/>
      <c r="J11" s="15"/>
      <c r="K11" s="57">
        <v>42846</v>
      </c>
      <c r="L11" s="15" t="b">
        <f>LOOKUP($D11,Table3[Sample Name],Table3[Positive])</f>
        <v>1</v>
      </c>
      <c r="M11" s="15" t="b">
        <f>LOOKUP($D11,Table3[Sample Name],Table3[Disseminated])</f>
        <v>1</v>
      </c>
      <c r="N11" s="15">
        <f t="shared" si="1"/>
        <v>0</v>
      </c>
      <c r="O11" s="261" t="str">
        <f t="shared" si="2"/>
        <v/>
      </c>
      <c r="P11" s="251">
        <f t="shared" si="3"/>
        <v>0</v>
      </c>
      <c r="Q11" s="15">
        <f t="shared" si="4"/>
        <v>0</v>
      </c>
      <c r="R11" s="15"/>
      <c r="S11" s="15">
        <v>0</v>
      </c>
      <c r="T11" s="15">
        <v>0</v>
      </c>
      <c r="U11" s="15">
        <v>0.5</v>
      </c>
      <c r="V11" s="15">
        <v>0</v>
      </c>
      <c r="W11" s="353">
        <v>0</v>
      </c>
      <c r="X11" s="15"/>
      <c r="Y11" s="353">
        <v>0</v>
      </c>
      <c r="Z11" s="15"/>
      <c r="AA11" s="15"/>
      <c r="AB11" s="15"/>
      <c r="AC11" s="15"/>
      <c r="AD11" s="15"/>
      <c r="AE11" s="15"/>
      <c r="AF11" s="15"/>
      <c r="AG11" s="10"/>
      <c r="AH11" s="10"/>
      <c r="AI11" s="10"/>
      <c r="AJ11" s="10"/>
    </row>
    <row r="12" spans="3:36" ht="15.75" x14ac:dyDescent="0.25">
      <c r="D12" s="257">
        <v>8</v>
      </c>
      <c r="E12" s="15">
        <v>0</v>
      </c>
      <c r="F12" s="15">
        <v>1</v>
      </c>
      <c r="G12" s="15"/>
      <c r="H12" s="15"/>
      <c r="I12" s="15"/>
      <c r="J12" s="15"/>
      <c r="K12" s="57">
        <v>42845</v>
      </c>
      <c r="L12" s="15" t="b">
        <f>LOOKUP($D12,Table3[Sample Name],Table3[Positive])</f>
        <v>0</v>
      </c>
      <c r="M12" s="15" t="str">
        <f>LOOKUP($D12,Table3[Sample Name],Table3[Disseminated])</f>
        <v>N/A</v>
      </c>
      <c r="N12" s="15">
        <f t="shared" si="1"/>
        <v>0.5</v>
      </c>
      <c r="O12" s="261">
        <f t="shared" si="2"/>
        <v>1</v>
      </c>
      <c r="P12" s="251">
        <f t="shared" si="3"/>
        <v>1</v>
      </c>
      <c r="Q12" s="15">
        <f t="shared" si="4"/>
        <v>1</v>
      </c>
      <c r="R12" s="16"/>
      <c r="S12" s="15">
        <v>0</v>
      </c>
      <c r="T12" s="15">
        <v>0</v>
      </c>
      <c r="U12" s="15">
        <v>0.5</v>
      </c>
      <c r="V12" s="15">
        <v>0</v>
      </c>
      <c r="W12" s="353">
        <v>0</v>
      </c>
      <c r="X12" s="16"/>
      <c r="Y12" s="353">
        <v>0</v>
      </c>
      <c r="Z12" s="16"/>
      <c r="AA12" s="16"/>
      <c r="AB12" s="16"/>
      <c r="AC12" s="16"/>
      <c r="AD12" s="16"/>
      <c r="AE12" s="16"/>
      <c r="AF12" s="16"/>
      <c r="AG12" s="12"/>
      <c r="AH12" s="12"/>
      <c r="AI12" s="12"/>
      <c r="AJ12" s="12"/>
    </row>
    <row r="13" spans="3:36" ht="15.75" x14ac:dyDescent="0.25">
      <c r="D13" s="259">
        <v>9</v>
      </c>
      <c r="E13" s="15">
        <v>0</v>
      </c>
      <c r="F13" s="15">
        <v>0</v>
      </c>
      <c r="G13" s="60"/>
      <c r="H13" s="60"/>
      <c r="I13" s="60"/>
      <c r="J13" s="15"/>
      <c r="K13" s="57">
        <v>42844</v>
      </c>
      <c r="L13" s="15" t="b">
        <f>LOOKUP($D13,Table3[Sample Name],Table3[Positive])</f>
        <v>0</v>
      </c>
      <c r="M13" s="15" t="str">
        <f>LOOKUP($D13,Table3[Sample Name],Table3[Disseminated])</f>
        <v>N/A</v>
      </c>
      <c r="N13" s="15">
        <f t="shared" si="1"/>
        <v>0</v>
      </c>
      <c r="O13" s="261" t="str">
        <f t="shared" si="2"/>
        <v/>
      </c>
      <c r="P13" s="251">
        <f t="shared" si="3"/>
        <v>0</v>
      </c>
      <c r="Q13" s="15">
        <f t="shared" si="4"/>
        <v>0</v>
      </c>
      <c r="R13" s="15"/>
      <c r="S13" s="15">
        <v>0</v>
      </c>
      <c r="T13" s="15">
        <v>0</v>
      </c>
      <c r="U13" s="15">
        <v>0.5</v>
      </c>
      <c r="V13" s="15">
        <v>0</v>
      </c>
      <c r="W13" s="353">
        <v>0</v>
      </c>
      <c r="X13" s="15"/>
      <c r="Y13" s="353">
        <v>0</v>
      </c>
      <c r="Z13" s="15"/>
      <c r="AA13" s="15"/>
      <c r="AB13" s="15"/>
      <c r="AC13" s="15"/>
      <c r="AD13" s="15"/>
      <c r="AE13" s="15"/>
      <c r="AF13" s="15"/>
      <c r="AG13" s="10"/>
      <c r="AH13" s="10"/>
      <c r="AI13" s="10"/>
      <c r="AJ13" s="10"/>
    </row>
    <row r="14" spans="3:36" ht="15.75" x14ac:dyDescent="0.25">
      <c r="D14" s="257">
        <v>10</v>
      </c>
      <c r="E14" s="15">
        <v>0</v>
      </c>
      <c r="F14" s="15"/>
      <c r="G14" s="15"/>
      <c r="H14" s="15"/>
      <c r="I14" s="15"/>
      <c r="J14" s="15"/>
      <c r="K14" s="57">
        <v>42843</v>
      </c>
      <c r="L14" s="15" t="b">
        <f>LOOKUP($D14,Table3[Sample Name],Table3[Positive])</f>
        <v>1</v>
      </c>
      <c r="M14" s="15" t="b">
        <f>LOOKUP($D14,Table3[Sample Name],Table3[Disseminated])</f>
        <v>0</v>
      </c>
      <c r="N14" s="15">
        <f t="shared" si="1"/>
        <v>0</v>
      </c>
      <c r="O14" s="261" t="str">
        <f t="shared" si="2"/>
        <v/>
      </c>
      <c r="P14" s="251">
        <f t="shared" si="3"/>
        <v>0</v>
      </c>
      <c r="Q14" s="15">
        <f t="shared" si="4"/>
        <v>0</v>
      </c>
      <c r="R14" s="16"/>
      <c r="S14" s="15">
        <v>0</v>
      </c>
      <c r="T14" s="15">
        <v>0</v>
      </c>
      <c r="U14" s="15">
        <v>1</v>
      </c>
      <c r="V14" s="15">
        <v>0</v>
      </c>
      <c r="W14" s="353">
        <v>0</v>
      </c>
      <c r="X14" s="16"/>
      <c r="Y14" s="353">
        <v>0</v>
      </c>
      <c r="Z14" s="16"/>
      <c r="AA14" s="16"/>
      <c r="AB14" s="16"/>
      <c r="AC14" s="16"/>
      <c r="AD14" s="16"/>
      <c r="AE14" s="16"/>
      <c r="AF14" s="16"/>
      <c r="AG14" s="12"/>
      <c r="AH14" s="12"/>
      <c r="AI14" s="12"/>
      <c r="AJ14" s="12"/>
    </row>
    <row r="15" spans="3:36" ht="15.75" x14ac:dyDescent="0.25">
      <c r="D15" s="259">
        <v>11</v>
      </c>
      <c r="E15" s="15">
        <v>1</v>
      </c>
      <c r="F15" s="15"/>
      <c r="G15" s="15"/>
      <c r="H15" s="15"/>
      <c r="I15" s="15"/>
      <c r="J15" s="15"/>
      <c r="K15" s="57">
        <v>42842</v>
      </c>
      <c r="L15" s="15" t="b">
        <f>LOOKUP($D15,Table3[Sample Name],Table3[Positive])</f>
        <v>1</v>
      </c>
      <c r="M15" s="15" t="b">
        <f>LOOKUP($D15,Table3[Sample Name],Table3[Disseminated])</f>
        <v>1</v>
      </c>
      <c r="N15" s="15">
        <f t="shared" si="1"/>
        <v>1</v>
      </c>
      <c r="O15" s="261">
        <f t="shared" si="2"/>
        <v>1</v>
      </c>
      <c r="P15" s="251">
        <f t="shared" si="3"/>
        <v>1</v>
      </c>
      <c r="Q15" s="15">
        <f t="shared" si="4"/>
        <v>1</v>
      </c>
      <c r="R15" s="15"/>
      <c r="S15" s="15">
        <v>0.5</v>
      </c>
      <c r="T15" s="15">
        <v>0</v>
      </c>
      <c r="U15" s="15">
        <v>1</v>
      </c>
      <c r="V15" s="15">
        <v>0</v>
      </c>
      <c r="W15" s="353">
        <v>0</v>
      </c>
      <c r="X15" s="15"/>
      <c r="Y15" s="353">
        <v>0</v>
      </c>
      <c r="Z15" s="15"/>
      <c r="AA15" s="15"/>
      <c r="AB15" s="15"/>
      <c r="AC15" s="15"/>
      <c r="AD15" s="15"/>
      <c r="AE15" s="15"/>
      <c r="AF15" s="15"/>
      <c r="AG15" s="10"/>
      <c r="AH15" s="10"/>
      <c r="AI15" s="10"/>
      <c r="AJ15" s="10"/>
    </row>
    <row r="16" spans="3:36" ht="15.75" x14ac:dyDescent="0.25">
      <c r="D16" s="257">
        <v>12</v>
      </c>
      <c r="E16" s="15">
        <v>0</v>
      </c>
      <c r="F16" s="15">
        <v>0</v>
      </c>
      <c r="G16" s="15"/>
      <c r="H16" s="15"/>
      <c r="I16" s="15"/>
      <c r="J16" s="15"/>
      <c r="K16" s="57">
        <v>42845</v>
      </c>
      <c r="L16" s="15" t="b">
        <f>LOOKUP($D16,Table3[Sample Name],Table3[Positive])</f>
        <v>1</v>
      </c>
      <c r="M16" s="15" t="b">
        <f>LOOKUP($D16,Table3[Sample Name],Table3[Disseminated])</f>
        <v>0</v>
      </c>
      <c r="N16" s="15">
        <f t="shared" si="1"/>
        <v>0</v>
      </c>
      <c r="O16" s="261" t="str">
        <f t="shared" si="2"/>
        <v/>
      </c>
      <c r="P16" s="251">
        <f t="shared" si="3"/>
        <v>0</v>
      </c>
      <c r="Q16" s="15">
        <f t="shared" si="4"/>
        <v>0</v>
      </c>
      <c r="R16" s="16"/>
      <c r="S16" s="15">
        <v>0.5</v>
      </c>
      <c r="T16" s="15">
        <v>0</v>
      </c>
      <c r="U16" s="15">
        <v>1.3333333333333333</v>
      </c>
      <c r="V16" s="15">
        <v>0</v>
      </c>
      <c r="W16" s="353">
        <v>0</v>
      </c>
      <c r="X16" s="16"/>
      <c r="Y16" s="353">
        <v>0</v>
      </c>
      <c r="Z16" s="16"/>
      <c r="AA16" s="16"/>
      <c r="AB16" s="16"/>
      <c r="AC16" s="16"/>
      <c r="AD16" s="16"/>
      <c r="AE16" s="16"/>
      <c r="AF16" s="16"/>
      <c r="AG16" s="12"/>
      <c r="AH16" s="12"/>
      <c r="AI16" s="12"/>
      <c r="AJ16" s="12"/>
    </row>
    <row r="17" spans="4:36" ht="15.75" x14ac:dyDescent="0.25">
      <c r="D17" s="259">
        <v>13</v>
      </c>
      <c r="E17" s="15">
        <v>0</v>
      </c>
      <c r="F17" s="15">
        <v>4</v>
      </c>
      <c r="G17" s="15">
        <v>3</v>
      </c>
      <c r="H17" s="15"/>
      <c r="I17" s="15"/>
      <c r="J17" s="15"/>
      <c r="K17" s="57">
        <v>42850</v>
      </c>
      <c r="L17" s="15" t="b">
        <f>LOOKUP($D17,Table3[Sample Name],Table3[Positive])</f>
        <v>0</v>
      </c>
      <c r="M17" s="15" t="str">
        <f>LOOKUP($D17,Table3[Sample Name],Table3[Disseminated])</f>
        <v>N/A</v>
      </c>
      <c r="N17" s="15">
        <f t="shared" si="1"/>
        <v>2.3333333333333335</v>
      </c>
      <c r="O17" s="261">
        <f t="shared" si="2"/>
        <v>3.5</v>
      </c>
      <c r="P17" s="251">
        <f t="shared" si="3"/>
        <v>4</v>
      </c>
      <c r="Q17" s="15">
        <f t="shared" si="4"/>
        <v>2</v>
      </c>
      <c r="R17" s="15"/>
      <c r="S17" s="15">
        <v>0.66666666666666663</v>
      </c>
      <c r="T17" s="15">
        <v>0</v>
      </c>
      <c r="U17" s="15">
        <v>2</v>
      </c>
      <c r="V17" s="15">
        <v>0</v>
      </c>
      <c r="W17" s="353">
        <v>0</v>
      </c>
      <c r="X17" s="15"/>
      <c r="Y17" s="353">
        <v>0</v>
      </c>
      <c r="Z17" s="15"/>
      <c r="AA17" s="15"/>
      <c r="AB17" s="15"/>
      <c r="AC17" s="15"/>
      <c r="AD17" s="15"/>
      <c r="AE17" s="15"/>
      <c r="AF17" s="15"/>
      <c r="AG17" s="10"/>
      <c r="AH17" s="10"/>
      <c r="AI17" s="10"/>
      <c r="AJ17" s="10"/>
    </row>
    <row r="18" spans="4:36" ht="15.75" x14ac:dyDescent="0.25">
      <c r="D18" s="257">
        <v>14</v>
      </c>
      <c r="E18" s="15">
        <v>0</v>
      </c>
      <c r="F18" s="15">
        <v>0</v>
      </c>
      <c r="G18" s="15"/>
      <c r="H18" s="15"/>
      <c r="I18" s="15"/>
      <c r="J18" s="15"/>
      <c r="K18" s="57">
        <v>42844</v>
      </c>
      <c r="L18" s="15" t="b">
        <f>LOOKUP($D18,Table3[Sample Name],Table3[Positive])</f>
        <v>1</v>
      </c>
      <c r="M18" s="15" t="b">
        <f>LOOKUP($D18,Table3[Sample Name],Table3[Disseminated])</f>
        <v>1</v>
      </c>
      <c r="N18" s="15">
        <f t="shared" si="1"/>
        <v>0</v>
      </c>
      <c r="O18" s="261" t="str">
        <f t="shared" si="2"/>
        <v/>
      </c>
      <c r="P18" s="251">
        <f t="shared" si="3"/>
        <v>0</v>
      </c>
      <c r="Q18" s="15">
        <f t="shared" si="4"/>
        <v>0</v>
      </c>
      <c r="R18" s="16"/>
      <c r="S18" s="15">
        <v>1</v>
      </c>
      <c r="T18" s="15">
        <v>0</v>
      </c>
      <c r="U18" s="15">
        <v>2</v>
      </c>
      <c r="V18" s="15">
        <v>0</v>
      </c>
      <c r="W18" s="353">
        <v>0.33333333333333331</v>
      </c>
      <c r="X18" s="16"/>
      <c r="Y18" s="353">
        <v>0.33333333333333331</v>
      </c>
      <c r="Z18" s="16"/>
      <c r="AA18" s="16"/>
      <c r="AB18" s="16"/>
      <c r="AC18" s="16"/>
      <c r="AD18" s="16"/>
      <c r="AE18" s="16"/>
      <c r="AF18" s="16"/>
      <c r="AG18" s="12"/>
      <c r="AH18" s="12"/>
      <c r="AI18" s="12"/>
      <c r="AJ18" s="12"/>
    </row>
    <row r="19" spans="4:36" ht="15.75" x14ac:dyDescent="0.25">
      <c r="D19" s="259">
        <v>15</v>
      </c>
      <c r="E19" s="15">
        <v>0</v>
      </c>
      <c r="F19" s="15">
        <v>0</v>
      </c>
      <c r="G19" s="15">
        <v>1</v>
      </c>
      <c r="H19" s="15"/>
      <c r="I19" s="15"/>
      <c r="J19" s="15"/>
      <c r="K19" s="57">
        <v>42850</v>
      </c>
      <c r="L19" s="15" t="b">
        <f>LOOKUP($D19,Table3[Sample Name],Table3[Positive])</f>
        <v>1</v>
      </c>
      <c r="M19" s="15" t="b">
        <f>LOOKUP($D19,Table3[Sample Name],Table3[Disseminated])</f>
        <v>1</v>
      </c>
      <c r="N19" s="15">
        <f t="shared" si="1"/>
        <v>0.33333333333333331</v>
      </c>
      <c r="O19" s="261">
        <f t="shared" si="2"/>
        <v>1</v>
      </c>
      <c r="P19" s="251">
        <f t="shared" si="3"/>
        <v>1</v>
      </c>
      <c r="Q19" s="15">
        <f t="shared" si="4"/>
        <v>1</v>
      </c>
      <c r="R19" s="15"/>
      <c r="S19" s="15">
        <v>1</v>
      </c>
      <c r="T19" s="15">
        <v>0</v>
      </c>
      <c r="U19" s="15">
        <v>2</v>
      </c>
      <c r="V19" s="15">
        <v>0</v>
      </c>
      <c r="W19" s="353">
        <v>0.5</v>
      </c>
      <c r="X19" s="15"/>
      <c r="Y19" s="353">
        <v>0.5</v>
      </c>
      <c r="Z19" s="15"/>
      <c r="AA19" s="15"/>
      <c r="AB19" s="15"/>
      <c r="AC19" s="15"/>
      <c r="AD19" s="15"/>
      <c r="AE19" s="15"/>
      <c r="AF19" s="15"/>
      <c r="AG19" s="10"/>
      <c r="AH19" s="10"/>
      <c r="AI19" s="10"/>
      <c r="AJ19" s="10"/>
    </row>
    <row r="20" spans="4:36" ht="15.75" x14ac:dyDescent="0.25">
      <c r="D20" s="257">
        <v>16</v>
      </c>
      <c r="E20" s="15">
        <v>0</v>
      </c>
      <c r="F20" s="15">
        <v>2</v>
      </c>
      <c r="G20" s="15"/>
      <c r="H20" s="15"/>
      <c r="I20" s="15"/>
      <c r="J20" s="15"/>
      <c r="K20" s="57">
        <v>42846</v>
      </c>
      <c r="L20" s="15" t="b">
        <f>LOOKUP($D20,Table3[Sample Name],Table3[Positive])</f>
        <v>1</v>
      </c>
      <c r="M20" s="15" t="b">
        <f>LOOKUP($D20,Table3[Sample Name],Table3[Disseminated])</f>
        <v>1</v>
      </c>
      <c r="N20" s="15">
        <f t="shared" si="1"/>
        <v>1</v>
      </c>
      <c r="O20" s="261">
        <f t="shared" si="2"/>
        <v>2</v>
      </c>
      <c r="P20" s="251">
        <f t="shared" si="3"/>
        <v>2</v>
      </c>
      <c r="Q20" s="15">
        <f t="shared" si="4"/>
        <v>1</v>
      </c>
      <c r="R20" s="16"/>
      <c r="S20" s="15">
        <v>1</v>
      </c>
      <c r="T20" s="15">
        <v>0</v>
      </c>
      <c r="U20" s="15">
        <v>2</v>
      </c>
      <c r="V20" s="15">
        <v>0</v>
      </c>
      <c r="W20" s="353">
        <v>1</v>
      </c>
      <c r="X20" s="16"/>
      <c r="Y20" s="353">
        <v>1</v>
      </c>
      <c r="Z20" s="16"/>
      <c r="AA20" s="16"/>
      <c r="AB20" s="16"/>
      <c r="AC20" s="16"/>
      <c r="AD20" s="16"/>
      <c r="AE20" s="16"/>
      <c r="AF20" s="16"/>
      <c r="AG20" s="12"/>
      <c r="AH20" s="12"/>
      <c r="AI20" s="12"/>
      <c r="AJ20" s="12"/>
    </row>
    <row r="21" spans="4:36" ht="15.75" x14ac:dyDescent="0.25">
      <c r="D21" s="259">
        <v>17</v>
      </c>
      <c r="E21" s="15">
        <v>0</v>
      </c>
      <c r="F21" s="15">
        <v>0</v>
      </c>
      <c r="G21" s="15"/>
      <c r="H21" s="15"/>
      <c r="I21" s="15"/>
      <c r="J21" s="15"/>
      <c r="K21" s="57">
        <v>42845</v>
      </c>
      <c r="L21" s="15" t="b">
        <f>LOOKUP($D21,Table3[Sample Name],Table3[Positive])</f>
        <v>1</v>
      </c>
      <c r="M21" s="15" t="b">
        <f>LOOKUP($D21,Table3[Sample Name],Table3[Disseminated])</f>
        <v>0</v>
      </c>
      <c r="N21" s="15">
        <f t="shared" si="1"/>
        <v>0</v>
      </c>
      <c r="O21" s="261" t="str">
        <f t="shared" si="2"/>
        <v/>
      </c>
      <c r="P21" s="251">
        <f t="shared" si="3"/>
        <v>0</v>
      </c>
      <c r="Q21" s="15">
        <f t="shared" si="4"/>
        <v>0</v>
      </c>
      <c r="R21" s="15"/>
      <c r="S21" s="15">
        <v>1.3333333333333333</v>
      </c>
      <c r="T21" s="15">
        <v>0</v>
      </c>
      <c r="U21" s="15">
        <v>2</v>
      </c>
      <c r="V21" s="15">
        <v>0</v>
      </c>
      <c r="W21" s="353">
        <v>1</v>
      </c>
      <c r="X21" s="15"/>
      <c r="Y21" s="353">
        <v>1</v>
      </c>
      <c r="Z21" s="15"/>
      <c r="AA21" s="15"/>
      <c r="AB21" s="15"/>
      <c r="AC21" s="15"/>
      <c r="AD21" s="15"/>
      <c r="AE21" s="15"/>
      <c r="AF21" s="15"/>
      <c r="AG21" s="10"/>
      <c r="AH21" s="10"/>
      <c r="AI21" s="10"/>
      <c r="AJ21" s="10"/>
    </row>
    <row r="22" spans="4:36" ht="15.75" x14ac:dyDescent="0.25">
      <c r="D22" s="257">
        <v>18</v>
      </c>
      <c r="E22" s="15">
        <v>0</v>
      </c>
      <c r="F22" s="15">
        <v>4</v>
      </c>
      <c r="G22" s="15">
        <v>3</v>
      </c>
      <c r="H22" s="15">
        <v>4</v>
      </c>
      <c r="I22" s="15"/>
      <c r="J22" s="15"/>
      <c r="K22" s="57">
        <v>42853</v>
      </c>
      <c r="L22" s="15" t="b">
        <f>LOOKUP($D22,Table3[Sample Name],Table3[Positive])</f>
        <v>1</v>
      </c>
      <c r="M22" s="15" t="b">
        <f>LOOKUP($D22,Table3[Sample Name],Table3[Disseminated])</f>
        <v>1</v>
      </c>
      <c r="N22" s="15">
        <f t="shared" si="1"/>
        <v>2.75</v>
      </c>
      <c r="O22" s="261">
        <f t="shared" si="2"/>
        <v>3.6666666666666665</v>
      </c>
      <c r="P22" s="251">
        <f t="shared" si="3"/>
        <v>4</v>
      </c>
      <c r="Q22" s="15">
        <f t="shared" si="4"/>
        <v>3</v>
      </c>
      <c r="R22" s="16"/>
      <c r="S22" s="15">
        <v>1.5</v>
      </c>
      <c r="T22" s="15">
        <v>0</v>
      </c>
      <c r="U22" s="15">
        <v>2</v>
      </c>
      <c r="V22" s="15">
        <v>0</v>
      </c>
      <c r="W22" s="353">
        <v>1</v>
      </c>
      <c r="X22" s="16"/>
      <c r="Y22" s="353">
        <v>1</v>
      </c>
      <c r="Z22" s="16"/>
      <c r="AA22" s="16"/>
      <c r="AB22" s="16"/>
      <c r="AC22" s="16"/>
      <c r="AD22" s="16"/>
      <c r="AE22" s="16"/>
      <c r="AF22" s="16"/>
      <c r="AG22" s="12"/>
      <c r="AH22" s="12"/>
      <c r="AI22" s="12"/>
      <c r="AJ22" s="12"/>
    </row>
    <row r="23" spans="4:36" ht="15.75" x14ac:dyDescent="0.25">
      <c r="D23" s="259">
        <v>19</v>
      </c>
      <c r="E23" s="15">
        <v>0</v>
      </c>
      <c r="F23" s="15">
        <v>3</v>
      </c>
      <c r="G23" s="15">
        <v>3</v>
      </c>
      <c r="H23" s="15"/>
      <c r="I23" s="15"/>
      <c r="J23" s="15"/>
      <c r="K23" s="57">
        <v>42850</v>
      </c>
      <c r="L23" s="15" t="b">
        <f>LOOKUP($D23,Table3[Sample Name],Table3[Positive])</f>
        <v>0</v>
      </c>
      <c r="M23" s="15" t="str">
        <f>LOOKUP($D23,Table3[Sample Name],Table3[Disseminated])</f>
        <v>N/A</v>
      </c>
      <c r="N23" s="15">
        <f t="shared" si="1"/>
        <v>2</v>
      </c>
      <c r="O23" s="261">
        <f t="shared" si="2"/>
        <v>3</v>
      </c>
      <c r="P23" s="251">
        <f t="shared" si="3"/>
        <v>3</v>
      </c>
      <c r="Q23" s="15">
        <f t="shared" si="4"/>
        <v>2</v>
      </c>
      <c r="R23" s="15"/>
      <c r="S23" s="15">
        <v>1.6666666666666667</v>
      </c>
      <c r="T23" s="15">
        <v>0</v>
      </c>
      <c r="U23" s="15">
        <v>2.1666666666666665</v>
      </c>
      <c r="V23" s="15">
        <v>0</v>
      </c>
      <c r="W23" s="353">
        <v>1</v>
      </c>
      <c r="X23" s="15"/>
      <c r="Y23" s="353">
        <v>1</v>
      </c>
      <c r="Z23" s="15"/>
      <c r="AA23" s="15"/>
      <c r="AB23" s="15"/>
      <c r="AC23" s="15"/>
      <c r="AD23" s="15"/>
      <c r="AE23" s="15"/>
      <c r="AF23" s="15"/>
      <c r="AG23" s="10"/>
      <c r="AH23" s="10"/>
      <c r="AI23" s="10"/>
      <c r="AJ23" s="10"/>
    </row>
    <row r="24" spans="4:36" ht="15.75" x14ac:dyDescent="0.25">
      <c r="D24" s="257">
        <v>20</v>
      </c>
      <c r="E24" s="15">
        <v>1</v>
      </c>
      <c r="F24" s="15"/>
      <c r="G24" s="15"/>
      <c r="H24" s="15"/>
      <c r="I24" s="15"/>
      <c r="J24" s="15"/>
      <c r="K24" s="57">
        <v>42842</v>
      </c>
      <c r="L24" s="15" t="b">
        <f>LOOKUP($D24,Table3[Sample Name],Table3[Positive])</f>
        <v>1</v>
      </c>
      <c r="M24" s="15" t="str">
        <f>LOOKUP($D24,Table3[Sample Name],Table3[Disseminated])</f>
        <v>N/A</v>
      </c>
      <c r="N24" s="15">
        <f t="shared" si="1"/>
        <v>1</v>
      </c>
      <c r="O24" s="261">
        <f t="shared" si="2"/>
        <v>1</v>
      </c>
      <c r="P24" s="251">
        <f t="shared" si="3"/>
        <v>1</v>
      </c>
      <c r="Q24" s="15">
        <f t="shared" si="4"/>
        <v>1</v>
      </c>
      <c r="R24" s="16"/>
      <c r="S24" s="15">
        <v>2</v>
      </c>
      <c r="T24" s="15">
        <v>0</v>
      </c>
      <c r="U24" s="15">
        <v>2.6666666666666665</v>
      </c>
      <c r="V24" s="15">
        <v>0</v>
      </c>
      <c r="W24" s="353">
        <v>1</v>
      </c>
      <c r="X24" s="16"/>
      <c r="Y24" s="353">
        <v>1</v>
      </c>
      <c r="Z24" s="16"/>
      <c r="AA24" s="16"/>
      <c r="AB24" s="16"/>
      <c r="AC24" s="16"/>
      <c r="AD24" s="16"/>
      <c r="AE24" s="16"/>
      <c r="AF24" s="16"/>
      <c r="AG24" s="12"/>
      <c r="AH24" s="12"/>
      <c r="AI24" s="12"/>
      <c r="AJ24" s="12"/>
    </row>
    <row r="25" spans="4:36" ht="15.75" x14ac:dyDescent="0.25">
      <c r="D25" s="259">
        <v>21</v>
      </c>
      <c r="E25" s="15">
        <v>1</v>
      </c>
      <c r="F25" s="15">
        <v>4</v>
      </c>
      <c r="G25" s="15">
        <v>3</v>
      </c>
      <c r="H25" s="15">
        <v>0</v>
      </c>
      <c r="I25" s="15"/>
      <c r="J25" s="15"/>
      <c r="K25" s="57">
        <v>42851</v>
      </c>
      <c r="L25" s="15" t="b">
        <f>LOOKUP($D25,Table3[Sample Name],Table3[Positive])</f>
        <v>1</v>
      </c>
      <c r="M25" s="15" t="b">
        <f>LOOKUP($D25,Table3[Sample Name],Table3[Disseminated])</f>
        <v>1</v>
      </c>
      <c r="N25" s="15">
        <f t="shared" si="1"/>
        <v>2</v>
      </c>
      <c r="O25" s="261">
        <f t="shared" si="2"/>
        <v>2.6666666666666665</v>
      </c>
      <c r="P25" s="251">
        <f t="shared" si="3"/>
        <v>4</v>
      </c>
      <c r="Q25" s="15">
        <f t="shared" si="4"/>
        <v>3</v>
      </c>
      <c r="R25" s="15"/>
      <c r="S25" s="15">
        <v>2</v>
      </c>
      <c r="T25" s="15">
        <v>0</v>
      </c>
      <c r="U25" s="15" t="s">
        <v>18</v>
      </c>
      <c r="V25" s="15">
        <v>0</v>
      </c>
      <c r="W25" s="353">
        <v>1</v>
      </c>
      <c r="X25" s="15"/>
      <c r="Y25" s="353">
        <v>1</v>
      </c>
      <c r="Z25" s="15"/>
      <c r="AA25" s="15"/>
      <c r="AB25" s="15"/>
      <c r="AC25" s="15"/>
      <c r="AD25" s="15"/>
      <c r="AE25" s="15"/>
      <c r="AF25" s="15"/>
      <c r="AG25" s="10"/>
      <c r="AH25" s="10"/>
      <c r="AI25" s="10"/>
      <c r="AJ25" s="10"/>
    </row>
    <row r="26" spans="4:36" ht="15.75" x14ac:dyDescent="0.25">
      <c r="D26" s="257">
        <v>22</v>
      </c>
      <c r="E26" s="15">
        <v>0</v>
      </c>
      <c r="F26" s="15"/>
      <c r="G26" s="15"/>
      <c r="H26" s="15"/>
      <c r="I26" s="15"/>
      <c r="J26" s="15"/>
      <c r="K26" s="57">
        <v>42842</v>
      </c>
      <c r="L26" s="15" t="b">
        <f>LOOKUP($D26,Table3[Sample Name],Table3[Positive])</f>
        <v>1</v>
      </c>
      <c r="M26" s="15" t="b">
        <f>LOOKUP($D26,Table3[Sample Name],Table3[Disseminated])</f>
        <v>0</v>
      </c>
      <c r="N26" s="15">
        <f t="shared" si="1"/>
        <v>0</v>
      </c>
      <c r="O26" s="261" t="str">
        <f t="shared" si="2"/>
        <v/>
      </c>
      <c r="P26" s="251">
        <f t="shared" si="3"/>
        <v>0</v>
      </c>
      <c r="Q26" s="15">
        <f t="shared" si="4"/>
        <v>0</v>
      </c>
      <c r="R26" s="16"/>
      <c r="S26" s="15">
        <v>2</v>
      </c>
      <c r="T26" s="15">
        <v>0</v>
      </c>
      <c r="U26" s="15" t="s">
        <v>18</v>
      </c>
      <c r="V26" s="15">
        <v>0</v>
      </c>
      <c r="W26" s="353">
        <v>1</v>
      </c>
      <c r="X26" s="16"/>
      <c r="Y26" s="353">
        <v>1</v>
      </c>
      <c r="Z26" s="16"/>
      <c r="AA26" s="16"/>
      <c r="AB26" s="16"/>
      <c r="AC26" s="16"/>
      <c r="AD26" s="16"/>
      <c r="AE26" s="16"/>
      <c r="AF26" s="16"/>
      <c r="AG26" s="12"/>
      <c r="AH26" s="12"/>
      <c r="AI26" s="12"/>
      <c r="AJ26" s="12"/>
    </row>
    <row r="27" spans="4:36" ht="15.75" x14ac:dyDescent="0.25">
      <c r="D27" s="259">
        <v>23</v>
      </c>
      <c r="E27" s="15">
        <v>0</v>
      </c>
      <c r="F27" s="15">
        <v>1</v>
      </c>
      <c r="G27" s="15"/>
      <c r="H27" s="15"/>
      <c r="I27" s="15"/>
      <c r="J27" s="15"/>
      <c r="K27" s="57">
        <v>42846</v>
      </c>
      <c r="L27" s="15" t="b">
        <f>LOOKUP($D27,Table3[Sample Name],Table3[Positive])</f>
        <v>1</v>
      </c>
      <c r="M27" s="15" t="b">
        <f>LOOKUP($D27,Table3[Sample Name],Table3[Disseminated])</f>
        <v>1</v>
      </c>
      <c r="N27" s="15">
        <f t="shared" si="1"/>
        <v>0.5</v>
      </c>
      <c r="O27" s="261">
        <f t="shared" si="2"/>
        <v>1</v>
      </c>
      <c r="P27" s="251">
        <f t="shared" si="3"/>
        <v>1</v>
      </c>
      <c r="Q27" s="15">
        <f t="shared" si="4"/>
        <v>1</v>
      </c>
      <c r="R27" s="15"/>
      <c r="S27" s="15">
        <v>2</v>
      </c>
      <c r="T27" s="15">
        <v>0</v>
      </c>
      <c r="U27" s="15" t="s">
        <v>18</v>
      </c>
      <c r="V27" s="15">
        <v>0</v>
      </c>
      <c r="W27" s="353">
        <v>1.1666666666666667</v>
      </c>
      <c r="X27" s="15"/>
      <c r="Y27" s="353">
        <v>1.1666666666666667</v>
      </c>
      <c r="Z27" s="15"/>
      <c r="AA27" s="15"/>
      <c r="AB27" s="15"/>
      <c r="AC27" s="15"/>
      <c r="AD27" s="15"/>
      <c r="AE27" s="15"/>
      <c r="AF27" s="15"/>
      <c r="AG27" s="10"/>
      <c r="AH27" s="10"/>
      <c r="AI27" s="10"/>
      <c r="AJ27" s="10"/>
    </row>
    <row r="28" spans="4:36" ht="15.75" x14ac:dyDescent="0.25">
      <c r="D28" s="257">
        <v>24</v>
      </c>
      <c r="E28" s="15">
        <v>0</v>
      </c>
      <c r="F28" s="15">
        <v>2</v>
      </c>
      <c r="G28" s="15">
        <v>3</v>
      </c>
      <c r="H28" s="15"/>
      <c r="I28" s="15"/>
      <c r="J28" s="15"/>
      <c r="K28" s="57">
        <v>42850</v>
      </c>
      <c r="L28" s="15" t="b">
        <f>LOOKUP($D28,Table3[Sample Name],Table3[Positive])</f>
        <v>0</v>
      </c>
      <c r="M28" s="15" t="str">
        <f>LOOKUP($D28,Table3[Sample Name],Table3[Disseminated])</f>
        <v>N/A</v>
      </c>
      <c r="N28" s="15">
        <f t="shared" si="1"/>
        <v>1.6666666666666667</v>
      </c>
      <c r="O28" s="261">
        <f t="shared" si="2"/>
        <v>2.5</v>
      </c>
      <c r="P28" s="251">
        <f t="shared" si="3"/>
        <v>3</v>
      </c>
      <c r="Q28" s="15">
        <f t="shared" si="4"/>
        <v>2</v>
      </c>
      <c r="R28" s="16"/>
      <c r="S28" s="15">
        <v>2</v>
      </c>
      <c r="T28" s="15">
        <v>0</v>
      </c>
      <c r="U28" s="15" t="s">
        <v>18</v>
      </c>
      <c r="V28" s="15">
        <v>0</v>
      </c>
      <c r="W28" s="353">
        <v>1.5</v>
      </c>
      <c r="X28" s="16"/>
      <c r="Y28" s="353">
        <v>1.5</v>
      </c>
      <c r="Z28" s="16"/>
      <c r="AA28" s="16"/>
      <c r="AB28" s="16"/>
      <c r="AC28" s="16"/>
      <c r="AD28" s="16"/>
      <c r="AE28" s="16"/>
      <c r="AF28" s="16"/>
      <c r="AG28" s="12"/>
      <c r="AH28" s="12"/>
      <c r="AI28" s="12"/>
      <c r="AJ28" s="12"/>
    </row>
    <row r="29" spans="4:36" ht="15.75" x14ac:dyDescent="0.25">
      <c r="D29" s="259">
        <v>25</v>
      </c>
      <c r="E29" s="15">
        <v>0</v>
      </c>
      <c r="F29" s="15">
        <v>1</v>
      </c>
      <c r="G29" s="15">
        <v>2</v>
      </c>
      <c r="H29" s="15">
        <v>2</v>
      </c>
      <c r="I29" s="15"/>
      <c r="J29" s="15"/>
      <c r="K29" s="57">
        <v>42853</v>
      </c>
      <c r="L29" s="15" t="b">
        <f>LOOKUP($D29,Table3[Sample Name],Table3[Positive])</f>
        <v>1</v>
      </c>
      <c r="M29" s="15" t="b">
        <f>LOOKUP($D29,Table3[Sample Name],Table3[Disseminated])</f>
        <v>1</v>
      </c>
      <c r="N29" s="15">
        <f t="shared" si="1"/>
        <v>1.25</v>
      </c>
      <c r="O29" s="261">
        <f t="shared" si="2"/>
        <v>1.6666666666666667</v>
      </c>
      <c r="P29" s="251">
        <f t="shared" si="3"/>
        <v>2</v>
      </c>
      <c r="Q29" s="15">
        <f t="shared" si="4"/>
        <v>3</v>
      </c>
      <c r="R29" s="15"/>
      <c r="S29" s="15">
        <v>2.3333333333333335</v>
      </c>
      <c r="T29" s="15">
        <v>0</v>
      </c>
      <c r="U29" s="15" t="s">
        <v>18</v>
      </c>
      <c r="V29" s="15">
        <v>0.2</v>
      </c>
      <c r="W29" s="353">
        <v>1.5</v>
      </c>
      <c r="X29" s="15"/>
      <c r="Y29" s="353">
        <v>1.5</v>
      </c>
      <c r="Z29" s="15"/>
      <c r="AA29" s="15"/>
      <c r="AB29" s="15"/>
      <c r="AC29" s="15"/>
      <c r="AD29" s="15"/>
      <c r="AE29" s="15"/>
      <c r="AF29" s="15"/>
      <c r="AG29" s="10"/>
      <c r="AH29" s="10"/>
      <c r="AI29" s="10"/>
      <c r="AJ29" s="10"/>
    </row>
    <row r="30" spans="4:36" ht="15.75" x14ac:dyDescent="0.25">
      <c r="D30" s="257">
        <v>26</v>
      </c>
      <c r="E30" s="15">
        <v>0</v>
      </c>
      <c r="F30" s="15"/>
      <c r="G30" s="15"/>
      <c r="H30" s="15"/>
      <c r="I30" s="15"/>
      <c r="J30" s="15"/>
      <c r="K30" s="57">
        <v>42842</v>
      </c>
      <c r="L30" s="15" t="b">
        <f>LOOKUP($D30,Table3[Sample Name],Table3[Positive])</f>
        <v>0</v>
      </c>
      <c r="M30" s="15" t="str">
        <f>LOOKUP($D30,Table3[Sample Name],Table3[Disseminated])</f>
        <v>N/A</v>
      </c>
      <c r="N30" s="15">
        <f t="shared" si="1"/>
        <v>0</v>
      </c>
      <c r="O30" s="261" t="str">
        <f t="shared" si="2"/>
        <v/>
      </c>
      <c r="P30" s="251">
        <f t="shared" si="3"/>
        <v>0</v>
      </c>
      <c r="Q30" s="15">
        <f t="shared" si="4"/>
        <v>0</v>
      </c>
      <c r="R30" s="16"/>
      <c r="S30" s="15">
        <v>3.4</v>
      </c>
      <c r="T30" s="15">
        <v>0</v>
      </c>
      <c r="U30" s="15" t="s">
        <v>18</v>
      </c>
      <c r="V30" s="15">
        <v>0.33333333333333331</v>
      </c>
      <c r="W30" s="353">
        <v>1.6666666666666667</v>
      </c>
      <c r="X30" s="16"/>
      <c r="Y30" s="353">
        <v>1.6666666666666667</v>
      </c>
      <c r="Z30" s="16"/>
      <c r="AA30" s="16"/>
      <c r="AB30" s="16"/>
      <c r="AC30" s="16"/>
      <c r="AD30" s="16"/>
      <c r="AE30" s="16"/>
      <c r="AF30" s="16"/>
      <c r="AG30" s="12"/>
      <c r="AH30" s="12"/>
      <c r="AI30" s="12"/>
      <c r="AJ30" s="12"/>
    </row>
    <row r="31" spans="4:36" ht="15.75" x14ac:dyDescent="0.25">
      <c r="D31" s="259">
        <v>27</v>
      </c>
      <c r="E31" s="15">
        <v>0</v>
      </c>
      <c r="F31" s="15"/>
      <c r="G31" s="15"/>
      <c r="H31" s="15"/>
      <c r="I31" s="15"/>
      <c r="J31" s="15"/>
      <c r="K31" s="57">
        <v>42842</v>
      </c>
      <c r="L31" s="15" t="b">
        <f>LOOKUP($D31,Table3[Sample Name],Table3[Positive])</f>
        <v>1</v>
      </c>
      <c r="M31" s="15" t="b">
        <f>LOOKUP($D31,Table3[Sample Name],Table3[Disseminated])</f>
        <v>1</v>
      </c>
      <c r="N31" s="15">
        <f t="shared" si="1"/>
        <v>0</v>
      </c>
      <c r="O31" s="261" t="str">
        <f t="shared" si="2"/>
        <v/>
      </c>
      <c r="P31" s="251">
        <f t="shared" si="3"/>
        <v>0</v>
      </c>
      <c r="Q31" s="15">
        <f t="shared" si="4"/>
        <v>0</v>
      </c>
      <c r="R31" s="15"/>
      <c r="S31" s="15" t="s">
        <v>18</v>
      </c>
      <c r="T31" s="15">
        <v>0</v>
      </c>
      <c r="U31" s="15" t="s">
        <v>18</v>
      </c>
      <c r="V31" s="15">
        <v>0.33333333333333331</v>
      </c>
      <c r="W31" s="353">
        <v>1.6666666666666667</v>
      </c>
      <c r="X31" s="15"/>
      <c r="Y31" s="353">
        <v>1.6666666666666667</v>
      </c>
      <c r="Z31" s="15"/>
      <c r="AA31" s="15"/>
      <c r="AB31" s="15"/>
      <c r="AC31" s="15"/>
      <c r="AD31" s="15"/>
      <c r="AE31" s="15"/>
      <c r="AF31" s="15"/>
      <c r="AG31" s="10"/>
      <c r="AH31" s="10"/>
      <c r="AI31" s="10"/>
      <c r="AJ31" s="10"/>
    </row>
    <row r="32" spans="4:36" ht="15.75" x14ac:dyDescent="0.25">
      <c r="D32" s="257">
        <v>28</v>
      </c>
      <c r="E32" s="15">
        <v>0</v>
      </c>
      <c r="F32" s="15"/>
      <c r="G32" s="15"/>
      <c r="H32" s="15"/>
      <c r="I32" s="15"/>
      <c r="J32" s="15"/>
      <c r="K32" s="57">
        <v>42843</v>
      </c>
      <c r="L32" s="15" t="b">
        <f>LOOKUP($D32,Table3[Sample Name],Table3[Positive])</f>
        <v>1</v>
      </c>
      <c r="M32" s="15" t="b">
        <f>LOOKUP($D32,Table3[Sample Name],Table3[Disseminated])</f>
        <v>0</v>
      </c>
      <c r="N32" s="15">
        <f t="shared" si="1"/>
        <v>0</v>
      </c>
      <c r="O32" s="261" t="str">
        <f t="shared" si="2"/>
        <v/>
      </c>
      <c r="P32" s="251">
        <f t="shared" si="3"/>
        <v>0</v>
      </c>
      <c r="Q32" s="15">
        <f t="shared" si="4"/>
        <v>0</v>
      </c>
      <c r="R32" s="16"/>
      <c r="S32" s="15" t="s">
        <v>18</v>
      </c>
      <c r="T32" s="15">
        <v>0</v>
      </c>
      <c r="U32" s="15" t="s">
        <v>18</v>
      </c>
      <c r="V32" s="15">
        <v>0.5</v>
      </c>
      <c r="W32" s="353">
        <v>2</v>
      </c>
      <c r="X32" s="16"/>
      <c r="Y32" s="353">
        <v>2</v>
      </c>
      <c r="Z32" s="16"/>
      <c r="AA32" s="16"/>
      <c r="AB32" s="16"/>
      <c r="AC32" s="16"/>
      <c r="AD32" s="16"/>
      <c r="AE32" s="16"/>
      <c r="AF32" s="16"/>
      <c r="AG32" s="12"/>
      <c r="AH32" s="12"/>
      <c r="AI32" s="12"/>
      <c r="AJ32" s="12"/>
    </row>
    <row r="33" spans="4:36" ht="15.75" x14ac:dyDescent="0.25">
      <c r="D33" s="259">
        <v>29</v>
      </c>
      <c r="E33" s="15">
        <v>0</v>
      </c>
      <c r="F33" s="15"/>
      <c r="G33" s="15"/>
      <c r="H33" s="15"/>
      <c r="I33" s="15"/>
      <c r="J33" s="15"/>
      <c r="K33" s="57">
        <v>42843</v>
      </c>
      <c r="L33" s="15" t="b">
        <f>LOOKUP($D33,Table3[Sample Name],Table3[Positive])</f>
        <v>1</v>
      </c>
      <c r="M33" s="15" t="b">
        <f>LOOKUP($D33,Table3[Sample Name],Table3[Disseminated])</f>
        <v>1</v>
      </c>
      <c r="N33" s="15">
        <f t="shared" si="1"/>
        <v>0</v>
      </c>
      <c r="O33" s="261" t="str">
        <f t="shared" si="2"/>
        <v/>
      </c>
      <c r="P33" s="251">
        <f t="shared" si="3"/>
        <v>0</v>
      </c>
      <c r="Q33" s="15">
        <f t="shared" si="4"/>
        <v>0</v>
      </c>
      <c r="R33" s="15"/>
      <c r="S33" s="15" t="s">
        <v>18</v>
      </c>
      <c r="T33" s="15">
        <v>0</v>
      </c>
      <c r="U33" s="15" t="s">
        <v>18</v>
      </c>
      <c r="V33" s="15">
        <v>0.5</v>
      </c>
      <c r="W33" s="353">
        <v>2</v>
      </c>
      <c r="X33" s="15"/>
      <c r="Y33" s="353">
        <v>2</v>
      </c>
      <c r="Z33" s="15"/>
      <c r="AA33" s="15"/>
      <c r="AB33" s="15"/>
      <c r="AC33" s="15"/>
      <c r="AD33" s="15"/>
      <c r="AE33" s="15"/>
      <c r="AF33" s="15"/>
      <c r="AG33" s="10"/>
      <c r="AH33" s="10"/>
      <c r="AI33" s="10"/>
      <c r="AJ33" s="10"/>
    </row>
    <row r="34" spans="4:36" ht="15.75" x14ac:dyDescent="0.25">
      <c r="D34" s="257">
        <v>30</v>
      </c>
      <c r="E34" s="15">
        <v>0</v>
      </c>
      <c r="F34" s="15">
        <v>0</v>
      </c>
      <c r="G34" s="15"/>
      <c r="H34" s="15"/>
      <c r="I34" s="15"/>
      <c r="J34" s="15"/>
      <c r="K34" s="57">
        <v>42846</v>
      </c>
      <c r="L34" s="15" t="b">
        <f>LOOKUP($D34,Table3[Sample Name],Table3[Positive])</f>
        <v>1</v>
      </c>
      <c r="M34" s="15" t="b">
        <f>LOOKUP($D34,Table3[Sample Name],Table3[Disseminated])</f>
        <v>1</v>
      </c>
      <c r="N34" s="15">
        <f t="shared" si="1"/>
        <v>0</v>
      </c>
      <c r="O34" s="261" t="str">
        <f t="shared" si="2"/>
        <v/>
      </c>
      <c r="P34" s="251">
        <f t="shared" si="3"/>
        <v>0</v>
      </c>
      <c r="Q34" s="15">
        <f t="shared" si="4"/>
        <v>0</v>
      </c>
      <c r="R34" s="16"/>
      <c r="S34" s="15" t="s">
        <v>18</v>
      </c>
      <c r="T34" s="15">
        <v>0</v>
      </c>
      <c r="U34" s="15" t="s">
        <v>18</v>
      </c>
      <c r="V34" s="15">
        <v>0.5</v>
      </c>
      <c r="W34" s="353">
        <v>2</v>
      </c>
      <c r="X34" s="16"/>
      <c r="Y34" s="353">
        <v>2</v>
      </c>
      <c r="Z34" s="16"/>
      <c r="AA34" s="16"/>
      <c r="AB34" s="16"/>
      <c r="AC34" s="16"/>
      <c r="AD34" s="16"/>
      <c r="AE34" s="16"/>
      <c r="AF34" s="16"/>
      <c r="AG34" s="12"/>
      <c r="AH34" s="12"/>
      <c r="AI34" s="12"/>
      <c r="AJ34" s="12"/>
    </row>
    <row r="35" spans="4:36" ht="15.75" x14ac:dyDescent="0.25">
      <c r="D35" s="259">
        <v>31</v>
      </c>
      <c r="E35" s="15">
        <v>0</v>
      </c>
      <c r="F35" s="15"/>
      <c r="G35" s="15"/>
      <c r="H35" s="15"/>
      <c r="I35" s="15"/>
      <c r="J35" s="15"/>
      <c r="K35" s="57">
        <v>42843</v>
      </c>
      <c r="L35" s="15" t="b">
        <f>LOOKUP($D35,Table3[Sample Name],Table3[Positive])</f>
        <v>0</v>
      </c>
      <c r="M35" s="15" t="str">
        <f>LOOKUP($D35,Table3[Sample Name],Table3[Disseminated])</f>
        <v>N/A</v>
      </c>
      <c r="N35" s="15">
        <f t="shared" si="1"/>
        <v>0</v>
      </c>
      <c r="O35" s="261" t="str">
        <f t="shared" si="2"/>
        <v/>
      </c>
      <c r="P35" s="251">
        <f t="shared" si="3"/>
        <v>0</v>
      </c>
      <c r="Q35" s="15">
        <f t="shared" si="4"/>
        <v>0</v>
      </c>
      <c r="R35" s="15"/>
      <c r="S35" s="15" t="s">
        <v>18</v>
      </c>
      <c r="T35" s="15">
        <v>0</v>
      </c>
      <c r="U35" s="15" t="s">
        <v>18</v>
      </c>
      <c r="V35" s="15">
        <v>0.5</v>
      </c>
      <c r="W35" s="353">
        <v>2</v>
      </c>
      <c r="X35" s="15"/>
      <c r="Y35" s="353">
        <v>2</v>
      </c>
      <c r="Z35" s="15"/>
      <c r="AA35" s="15"/>
      <c r="AB35" s="15"/>
      <c r="AC35" s="15"/>
      <c r="AD35" s="15"/>
      <c r="AE35" s="15"/>
      <c r="AF35" s="15"/>
      <c r="AG35" s="10"/>
      <c r="AH35" s="10"/>
      <c r="AI35" s="10"/>
      <c r="AJ35" s="10"/>
    </row>
    <row r="36" spans="4:36" ht="15.75" x14ac:dyDescent="0.25">
      <c r="D36" s="257">
        <v>32</v>
      </c>
      <c r="E36" s="15">
        <v>1</v>
      </c>
      <c r="F36" s="15"/>
      <c r="G36" s="15"/>
      <c r="H36" s="15"/>
      <c r="I36" s="15"/>
      <c r="J36" s="15"/>
      <c r="K36" s="57">
        <v>42843</v>
      </c>
      <c r="L36" s="15" t="b">
        <f>LOOKUP($D36,Table3[Sample Name],Table3[Positive])</f>
        <v>0</v>
      </c>
      <c r="M36" s="15" t="str">
        <f>LOOKUP($D36,Table3[Sample Name],Table3[Disseminated])</f>
        <v>N/A</v>
      </c>
      <c r="N36" s="15">
        <f t="shared" si="1"/>
        <v>1</v>
      </c>
      <c r="O36" s="261">
        <f t="shared" si="2"/>
        <v>1</v>
      </c>
      <c r="P36" s="251">
        <f t="shared" si="3"/>
        <v>1</v>
      </c>
      <c r="Q36" s="15">
        <f t="shared" si="4"/>
        <v>1</v>
      </c>
      <c r="R36" s="16"/>
      <c r="S36" s="15" t="s">
        <v>18</v>
      </c>
      <c r="T36" s="15">
        <v>0</v>
      </c>
      <c r="U36" s="15" t="s">
        <v>18</v>
      </c>
      <c r="V36" s="15">
        <v>0.5</v>
      </c>
      <c r="W36" s="353">
        <v>2.3333333333333335</v>
      </c>
      <c r="X36" s="16"/>
      <c r="Y36" s="353">
        <v>2.3333333333333335</v>
      </c>
      <c r="Z36" s="16"/>
      <c r="AA36" s="16"/>
      <c r="AB36" s="16"/>
      <c r="AC36" s="16"/>
      <c r="AD36" s="16"/>
      <c r="AE36" s="16"/>
      <c r="AF36" s="16"/>
      <c r="AG36" s="12"/>
      <c r="AH36" s="12"/>
      <c r="AI36" s="12"/>
      <c r="AJ36" s="12"/>
    </row>
    <row r="37" spans="4:36" ht="15.75" x14ac:dyDescent="0.25">
      <c r="D37" s="259">
        <v>33</v>
      </c>
      <c r="E37" s="15">
        <v>2</v>
      </c>
      <c r="F37" s="15"/>
      <c r="G37" s="15"/>
      <c r="H37" s="15"/>
      <c r="I37" s="15"/>
      <c r="J37" s="15"/>
      <c r="K37" s="57">
        <v>42842</v>
      </c>
      <c r="L37" s="15" t="b">
        <f>LOOKUP($D37,Table3[Sample Name],Table3[Positive])</f>
        <v>1</v>
      </c>
      <c r="M37" s="15" t="b">
        <f>LOOKUP($D37,Table3[Sample Name],Table3[Disseminated])</f>
        <v>0</v>
      </c>
      <c r="N37" s="15">
        <f t="shared" si="1"/>
        <v>2</v>
      </c>
      <c r="O37" s="261">
        <f t="shared" si="2"/>
        <v>2</v>
      </c>
      <c r="P37" s="251">
        <f t="shared" si="3"/>
        <v>2</v>
      </c>
      <c r="Q37" s="15">
        <f t="shared" si="4"/>
        <v>1</v>
      </c>
      <c r="R37" s="15"/>
      <c r="S37" s="15" t="s">
        <v>18</v>
      </c>
      <c r="T37" s="15">
        <v>0.2</v>
      </c>
      <c r="U37" s="15" t="s">
        <v>18</v>
      </c>
      <c r="V37" s="15">
        <v>0.66666666666666663</v>
      </c>
      <c r="W37" s="353">
        <v>2.6</v>
      </c>
      <c r="X37" s="15"/>
      <c r="Y37" s="353">
        <v>2.6</v>
      </c>
      <c r="Z37" s="15"/>
      <c r="AA37" s="15"/>
      <c r="AB37" s="15"/>
      <c r="AC37" s="15"/>
      <c r="AD37" s="15"/>
      <c r="AE37" s="15"/>
      <c r="AF37" s="15"/>
      <c r="AG37" s="10"/>
      <c r="AH37" s="10"/>
      <c r="AI37" s="10"/>
      <c r="AJ37" s="10"/>
    </row>
    <row r="38" spans="4:36" ht="15.75" x14ac:dyDescent="0.25">
      <c r="D38" s="257">
        <v>34</v>
      </c>
      <c r="E38" s="15">
        <v>3</v>
      </c>
      <c r="F38" s="15"/>
      <c r="G38" s="15"/>
      <c r="H38" s="15"/>
      <c r="I38" s="15"/>
      <c r="J38" s="15"/>
      <c r="K38" s="57">
        <v>42842</v>
      </c>
      <c r="L38" s="15" t="b">
        <f>LOOKUP($D38,Table3[Sample Name],Table3[Positive])</f>
        <v>1</v>
      </c>
      <c r="M38" s="15" t="b">
        <f>LOOKUP($D38,Table3[Sample Name],Table3[Disseminated])</f>
        <v>1</v>
      </c>
      <c r="N38" s="15">
        <f t="shared" si="1"/>
        <v>3</v>
      </c>
      <c r="O38" s="261">
        <f t="shared" si="2"/>
        <v>3</v>
      </c>
      <c r="P38" s="251">
        <f t="shared" si="3"/>
        <v>3</v>
      </c>
      <c r="Q38" s="15">
        <f t="shared" si="4"/>
        <v>1</v>
      </c>
      <c r="R38" s="16"/>
      <c r="S38" s="15" t="s">
        <v>18</v>
      </c>
      <c r="T38" s="15">
        <v>0.33333333333333331</v>
      </c>
      <c r="U38" s="15" t="s">
        <v>18</v>
      </c>
      <c r="V38" s="15">
        <v>0.66666666666666663</v>
      </c>
      <c r="W38" s="16"/>
      <c r="X38" s="16"/>
      <c r="Y38" s="353" t="s">
        <v>48</v>
      </c>
      <c r="Z38" s="16"/>
      <c r="AA38" s="16"/>
      <c r="AB38" s="16"/>
      <c r="AC38" s="16"/>
      <c r="AD38" s="16"/>
      <c r="AE38" s="16"/>
      <c r="AF38" s="16"/>
      <c r="AG38" s="12"/>
      <c r="AH38" s="12"/>
      <c r="AI38" s="12"/>
      <c r="AJ38" s="12"/>
    </row>
    <row r="39" spans="4:36" ht="15.75" x14ac:dyDescent="0.25">
      <c r="D39" s="259">
        <v>35</v>
      </c>
      <c r="E39" s="15">
        <v>2</v>
      </c>
      <c r="F39" s="15"/>
      <c r="G39" s="15"/>
      <c r="H39" s="15"/>
      <c r="I39" s="15"/>
      <c r="J39" s="15"/>
      <c r="K39" s="57">
        <v>42839</v>
      </c>
      <c r="L39" s="15" t="b">
        <f>LOOKUP($D39,Table3[Sample Name],Table3[Positive])</f>
        <v>1</v>
      </c>
      <c r="M39" s="15" t="b">
        <f>LOOKUP($D39,Table3[Sample Name],Table3[Disseminated])</f>
        <v>0</v>
      </c>
      <c r="N39" s="15">
        <f t="shared" si="1"/>
        <v>2</v>
      </c>
      <c r="O39" s="261">
        <f t="shared" si="2"/>
        <v>2</v>
      </c>
      <c r="P39" s="251">
        <f t="shared" si="3"/>
        <v>2</v>
      </c>
      <c r="Q39" s="15">
        <f t="shared" si="4"/>
        <v>1</v>
      </c>
      <c r="R39" s="15"/>
      <c r="S39" s="15" t="s">
        <v>18</v>
      </c>
      <c r="T39" s="15">
        <v>0.33333333333333331</v>
      </c>
      <c r="U39" s="15" t="s">
        <v>18</v>
      </c>
      <c r="V39" s="15">
        <v>0.66666666666666663</v>
      </c>
      <c r="W39" s="16"/>
      <c r="X39" s="15"/>
      <c r="Y39" s="353" t="s">
        <v>48</v>
      </c>
      <c r="Z39" s="15"/>
      <c r="AA39" s="15"/>
      <c r="AB39" s="15"/>
      <c r="AC39" s="15"/>
      <c r="AD39" s="15"/>
      <c r="AE39" s="15"/>
      <c r="AF39" s="15"/>
      <c r="AG39" s="10"/>
      <c r="AH39" s="10"/>
      <c r="AI39" s="10"/>
      <c r="AJ39" s="10"/>
    </row>
    <row r="40" spans="4:36" ht="15.75" x14ac:dyDescent="0.25">
      <c r="D40" s="257">
        <v>36</v>
      </c>
      <c r="E40" s="15">
        <v>0</v>
      </c>
      <c r="F40" s="15"/>
      <c r="G40" s="15"/>
      <c r="H40" s="15"/>
      <c r="I40" s="15"/>
      <c r="J40" s="15"/>
      <c r="K40" s="57">
        <v>42842</v>
      </c>
      <c r="L40" s="15" t="b">
        <f>LOOKUP($D40,Table3[Sample Name],Table3[Positive])</f>
        <v>1</v>
      </c>
      <c r="M40" s="15" t="b">
        <f>LOOKUP($D40,Table3[Sample Name],Table3[Disseminated])</f>
        <v>1</v>
      </c>
      <c r="N40" s="15">
        <f t="shared" si="1"/>
        <v>0</v>
      </c>
      <c r="O40" s="261" t="str">
        <f t="shared" si="2"/>
        <v/>
      </c>
      <c r="P40" s="251">
        <f t="shared" si="3"/>
        <v>0</v>
      </c>
      <c r="Q40" s="15">
        <f t="shared" si="4"/>
        <v>0</v>
      </c>
      <c r="R40" s="16"/>
      <c r="S40" s="15" t="s">
        <v>18</v>
      </c>
      <c r="T40" s="15">
        <v>0.5</v>
      </c>
      <c r="U40" s="15" t="s">
        <v>18</v>
      </c>
      <c r="V40" s="15">
        <v>1</v>
      </c>
      <c r="W40" s="16"/>
      <c r="X40" s="16"/>
      <c r="Y40" s="353" t="s">
        <v>48</v>
      </c>
      <c r="Z40" s="16"/>
      <c r="AA40" s="16"/>
      <c r="AB40" s="16"/>
      <c r="AC40" s="16"/>
      <c r="AD40" s="16"/>
      <c r="AE40" s="16"/>
      <c r="AF40" s="16"/>
      <c r="AG40" s="12"/>
      <c r="AH40" s="12"/>
      <c r="AI40" s="12"/>
      <c r="AJ40" s="12"/>
    </row>
    <row r="41" spans="4:36" ht="15.75" x14ac:dyDescent="0.25">
      <c r="D41" s="259">
        <v>37</v>
      </c>
      <c r="E41" s="15">
        <v>0</v>
      </c>
      <c r="F41" s="15">
        <v>0</v>
      </c>
      <c r="G41" s="15"/>
      <c r="H41" s="15"/>
      <c r="I41" s="15"/>
      <c r="J41" s="15"/>
      <c r="K41" s="57">
        <v>42845</v>
      </c>
      <c r="L41" s="15" t="b">
        <f>LOOKUP($D41,Table3[Sample Name],Table3[Positive])</f>
        <v>1</v>
      </c>
      <c r="M41" s="15" t="b">
        <f>LOOKUP($D41,Table3[Sample Name],Table3[Disseminated])</f>
        <v>1</v>
      </c>
      <c r="N41" s="15">
        <f t="shared" si="1"/>
        <v>0</v>
      </c>
      <c r="O41" s="261" t="str">
        <f t="shared" si="2"/>
        <v/>
      </c>
      <c r="P41" s="251">
        <f t="shared" si="3"/>
        <v>0</v>
      </c>
      <c r="Q41" s="15">
        <f t="shared" si="4"/>
        <v>0</v>
      </c>
      <c r="R41" s="15"/>
      <c r="S41" s="15" t="s">
        <v>18</v>
      </c>
      <c r="T41" s="15">
        <v>0.5</v>
      </c>
      <c r="U41" s="15" t="s">
        <v>18</v>
      </c>
      <c r="V41" s="15">
        <v>1</v>
      </c>
      <c r="W41" s="16"/>
      <c r="X41" s="15"/>
      <c r="Y41" s="353" t="s">
        <v>48</v>
      </c>
      <c r="Z41" s="15"/>
      <c r="AA41" s="15"/>
      <c r="AB41" s="15"/>
      <c r="AC41" s="15"/>
      <c r="AD41" s="15"/>
      <c r="AE41" s="15"/>
      <c r="AF41" s="15"/>
      <c r="AG41" s="10"/>
      <c r="AH41" s="10"/>
      <c r="AI41" s="10"/>
      <c r="AJ41" s="10"/>
    </row>
    <row r="42" spans="4:36" ht="15.75" x14ac:dyDescent="0.25">
      <c r="D42" s="257">
        <v>38</v>
      </c>
      <c r="E42" s="15">
        <v>2</v>
      </c>
      <c r="F42" s="15"/>
      <c r="G42" s="15"/>
      <c r="H42" s="15"/>
      <c r="I42" s="15"/>
      <c r="J42" s="15"/>
      <c r="K42" s="57">
        <v>42843</v>
      </c>
      <c r="L42" s="15" t="b">
        <f>LOOKUP($D42,Table3[Sample Name],Table3[Positive])</f>
        <v>1</v>
      </c>
      <c r="M42" s="15" t="b">
        <f>LOOKUP($D42,Table3[Sample Name],Table3[Disseminated])</f>
        <v>1</v>
      </c>
      <c r="N42" s="15">
        <f t="shared" si="1"/>
        <v>2</v>
      </c>
      <c r="O42" s="261">
        <f t="shared" si="2"/>
        <v>2</v>
      </c>
      <c r="P42" s="251">
        <f t="shared" si="3"/>
        <v>2</v>
      </c>
      <c r="Q42" s="15">
        <f t="shared" si="4"/>
        <v>1</v>
      </c>
      <c r="R42" s="16"/>
      <c r="S42" s="15" t="s">
        <v>18</v>
      </c>
      <c r="T42" s="15">
        <v>0.5</v>
      </c>
      <c r="U42" s="15" t="s">
        <v>18</v>
      </c>
      <c r="V42" s="15">
        <v>1</v>
      </c>
      <c r="W42" s="16"/>
      <c r="X42" s="16"/>
      <c r="Y42" s="353" t="s">
        <v>48</v>
      </c>
      <c r="Z42" s="16"/>
      <c r="AA42" s="16"/>
      <c r="AB42" s="16"/>
      <c r="AC42" s="16"/>
      <c r="AD42" s="16"/>
      <c r="AE42" s="16"/>
      <c r="AF42" s="16"/>
      <c r="AG42" s="12"/>
      <c r="AH42" s="12"/>
      <c r="AI42" s="12"/>
      <c r="AJ42" s="12"/>
    </row>
    <row r="43" spans="4:36" ht="15.75" x14ac:dyDescent="0.25">
      <c r="D43" s="259">
        <v>39</v>
      </c>
      <c r="E43" s="15">
        <v>0</v>
      </c>
      <c r="F43" s="15">
        <v>2</v>
      </c>
      <c r="G43" s="15">
        <v>0</v>
      </c>
      <c r="H43" s="15"/>
      <c r="I43" s="15"/>
      <c r="J43" s="15"/>
      <c r="K43" s="57">
        <v>42849</v>
      </c>
      <c r="L43" s="15" t="b">
        <f>LOOKUP($D43,Table3[Sample Name],Table3[Positive])</f>
        <v>1</v>
      </c>
      <c r="M43" s="15" t="b">
        <f>LOOKUP($D43,Table3[Sample Name],Table3[Disseminated])</f>
        <v>1</v>
      </c>
      <c r="N43" s="15">
        <f t="shared" si="1"/>
        <v>0.66666666666666663</v>
      </c>
      <c r="O43" s="261">
        <f t="shared" si="2"/>
        <v>2</v>
      </c>
      <c r="P43" s="251">
        <f t="shared" si="3"/>
        <v>2</v>
      </c>
      <c r="Q43" s="15">
        <f t="shared" si="4"/>
        <v>1</v>
      </c>
      <c r="R43" s="15"/>
      <c r="S43" s="15" t="s">
        <v>18</v>
      </c>
      <c r="T43" s="15">
        <v>0.5</v>
      </c>
      <c r="U43" s="15" t="s">
        <v>18</v>
      </c>
      <c r="V43" s="15">
        <v>1</v>
      </c>
      <c r="W43" s="16"/>
      <c r="X43" s="15"/>
      <c r="Y43" s="353" t="s">
        <v>48</v>
      </c>
      <c r="Z43" s="15"/>
      <c r="AA43" s="15"/>
      <c r="AB43" s="15"/>
      <c r="AC43" s="15"/>
      <c r="AD43" s="15"/>
      <c r="AE43" s="15"/>
      <c r="AF43" s="15"/>
      <c r="AG43" s="10"/>
      <c r="AH43" s="10"/>
      <c r="AI43" s="10"/>
      <c r="AJ43" s="10"/>
    </row>
    <row r="44" spans="4:36" ht="16.5" thickBot="1" x14ac:dyDescent="0.3">
      <c r="D44" s="257">
        <v>40</v>
      </c>
      <c r="E44" s="15">
        <v>2</v>
      </c>
      <c r="F44" s="15">
        <v>0</v>
      </c>
      <c r="G44" s="15"/>
      <c r="H44" s="15"/>
      <c r="I44" s="15"/>
      <c r="J44" s="15"/>
      <c r="K44" s="57">
        <v>42844</v>
      </c>
      <c r="L44" s="15" t="b">
        <f>LOOKUP($D44,Table3[Sample Name],Table3[Positive])</f>
        <v>1</v>
      </c>
      <c r="M44" s="15" t="b">
        <f>LOOKUP($D44,Table3[Sample Name],Table3[Disseminated])</f>
        <v>1</v>
      </c>
      <c r="N44" s="15">
        <f t="shared" si="1"/>
        <v>1</v>
      </c>
      <c r="O44" s="261">
        <f t="shared" si="2"/>
        <v>2</v>
      </c>
      <c r="P44" s="251">
        <f t="shared" si="3"/>
        <v>2</v>
      </c>
      <c r="Q44" s="15">
        <f t="shared" si="4"/>
        <v>1</v>
      </c>
      <c r="R44" s="16"/>
      <c r="S44" s="15" t="s">
        <v>18</v>
      </c>
      <c r="T44" s="15">
        <v>0.5</v>
      </c>
      <c r="U44" s="15" t="s">
        <v>18</v>
      </c>
      <c r="V44" s="15">
        <v>1</v>
      </c>
      <c r="W44" s="50"/>
      <c r="X44" s="16"/>
      <c r="Y44" s="354" t="s">
        <v>48</v>
      </c>
      <c r="Z44" s="16"/>
      <c r="AA44" s="16"/>
      <c r="AB44" s="16"/>
      <c r="AC44" s="16"/>
      <c r="AD44" s="16"/>
      <c r="AE44" s="16"/>
      <c r="AF44" s="16"/>
      <c r="AG44" s="12"/>
      <c r="AH44" s="12"/>
      <c r="AI44" s="12"/>
      <c r="AJ44" s="12"/>
    </row>
    <row r="45" spans="4:36" ht="16.5" thickTop="1" x14ac:dyDescent="0.25">
      <c r="D45" s="259">
        <v>41</v>
      </c>
      <c r="E45" s="15">
        <v>0</v>
      </c>
      <c r="F45" s="15">
        <v>3</v>
      </c>
      <c r="G45" s="15">
        <v>0</v>
      </c>
      <c r="H45" s="15"/>
      <c r="I45" s="15"/>
      <c r="J45" s="15"/>
      <c r="K45" s="57">
        <v>42849</v>
      </c>
      <c r="L45" s="15" t="b">
        <f>LOOKUP($D45,Table3[Sample Name],Table3[Positive])</f>
        <v>1</v>
      </c>
      <c r="M45" s="15" t="b">
        <f>LOOKUP($D45,Table3[Sample Name],Table3[Disseminated])</f>
        <v>1</v>
      </c>
      <c r="N45" s="15">
        <f t="shared" si="1"/>
        <v>1</v>
      </c>
      <c r="O45" s="261">
        <f t="shared" si="2"/>
        <v>3</v>
      </c>
      <c r="P45" s="251">
        <f t="shared" si="3"/>
        <v>3</v>
      </c>
      <c r="Q45" s="15">
        <f t="shared" si="4"/>
        <v>1</v>
      </c>
      <c r="R45" s="15"/>
      <c r="S45" s="15" t="s">
        <v>18</v>
      </c>
      <c r="T45" s="15">
        <v>0.5</v>
      </c>
      <c r="U45" s="15" t="s">
        <v>18</v>
      </c>
      <c r="V45" s="15">
        <v>1</v>
      </c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0"/>
      <c r="AH45" s="10"/>
      <c r="AI45" s="10"/>
      <c r="AJ45" s="10"/>
    </row>
    <row r="46" spans="4:36" ht="15.75" x14ac:dyDescent="0.25">
      <c r="D46" s="257">
        <v>42</v>
      </c>
      <c r="E46" s="15">
        <v>0</v>
      </c>
      <c r="F46" s="15">
        <v>0</v>
      </c>
      <c r="G46" s="15">
        <v>0</v>
      </c>
      <c r="H46" s="15"/>
      <c r="I46" s="15"/>
      <c r="J46" s="15"/>
      <c r="K46" s="57">
        <v>42849</v>
      </c>
      <c r="L46" s="15" t="b">
        <f>LOOKUP($D46,Table3[Sample Name],Table3[Positive])</f>
        <v>1</v>
      </c>
      <c r="M46" s="15" t="str">
        <f>LOOKUP($D46,Table3[Sample Name],Table3[Disseminated])</f>
        <v>N/A</v>
      </c>
      <c r="N46" s="15">
        <f t="shared" si="1"/>
        <v>0</v>
      </c>
      <c r="O46" s="261" t="str">
        <f t="shared" si="2"/>
        <v/>
      </c>
      <c r="P46" s="251">
        <f t="shared" si="3"/>
        <v>0</v>
      </c>
      <c r="Q46" s="15">
        <f t="shared" si="4"/>
        <v>0</v>
      </c>
      <c r="R46" s="16"/>
      <c r="S46" s="15" t="s">
        <v>18</v>
      </c>
      <c r="T46" s="15">
        <v>0.5</v>
      </c>
      <c r="U46" s="15" t="s">
        <v>18</v>
      </c>
      <c r="V46" s="15">
        <v>1</v>
      </c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2"/>
      <c r="AH46" s="12"/>
      <c r="AI46" s="12"/>
      <c r="AJ46" s="12"/>
    </row>
    <row r="47" spans="4:36" ht="15.75" x14ac:dyDescent="0.25">
      <c r="D47" s="259">
        <v>43</v>
      </c>
      <c r="E47" s="15">
        <v>0</v>
      </c>
      <c r="F47" s="15"/>
      <c r="G47" s="15"/>
      <c r="H47" s="15"/>
      <c r="I47" s="15"/>
      <c r="J47" s="15"/>
      <c r="K47" s="57">
        <v>42842</v>
      </c>
      <c r="L47" s="15" t="b">
        <f>LOOKUP($D47,Table3[Sample Name],Table3[Positive])</f>
        <v>0</v>
      </c>
      <c r="M47" s="15" t="str">
        <f>LOOKUP($D47,Table3[Sample Name],Table3[Disseminated])</f>
        <v>N/A</v>
      </c>
      <c r="N47" s="15">
        <f t="shared" si="1"/>
        <v>0</v>
      </c>
      <c r="O47" s="261" t="str">
        <f t="shared" si="2"/>
        <v/>
      </c>
      <c r="P47" s="251">
        <f t="shared" si="3"/>
        <v>0</v>
      </c>
      <c r="Q47" s="15">
        <f t="shared" si="4"/>
        <v>0</v>
      </c>
      <c r="R47" s="15"/>
      <c r="S47" s="15" t="s">
        <v>18</v>
      </c>
      <c r="T47" s="15">
        <v>0.5</v>
      </c>
      <c r="U47" s="15" t="s">
        <v>18</v>
      </c>
      <c r="V47" s="15">
        <v>1</v>
      </c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0"/>
      <c r="AH47" s="10"/>
      <c r="AI47" s="10"/>
      <c r="AJ47" s="10"/>
    </row>
    <row r="48" spans="4:36" ht="15.75" x14ac:dyDescent="0.25">
      <c r="D48" s="257">
        <v>44</v>
      </c>
      <c r="E48" s="15">
        <v>0</v>
      </c>
      <c r="F48" s="15">
        <v>1</v>
      </c>
      <c r="G48" s="15"/>
      <c r="H48" s="15"/>
      <c r="I48" s="15"/>
      <c r="J48" s="15"/>
      <c r="K48" s="57">
        <v>42845</v>
      </c>
      <c r="L48" s="15" t="b">
        <f>LOOKUP($D48,Table3[Sample Name],Table3[Positive])</f>
        <v>1</v>
      </c>
      <c r="M48" s="15" t="b">
        <f>LOOKUP($D48,Table3[Sample Name],Table3[Disseminated])</f>
        <v>1</v>
      </c>
      <c r="N48" s="15">
        <f t="shared" si="1"/>
        <v>0.5</v>
      </c>
      <c r="O48" s="261">
        <f t="shared" si="2"/>
        <v>1</v>
      </c>
      <c r="P48" s="251">
        <f t="shared" si="3"/>
        <v>1</v>
      </c>
      <c r="Q48" s="15">
        <f t="shared" si="4"/>
        <v>1</v>
      </c>
      <c r="R48" s="16"/>
      <c r="S48" s="15" t="s">
        <v>18</v>
      </c>
      <c r="T48" s="15">
        <v>0.66666666666666663</v>
      </c>
      <c r="U48" s="15" t="s">
        <v>18</v>
      </c>
      <c r="V48" s="15">
        <v>1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2"/>
      <c r="AH48" s="12"/>
      <c r="AI48" s="12"/>
      <c r="AJ48" s="12"/>
    </row>
    <row r="49" spans="4:36" ht="15.75" x14ac:dyDescent="0.25">
      <c r="D49" s="259">
        <v>45</v>
      </c>
      <c r="E49" s="15">
        <v>0</v>
      </c>
      <c r="F49" s="15"/>
      <c r="G49" s="15"/>
      <c r="H49" s="15"/>
      <c r="I49" s="15"/>
      <c r="J49" s="15"/>
      <c r="K49" s="57">
        <v>42842</v>
      </c>
      <c r="L49" s="15" t="b">
        <f>LOOKUP($D49,Table3[Sample Name],Table3[Positive])</f>
        <v>1</v>
      </c>
      <c r="M49" s="15" t="b">
        <f>LOOKUP($D49,Table3[Sample Name],Table3[Disseminated])</f>
        <v>1</v>
      </c>
      <c r="N49" s="15">
        <f t="shared" si="1"/>
        <v>0</v>
      </c>
      <c r="O49" s="261" t="str">
        <f t="shared" si="2"/>
        <v/>
      </c>
      <c r="P49" s="251">
        <f t="shared" si="3"/>
        <v>0</v>
      </c>
      <c r="Q49" s="15">
        <f t="shared" si="4"/>
        <v>0</v>
      </c>
      <c r="R49" s="15"/>
      <c r="S49" s="15" t="s">
        <v>18</v>
      </c>
      <c r="T49" s="15">
        <v>0.66666666666666663</v>
      </c>
      <c r="U49" s="15" t="s">
        <v>18</v>
      </c>
      <c r="V49" s="15">
        <v>1</v>
      </c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0"/>
      <c r="AH49" s="10"/>
      <c r="AI49" s="10"/>
      <c r="AJ49" s="10"/>
    </row>
    <row r="50" spans="4:36" ht="15.75" x14ac:dyDescent="0.25">
      <c r="D50" s="257">
        <v>46</v>
      </c>
      <c r="E50" s="15">
        <v>0</v>
      </c>
      <c r="F50" s="15"/>
      <c r="G50" s="15"/>
      <c r="H50" s="15"/>
      <c r="I50" s="15"/>
      <c r="J50" s="15"/>
      <c r="K50" s="57">
        <v>42842</v>
      </c>
      <c r="L50" s="15" t="b">
        <f>LOOKUP($D50,Table3[Sample Name],Table3[Positive])</f>
        <v>0</v>
      </c>
      <c r="M50" s="15" t="str">
        <f>LOOKUP($D50,Table3[Sample Name],Table3[Disseminated])</f>
        <v>N/A</v>
      </c>
      <c r="N50" s="15">
        <f t="shared" si="1"/>
        <v>0</v>
      </c>
      <c r="O50" s="261" t="str">
        <f t="shared" si="2"/>
        <v/>
      </c>
      <c r="P50" s="251">
        <f t="shared" si="3"/>
        <v>0</v>
      </c>
      <c r="Q50" s="15">
        <f t="shared" si="4"/>
        <v>0</v>
      </c>
      <c r="R50" s="16"/>
      <c r="S50" s="15" t="s">
        <v>18</v>
      </c>
      <c r="T50" s="15">
        <v>0.66666666666666663</v>
      </c>
      <c r="U50" s="15" t="s">
        <v>18</v>
      </c>
      <c r="V50" s="15">
        <v>1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2"/>
      <c r="AH50" s="12"/>
      <c r="AI50" s="12"/>
      <c r="AJ50" s="12"/>
    </row>
    <row r="51" spans="4:36" ht="15.75" x14ac:dyDescent="0.25">
      <c r="D51" s="259">
        <v>47</v>
      </c>
      <c r="E51" s="15">
        <v>0</v>
      </c>
      <c r="F51" s="15"/>
      <c r="G51" s="15"/>
      <c r="H51" s="15"/>
      <c r="I51" s="15"/>
      <c r="J51" s="15"/>
      <c r="K51" s="57">
        <v>42843</v>
      </c>
      <c r="L51" s="15" t="b">
        <f>LOOKUP($D51,Table3[Sample Name],Table3[Positive])</f>
        <v>0</v>
      </c>
      <c r="M51" s="15" t="str">
        <f>LOOKUP($D51,Table3[Sample Name],Table3[Disseminated])</f>
        <v>N/A</v>
      </c>
      <c r="N51" s="15">
        <f t="shared" si="1"/>
        <v>0</v>
      </c>
      <c r="O51" s="261" t="str">
        <f t="shared" si="2"/>
        <v/>
      </c>
      <c r="P51" s="251">
        <f t="shared" si="3"/>
        <v>0</v>
      </c>
      <c r="Q51" s="15">
        <f t="shared" si="4"/>
        <v>0</v>
      </c>
      <c r="R51" s="15"/>
      <c r="S51" s="15" t="s">
        <v>18</v>
      </c>
      <c r="T51" s="15">
        <v>0.66666666666666663</v>
      </c>
      <c r="U51" s="15" t="s">
        <v>18</v>
      </c>
      <c r="V51" s="15">
        <v>1.25</v>
      </c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0"/>
      <c r="AH51" s="10"/>
      <c r="AI51" s="10"/>
      <c r="AJ51" s="10"/>
    </row>
    <row r="52" spans="4:36" ht="15.75" x14ac:dyDescent="0.25">
      <c r="D52" s="257">
        <v>48</v>
      </c>
      <c r="E52" s="15">
        <v>2</v>
      </c>
      <c r="F52" s="15">
        <v>2</v>
      </c>
      <c r="G52" s="15"/>
      <c r="H52" s="15"/>
      <c r="I52" s="15"/>
      <c r="J52" s="15"/>
      <c r="K52" s="57">
        <v>42844</v>
      </c>
      <c r="L52" s="15" t="b">
        <f>LOOKUP($D52,Table3[Sample Name],Table3[Positive])</f>
        <v>1</v>
      </c>
      <c r="M52" s="15" t="b">
        <f>LOOKUP($D52,Table3[Sample Name],Table3[Disseminated])</f>
        <v>1</v>
      </c>
      <c r="N52" s="15">
        <f t="shared" si="1"/>
        <v>2</v>
      </c>
      <c r="O52" s="261">
        <f t="shared" si="2"/>
        <v>2</v>
      </c>
      <c r="P52" s="251">
        <f t="shared" si="3"/>
        <v>2</v>
      </c>
      <c r="Q52" s="15">
        <f t="shared" si="4"/>
        <v>2</v>
      </c>
      <c r="R52" s="16"/>
      <c r="S52" s="15" t="s">
        <v>18</v>
      </c>
      <c r="T52" s="15">
        <v>1</v>
      </c>
      <c r="U52" s="15" t="s">
        <v>18</v>
      </c>
      <c r="V52" s="15">
        <v>1.25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2"/>
      <c r="AH52" s="12"/>
      <c r="AI52" s="12"/>
      <c r="AJ52" s="12"/>
    </row>
    <row r="53" spans="4:36" ht="15.75" x14ac:dyDescent="0.25">
      <c r="D53" s="259">
        <v>49</v>
      </c>
      <c r="E53" s="15">
        <v>0</v>
      </c>
      <c r="F53" s="15">
        <v>0</v>
      </c>
      <c r="G53" s="15">
        <v>0</v>
      </c>
      <c r="H53" s="15"/>
      <c r="I53" s="15"/>
      <c r="J53" s="15"/>
      <c r="K53" s="57">
        <v>42850</v>
      </c>
      <c r="L53" s="15" t="b">
        <f>LOOKUP($D53,Table3[Sample Name],Table3[Positive])</f>
        <v>1</v>
      </c>
      <c r="M53" s="15" t="str">
        <f>LOOKUP($D53,Table3[Sample Name],Table3[Disseminated])</f>
        <v>N/A</v>
      </c>
      <c r="N53" s="15">
        <f t="shared" si="1"/>
        <v>0</v>
      </c>
      <c r="O53" s="261" t="str">
        <f t="shared" si="2"/>
        <v/>
      </c>
      <c r="P53" s="251">
        <f t="shared" si="3"/>
        <v>0</v>
      </c>
      <c r="Q53" s="15">
        <f t="shared" si="4"/>
        <v>0</v>
      </c>
      <c r="R53" s="15"/>
      <c r="S53" s="15" t="s">
        <v>18</v>
      </c>
      <c r="T53" s="15">
        <v>1</v>
      </c>
      <c r="U53" s="15" t="s">
        <v>18</v>
      </c>
      <c r="V53" s="15">
        <v>1.3333333333333333</v>
      </c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0"/>
      <c r="AH53" s="10"/>
      <c r="AI53" s="10"/>
      <c r="AJ53" s="10"/>
    </row>
    <row r="54" spans="4:36" ht="15.75" x14ac:dyDescent="0.25">
      <c r="D54" s="257">
        <v>50</v>
      </c>
      <c r="E54" s="15">
        <v>0</v>
      </c>
      <c r="F54" s="15">
        <v>0</v>
      </c>
      <c r="G54" s="15">
        <v>0</v>
      </c>
      <c r="H54" s="15"/>
      <c r="I54" s="15"/>
      <c r="J54" s="15"/>
      <c r="K54" s="57">
        <v>42850</v>
      </c>
      <c r="L54" s="15" t="b">
        <f>LOOKUP($D54,Table3[Sample Name],Table3[Positive])</f>
        <v>1</v>
      </c>
      <c r="M54" s="15" t="b">
        <f>LOOKUP($D54,Table3[Sample Name],Table3[Disseminated])</f>
        <v>1</v>
      </c>
      <c r="N54" s="15">
        <f t="shared" si="1"/>
        <v>0</v>
      </c>
      <c r="O54" s="261" t="str">
        <f t="shared" si="2"/>
        <v/>
      </c>
      <c r="P54" s="251">
        <f t="shared" si="3"/>
        <v>0</v>
      </c>
      <c r="Q54" s="15">
        <f t="shared" si="4"/>
        <v>0</v>
      </c>
      <c r="R54" s="16"/>
      <c r="S54" s="15" t="s">
        <v>18</v>
      </c>
      <c r="T54" s="15">
        <v>1</v>
      </c>
      <c r="U54" s="15" t="s">
        <v>18</v>
      </c>
      <c r="V54" s="15">
        <v>1.3333333333333333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2"/>
      <c r="AH54" s="12"/>
      <c r="AI54" s="12"/>
      <c r="AJ54" s="12"/>
    </row>
    <row r="55" spans="4:36" ht="15.75" x14ac:dyDescent="0.25">
      <c r="D55" s="259">
        <v>51</v>
      </c>
      <c r="E55" s="15">
        <v>0</v>
      </c>
      <c r="F55" s="15">
        <v>2</v>
      </c>
      <c r="G55" s="15">
        <v>0</v>
      </c>
      <c r="H55" s="15"/>
      <c r="I55" s="15"/>
      <c r="J55" s="15"/>
      <c r="K55" s="57">
        <v>42849</v>
      </c>
      <c r="L55" s="15" t="b">
        <f>LOOKUP($D55,Table3[Sample Name],Table3[Positive])</f>
        <v>1</v>
      </c>
      <c r="M55" s="15" t="b">
        <f>LOOKUP($D55,Table3[Sample Name],Table3[Disseminated])</f>
        <v>1</v>
      </c>
      <c r="N55" s="15">
        <f t="shared" si="1"/>
        <v>0.66666666666666663</v>
      </c>
      <c r="O55" s="261">
        <f t="shared" si="2"/>
        <v>2</v>
      </c>
      <c r="P55" s="251">
        <f t="shared" si="3"/>
        <v>2</v>
      </c>
      <c r="Q55" s="15">
        <f t="shared" si="4"/>
        <v>1</v>
      </c>
      <c r="R55" s="15"/>
      <c r="S55" s="15" t="s">
        <v>18</v>
      </c>
      <c r="T55" s="15">
        <v>1</v>
      </c>
      <c r="U55" s="15" t="s">
        <v>18</v>
      </c>
      <c r="V55" s="15">
        <v>1.3333333333333333</v>
      </c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0"/>
      <c r="AH55" s="10"/>
      <c r="AI55" s="10"/>
      <c r="AJ55" s="10"/>
    </row>
    <row r="56" spans="4:36" ht="15.75" x14ac:dyDescent="0.25">
      <c r="D56" s="257">
        <v>52</v>
      </c>
      <c r="E56" s="15">
        <v>2</v>
      </c>
      <c r="F56" s="15">
        <v>0</v>
      </c>
      <c r="G56" s="15"/>
      <c r="H56" s="15"/>
      <c r="I56" s="15"/>
      <c r="J56" s="15"/>
      <c r="K56" s="57">
        <v>42844</v>
      </c>
      <c r="L56" s="15" t="b">
        <f>LOOKUP($D56,Table3[Sample Name],Table3[Positive])</f>
        <v>1</v>
      </c>
      <c r="M56" s="15" t="b">
        <f>LOOKUP($D56,Table3[Sample Name],Table3[Disseminated])</f>
        <v>1</v>
      </c>
      <c r="N56" s="15">
        <f t="shared" si="1"/>
        <v>1</v>
      </c>
      <c r="O56" s="261">
        <f t="shared" si="2"/>
        <v>2</v>
      </c>
      <c r="P56" s="251">
        <f t="shared" si="3"/>
        <v>2</v>
      </c>
      <c r="Q56" s="15">
        <f t="shared" si="4"/>
        <v>1</v>
      </c>
      <c r="R56" s="16"/>
      <c r="S56" s="15" t="s">
        <v>18</v>
      </c>
      <c r="T56" s="15">
        <v>1</v>
      </c>
      <c r="U56" s="15" t="s">
        <v>18</v>
      </c>
      <c r="V56" s="15">
        <v>1.4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2"/>
      <c r="AH56" s="12"/>
      <c r="AI56" s="12"/>
      <c r="AJ56" s="12"/>
    </row>
    <row r="57" spans="4:36" ht="15.75" x14ac:dyDescent="0.25">
      <c r="D57" s="259">
        <v>53</v>
      </c>
      <c r="E57" s="15">
        <v>2</v>
      </c>
      <c r="F57" s="15">
        <v>0</v>
      </c>
      <c r="G57" s="15"/>
      <c r="H57" s="15"/>
      <c r="I57" s="15"/>
      <c r="J57" s="15"/>
      <c r="K57" s="57">
        <v>42846</v>
      </c>
      <c r="L57" s="15" t="b">
        <f>LOOKUP($D57,Table3[Sample Name],Table3[Positive])</f>
        <v>1</v>
      </c>
      <c r="M57" s="15" t="b">
        <f>LOOKUP($D57,Table3[Sample Name],Table3[Disseminated])</f>
        <v>1</v>
      </c>
      <c r="N57" s="15">
        <f t="shared" si="1"/>
        <v>1</v>
      </c>
      <c r="O57" s="261">
        <f t="shared" si="2"/>
        <v>2</v>
      </c>
      <c r="P57" s="251">
        <f t="shared" si="3"/>
        <v>2</v>
      </c>
      <c r="Q57" s="15">
        <f t="shared" si="4"/>
        <v>1</v>
      </c>
      <c r="R57" s="15"/>
      <c r="S57" s="15" t="s">
        <v>18</v>
      </c>
      <c r="T57" s="15">
        <v>1</v>
      </c>
      <c r="U57" s="15" t="s">
        <v>18</v>
      </c>
      <c r="V57" s="15">
        <v>1.4</v>
      </c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0"/>
      <c r="AH57" s="10"/>
      <c r="AI57" s="10"/>
      <c r="AJ57" s="10"/>
    </row>
    <row r="58" spans="4:36" ht="15.75" x14ac:dyDescent="0.25">
      <c r="D58" s="257">
        <v>54</v>
      </c>
      <c r="E58" s="15">
        <v>2</v>
      </c>
      <c r="F58" s="15">
        <v>1</v>
      </c>
      <c r="G58" s="15"/>
      <c r="H58" s="15"/>
      <c r="I58" s="15"/>
      <c r="J58" s="15"/>
      <c r="K58" s="57">
        <v>42846</v>
      </c>
      <c r="L58" s="15" t="b">
        <f>LOOKUP($D58,Table3[Sample Name],Table3[Positive])</f>
        <v>1</v>
      </c>
      <c r="M58" s="15" t="b">
        <f>LOOKUP($D58,Table3[Sample Name],Table3[Disseminated])</f>
        <v>1</v>
      </c>
      <c r="N58" s="15">
        <f t="shared" si="1"/>
        <v>1.5</v>
      </c>
      <c r="O58" s="261">
        <f t="shared" si="2"/>
        <v>1.5</v>
      </c>
      <c r="P58" s="251">
        <f t="shared" si="3"/>
        <v>2</v>
      </c>
      <c r="Q58" s="15">
        <f t="shared" si="4"/>
        <v>2</v>
      </c>
      <c r="R58" s="16"/>
      <c r="S58" s="15" t="s">
        <v>18</v>
      </c>
      <c r="T58" s="15">
        <v>1</v>
      </c>
      <c r="U58" s="15" t="s">
        <v>18</v>
      </c>
      <c r="V58" s="15">
        <v>1.5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2"/>
      <c r="AH58" s="12"/>
      <c r="AI58" s="12"/>
      <c r="AJ58" s="12"/>
    </row>
    <row r="59" spans="4:36" ht="15.75" x14ac:dyDescent="0.25">
      <c r="D59" s="259">
        <v>55</v>
      </c>
      <c r="E59" s="15">
        <v>1</v>
      </c>
      <c r="F59" s="15">
        <v>0</v>
      </c>
      <c r="G59" s="15"/>
      <c r="H59" s="15"/>
      <c r="I59" s="15"/>
      <c r="J59" s="15"/>
      <c r="K59" s="57">
        <v>42846</v>
      </c>
      <c r="L59" s="15" t="b">
        <f>LOOKUP($D59,Table3[Sample Name],Table3[Positive])</f>
        <v>0</v>
      </c>
      <c r="M59" s="15" t="str">
        <f>LOOKUP($D59,Table3[Sample Name],Table3[Disseminated])</f>
        <v>N/A</v>
      </c>
      <c r="N59" s="15">
        <f t="shared" si="1"/>
        <v>0.5</v>
      </c>
      <c r="O59" s="261">
        <f t="shared" si="2"/>
        <v>1</v>
      </c>
      <c r="P59" s="251">
        <f t="shared" si="3"/>
        <v>1</v>
      </c>
      <c r="Q59" s="15">
        <f t="shared" si="4"/>
        <v>1</v>
      </c>
      <c r="R59" s="15"/>
      <c r="S59" s="15" t="s">
        <v>18</v>
      </c>
      <c r="T59" s="15">
        <v>1</v>
      </c>
      <c r="U59" s="15" t="s">
        <v>18</v>
      </c>
      <c r="V59" s="15">
        <v>1.5</v>
      </c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0"/>
      <c r="AH59" s="10"/>
      <c r="AI59" s="10"/>
      <c r="AJ59" s="10"/>
    </row>
    <row r="60" spans="4:36" ht="15.75" x14ac:dyDescent="0.25">
      <c r="D60" s="257">
        <v>56</v>
      </c>
      <c r="E60" s="15">
        <v>0</v>
      </c>
      <c r="F60" s="15">
        <v>4</v>
      </c>
      <c r="G60" s="15">
        <v>3</v>
      </c>
      <c r="H60" s="15"/>
      <c r="I60" s="15"/>
      <c r="J60" s="15"/>
      <c r="K60" s="57">
        <v>42849</v>
      </c>
      <c r="L60" s="15" t="b">
        <f>LOOKUP($D60,Table3[Sample Name],Table3[Positive])</f>
        <v>1</v>
      </c>
      <c r="M60" s="15" t="str">
        <f>LOOKUP($D60,Table3[Sample Name],Table3[Disseminated])</f>
        <v>N/A</v>
      </c>
      <c r="N60" s="15">
        <f t="shared" si="1"/>
        <v>2.3333333333333335</v>
      </c>
      <c r="O60" s="261">
        <f t="shared" si="2"/>
        <v>3.5</v>
      </c>
      <c r="P60" s="251">
        <f t="shared" si="3"/>
        <v>4</v>
      </c>
      <c r="Q60" s="15">
        <f t="shared" si="4"/>
        <v>2</v>
      </c>
      <c r="R60" s="16"/>
      <c r="S60" s="15" t="s">
        <v>18</v>
      </c>
      <c r="T60" s="15">
        <v>1</v>
      </c>
      <c r="U60" s="15" t="s">
        <v>18</v>
      </c>
      <c r="V60" s="15">
        <v>1.6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2"/>
      <c r="AH60" s="12"/>
      <c r="AI60" s="12"/>
      <c r="AJ60" s="12"/>
    </row>
    <row r="61" spans="4:36" ht="15.75" x14ac:dyDescent="0.25">
      <c r="D61" s="259">
        <v>57</v>
      </c>
      <c r="E61" s="15">
        <v>2</v>
      </c>
      <c r="F61" s="15"/>
      <c r="G61" s="15"/>
      <c r="H61" s="15"/>
      <c r="I61" s="15"/>
      <c r="J61" s="15"/>
      <c r="K61" s="57">
        <v>42843</v>
      </c>
      <c r="L61" s="15" t="b">
        <f>LOOKUP($D61,Table3[Sample Name],Table3[Positive])</f>
        <v>0</v>
      </c>
      <c r="M61" s="15" t="str">
        <f>LOOKUP($D61,Table3[Sample Name],Table3[Disseminated])</f>
        <v>N/A</v>
      </c>
      <c r="N61" s="15">
        <f t="shared" si="1"/>
        <v>2</v>
      </c>
      <c r="O61" s="261">
        <f t="shared" si="2"/>
        <v>2</v>
      </c>
      <c r="P61" s="251">
        <f t="shared" si="3"/>
        <v>2</v>
      </c>
      <c r="Q61" s="15">
        <f t="shared" si="4"/>
        <v>1</v>
      </c>
      <c r="R61" s="15"/>
      <c r="S61" s="15" t="s">
        <v>18</v>
      </c>
      <c r="T61" s="15">
        <v>1</v>
      </c>
      <c r="U61" s="15" t="s">
        <v>18</v>
      </c>
      <c r="V61" s="15">
        <v>1.6666666666666667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0"/>
      <c r="AH61" s="10"/>
      <c r="AI61" s="10"/>
      <c r="AJ61" s="10"/>
    </row>
    <row r="62" spans="4:36" ht="15.75" x14ac:dyDescent="0.25">
      <c r="D62" s="257">
        <v>58</v>
      </c>
      <c r="E62" s="15">
        <v>1</v>
      </c>
      <c r="F62" s="15">
        <v>4</v>
      </c>
      <c r="G62" s="15">
        <v>1</v>
      </c>
      <c r="H62" s="15"/>
      <c r="I62" s="15"/>
      <c r="J62" s="15"/>
      <c r="K62" s="57">
        <v>42849</v>
      </c>
      <c r="L62" s="15" t="b">
        <f>LOOKUP($D62,Table3[Sample Name],Table3[Positive])</f>
        <v>0</v>
      </c>
      <c r="M62" s="15" t="str">
        <f>LOOKUP($D62,Table3[Sample Name],Table3[Disseminated])</f>
        <v>N/A</v>
      </c>
      <c r="N62" s="15">
        <f t="shared" si="1"/>
        <v>2</v>
      </c>
      <c r="O62" s="261">
        <f t="shared" si="2"/>
        <v>2</v>
      </c>
      <c r="P62" s="251">
        <f t="shared" si="3"/>
        <v>4</v>
      </c>
      <c r="Q62" s="15">
        <f t="shared" si="4"/>
        <v>3</v>
      </c>
      <c r="R62" s="16"/>
      <c r="S62" s="15" t="s">
        <v>18</v>
      </c>
      <c r="T62" s="15">
        <v>1</v>
      </c>
      <c r="U62" s="15" t="s">
        <v>18</v>
      </c>
      <c r="V62" s="15">
        <v>1.6666666666666667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2"/>
      <c r="AH62" s="12"/>
      <c r="AI62" s="12"/>
      <c r="AJ62" s="12"/>
    </row>
    <row r="63" spans="4:36" ht="15.75" x14ac:dyDescent="0.25">
      <c r="D63" s="259">
        <v>59</v>
      </c>
      <c r="E63" s="15">
        <v>0</v>
      </c>
      <c r="F63" s="15"/>
      <c r="G63" s="15"/>
      <c r="H63" s="15"/>
      <c r="I63" s="15"/>
      <c r="J63" s="15"/>
      <c r="K63" s="57">
        <v>42842</v>
      </c>
      <c r="L63" s="15" t="b">
        <f>LOOKUP($D63,Table3[Sample Name],Table3[Positive])</f>
        <v>1</v>
      </c>
      <c r="M63" s="15" t="b">
        <f>LOOKUP($D63,Table3[Sample Name],Table3[Disseminated])</f>
        <v>1</v>
      </c>
      <c r="N63" s="15">
        <f t="shared" si="1"/>
        <v>0</v>
      </c>
      <c r="O63" s="261" t="str">
        <f t="shared" si="2"/>
        <v/>
      </c>
      <c r="P63" s="251">
        <f t="shared" si="3"/>
        <v>0</v>
      </c>
      <c r="Q63" s="15">
        <f t="shared" si="4"/>
        <v>0</v>
      </c>
      <c r="R63" s="15"/>
      <c r="S63" s="15" t="s">
        <v>18</v>
      </c>
      <c r="T63" s="15">
        <v>1</v>
      </c>
      <c r="U63" s="15" t="s">
        <v>18</v>
      </c>
      <c r="V63" s="15">
        <v>1.6666666666666667</v>
      </c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0"/>
      <c r="AH63" s="10"/>
      <c r="AI63" s="10"/>
      <c r="AJ63" s="10"/>
    </row>
    <row r="64" spans="4:36" ht="15.75" x14ac:dyDescent="0.25">
      <c r="D64" s="257">
        <v>60</v>
      </c>
      <c r="E64" s="15">
        <v>0</v>
      </c>
      <c r="F64" s="15">
        <v>3</v>
      </c>
      <c r="G64" s="15">
        <v>0</v>
      </c>
      <c r="H64" s="15"/>
      <c r="I64" s="15"/>
      <c r="J64" s="15"/>
      <c r="K64" s="57">
        <v>42846</v>
      </c>
      <c r="L64" s="15" t="b">
        <f>LOOKUP($D64,Table3[Sample Name],Table3[Positive])</f>
        <v>0</v>
      </c>
      <c r="M64" s="15" t="str">
        <f>LOOKUP($D64,Table3[Sample Name],Table3[Disseminated])</f>
        <v>N/A</v>
      </c>
      <c r="N64" s="15">
        <f t="shared" si="1"/>
        <v>1</v>
      </c>
      <c r="O64" s="261">
        <f t="shared" si="2"/>
        <v>3</v>
      </c>
      <c r="P64" s="251">
        <f t="shared" si="3"/>
        <v>3</v>
      </c>
      <c r="Q64" s="15">
        <f t="shared" si="4"/>
        <v>1</v>
      </c>
      <c r="R64" s="16"/>
      <c r="S64" s="15" t="s">
        <v>18</v>
      </c>
      <c r="T64" s="15">
        <v>1</v>
      </c>
      <c r="U64" s="15" t="s">
        <v>18</v>
      </c>
      <c r="V64" s="15">
        <v>1.75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2"/>
      <c r="AH64" s="12"/>
      <c r="AI64" s="12"/>
      <c r="AJ64" s="12"/>
    </row>
    <row r="65" spans="4:36" ht="15.75" x14ac:dyDescent="0.25">
      <c r="D65" s="259">
        <v>61</v>
      </c>
      <c r="E65" s="15">
        <v>0</v>
      </c>
      <c r="F65" s="60">
        <v>0</v>
      </c>
      <c r="G65" s="60">
        <v>0</v>
      </c>
      <c r="H65" s="15">
        <v>1</v>
      </c>
      <c r="I65" s="15">
        <v>0</v>
      </c>
      <c r="J65" s="15"/>
      <c r="K65" s="57">
        <v>42857</v>
      </c>
      <c r="L65" s="15" t="b">
        <f>LOOKUP($D65,Table3[Sample Name],Table3[Positive])</f>
        <v>1</v>
      </c>
      <c r="M65" s="15" t="b">
        <f>LOOKUP($D65,Table3[Sample Name],Table3[Disseminated])</f>
        <v>1</v>
      </c>
      <c r="N65" s="15">
        <f t="shared" si="1"/>
        <v>0.2</v>
      </c>
      <c r="O65" s="261">
        <f t="shared" si="2"/>
        <v>1</v>
      </c>
      <c r="P65" s="251">
        <f t="shared" si="3"/>
        <v>1</v>
      </c>
      <c r="Q65" s="15">
        <f t="shared" si="4"/>
        <v>1</v>
      </c>
      <c r="R65" s="15"/>
      <c r="S65" s="15" t="s">
        <v>18</v>
      </c>
      <c r="T65" s="15">
        <v>1</v>
      </c>
      <c r="U65" s="15" t="s">
        <v>18</v>
      </c>
      <c r="V65" s="15">
        <v>2</v>
      </c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0"/>
      <c r="AH65" s="10"/>
      <c r="AI65" s="10"/>
      <c r="AJ65" s="10"/>
    </row>
    <row r="66" spans="4:36" ht="15.75" x14ac:dyDescent="0.25">
      <c r="D66" s="257">
        <v>62</v>
      </c>
      <c r="E66" s="15">
        <v>0</v>
      </c>
      <c r="F66" s="15"/>
      <c r="G66" s="15"/>
      <c r="H66" s="15"/>
      <c r="I66" s="15"/>
      <c r="J66" s="15"/>
      <c r="K66" s="57">
        <v>42842</v>
      </c>
      <c r="L66" s="15" t="b">
        <f>LOOKUP($D66,Table3[Sample Name],Table3[Positive])</f>
        <v>1</v>
      </c>
      <c r="M66" s="15" t="b">
        <f>LOOKUP($D66,Table3[Sample Name],Table3[Disseminated])</f>
        <v>1</v>
      </c>
      <c r="N66" s="15">
        <f t="shared" si="1"/>
        <v>0</v>
      </c>
      <c r="O66" s="261" t="str">
        <f t="shared" si="2"/>
        <v/>
      </c>
      <c r="P66" s="251">
        <f t="shared" si="3"/>
        <v>0</v>
      </c>
      <c r="Q66" s="15">
        <f t="shared" si="4"/>
        <v>0</v>
      </c>
      <c r="R66" s="16"/>
      <c r="S66" s="15" t="s">
        <v>18</v>
      </c>
      <c r="T66" s="15">
        <v>1.25</v>
      </c>
      <c r="U66" s="15" t="s">
        <v>18</v>
      </c>
      <c r="V66" s="15">
        <v>2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2"/>
      <c r="AH66" s="12"/>
      <c r="AI66" s="12"/>
      <c r="AJ66" s="12"/>
    </row>
    <row r="67" spans="4:36" ht="15.75" x14ac:dyDescent="0.25">
      <c r="D67" s="259">
        <v>63</v>
      </c>
      <c r="E67" s="15">
        <v>0</v>
      </c>
      <c r="F67" s="15">
        <v>2</v>
      </c>
      <c r="G67" s="15">
        <v>0</v>
      </c>
      <c r="H67" s="15">
        <v>2</v>
      </c>
      <c r="I67" s="15">
        <v>3</v>
      </c>
      <c r="J67" s="15">
        <v>3</v>
      </c>
      <c r="K67" s="57">
        <v>42858</v>
      </c>
      <c r="L67" s="15" t="b">
        <f>LOOKUP($D67,Table3[Sample Name],Table3[Positive])</f>
        <v>1</v>
      </c>
      <c r="M67" s="15" t="b">
        <f>LOOKUP($D67,Table3[Sample Name],Table3[Disseminated])</f>
        <v>1</v>
      </c>
      <c r="N67" s="15">
        <f t="shared" si="1"/>
        <v>1.6666666666666667</v>
      </c>
      <c r="O67" s="261">
        <f t="shared" si="2"/>
        <v>2.5</v>
      </c>
      <c r="P67" s="251">
        <f t="shared" si="3"/>
        <v>3</v>
      </c>
      <c r="Q67" s="15">
        <f t="shared" si="4"/>
        <v>4</v>
      </c>
      <c r="R67" s="15"/>
      <c r="S67" s="15" t="s">
        <v>18</v>
      </c>
      <c r="T67" s="15">
        <v>1.25</v>
      </c>
      <c r="U67" s="15" t="s">
        <v>18</v>
      </c>
      <c r="V67" s="15">
        <v>2</v>
      </c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0"/>
      <c r="AH67" s="10"/>
      <c r="AI67" s="10"/>
      <c r="AJ67" s="10"/>
    </row>
    <row r="68" spans="4:36" ht="15.75" x14ac:dyDescent="0.25">
      <c r="D68" s="257">
        <v>64</v>
      </c>
      <c r="E68" s="15">
        <v>0</v>
      </c>
      <c r="F68" s="15">
        <v>0</v>
      </c>
      <c r="G68" s="15">
        <v>1</v>
      </c>
      <c r="H68" s="15">
        <v>3</v>
      </c>
      <c r="I68" s="15">
        <v>3</v>
      </c>
      <c r="J68" s="15"/>
      <c r="K68" s="57">
        <v>42857</v>
      </c>
      <c r="L68" s="15" t="b">
        <f>LOOKUP($D68,Table3[Sample Name],Table3[Positive])</f>
        <v>1</v>
      </c>
      <c r="M68" s="15" t="b">
        <f>LOOKUP($D68,Table3[Sample Name],Table3[Disseminated])</f>
        <v>1</v>
      </c>
      <c r="N68" s="15">
        <f t="shared" si="1"/>
        <v>1.4</v>
      </c>
      <c r="O68" s="261">
        <f t="shared" si="2"/>
        <v>2.3333333333333335</v>
      </c>
      <c r="P68" s="251">
        <f t="shared" si="3"/>
        <v>3</v>
      </c>
      <c r="Q68" s="15">
        <f t="shared" si="4"/>
        <v>3</v>
      </c>
      <c r="R68" s="16"/>
      <c r="S68" s="15" t="s">
        <v>18</v>
      </c>
      <c r="T68" s="15">
        <v>1.3333333333333333</v>
      </c>
      <c r="U68" s="15" t="s">
        <v>18</v>
      </c>
      <c r="V68" s="15">
        <v>2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2"/>
      <c r="AH68" s="12"/>
      <c r="AI68" s="12"/>
      <c r="AJ68" s="12"/>
    </row>
    <row r="69" spans="4:36" ht="15.75" x14ac:dyDescent="0.25">
      <c r="D69" s="259">
        <v>65</v>
      </c>
      <c r="E69" s="15">
        <v>0</v>
      </c>
      <c r="F69" s="15">
        <v>1</v>
      </c>
      <c r="G69" s="15"/>
      <c r="H69" s="15"/>
      <c r="I69" s="15"/>
      <c r="J69" s="15"/>
      <c r="K69" s="57">
        <v>42844</v>
      </c>
      <c r="L69" s="15" t="b">
        <f>LOOKUP($D69,Table3[Sample Name],Table3[Positive])</f>
        <v>1</v>
      </c>
      <c r="M69" s="15" t="b">
        <f>LOOKUP($D69,Table3[Sample Name],Table3[Disseminated])</f>
        <v>1</v>
      </c>
      <c r="N69" s="15">
        <f t="shared" si="1"/>
        <v>0.5</v>
      </c>
      <c r="O69" s="261">
        <f t="shared" si="2"/>
        <v>1</v>
      </c>
      <c r="P69" s="251">
        <f t="shared" si="3"/>
        <v>1</v>
      </c>
      <c r="Q69" s="15">
        <f t="shared" si="4"/>
        <v>1</v>
      </c>
      <c r="R69" s="15"/>
      <c r="S69" s="15" t="s">
        <v>18</v>
      </c>
      <c r="T69" s="15">
        <v>1.3333333333333333</v>
      </c>
      <c r="U69" s="15" t="s">
        <v>18</v>
      </c>
      <c r="V69" s="15">
        <v>2.4</v>
      </c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0"/>
      <c r="AH69" s="10"/>
      <c r="AI69" s="10"/>
      <c r="AJ69" s="10"/>
    </row>
    <row r="70" spans="4:36" ht="15.75" x14ac:dyDescent="0.25">
      <c r="D70" s="257">
        <v>66</v>
      </c>
      <c r="E70" s="15">
        <v>0</v>
      </c>
      <c r="F70" s="15">
        <v>3</v>
      </c>
      <c r="G70" s="15">
        <v>0</v>
      </c>
      <c r="H70" s="15"/>
      <c r="I70" s="15"/>
      <c r="J70" s="15"/>
      <c r="K70" s="57">
        <v>42849</v>
      </c>
      <c r="L70" s="15" t="b">
        <f>LOOKUP($D70,Table3[Sample Name],Table3[Positive])</f>
        <v>0</v>
      </c>
      <c r="M70" s="15" t="str">
        <f>LOOKUP($D70,Table3[Sample Name],Table3[Disseminated])</f>
        <v>N/A</v>
      </c>
      <c r="N70" s="15">
        <f t="shared" ref="N70:N124" si="5">AVERAGE(E70:J70)</f>
        <v>1</v>
      </c>
      <c r="O70" s="261">
        <f t="shared" ref="O70:O124" si="6">IFERROR(AVERAGEIF($E70:$J70,"&gt;"&amp;0),"")</f>
        <v>3</v>
      </c>
      <c r="P70" s="251">
        <f t="shared" ref="P70:P78" si="7">LARGE($E70:$J70,1)</f>
        <v>3</v>
      </c>
      <c r="Q70" s="15">
        <f t="shared" ref="Q70:Q124" si="8">COUNTIF($E70:$J70,"&gt;"&amp;0)</f>
        <v>1</v>
      </c>
      <c r="R70" s="16"/>
      <c r="S70" s="15" t="s">
        <v>18</v>
      </c>
      <c r="T70" s="15">
        <v>1.3333333333333333</v>
      </c>
      <c r="U70" s="15" t="s">
        <v>18</v>
      </c>
      <c r="V70" s="15">
        <v>2.75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2"/>
      <c r="AH70" s="12"/>
      <c r="AI70" s="12"/>
      <c r="AJ70" s="12"/>
    </row>
    <row r="71" spans="4:36" ht="15.75" x14ac:dyDescent="0.25">
      <c r="D71" s="259">
        <v>67</v>
      </c>
      <c r="E71" s="15">
        <v>0</v>
      </c>
      <c r="F71" s="15">
        <v>0</v>
      </c>
      <c r="G71" s="15">
        <v>2</v>
      </c>
      <c r="H71" s="15"/>
      <c r="I71" s="15"/>
      <c r="J71" s="15"/>
      <c r="K71" s="57">
        <v>42850</v>
      </c>
      <c r="L71" s="15" t="b">
        <f>LOOKUP($D71,Table3[Sample Name],Table3[Positive])</f>
        <v>1</v>
      </c>
      <c r="M71" s="15" t="str">
        <f>LOOKUP($D71,Table3[Sample Name],Table3[Disseminated])</f>
        <v>N/A</v>
      </c>
      <c r="N71" s="15">
        <f t="shared" si="5"/>
        <v>0.66666666666666663</v>
      </c>
      <c r="O71" s="261">
        <f t="shared" si="6"/>
        <v>2</v>
      </c>
      <c r="P71" s="251">
        <f t="shared" si="7"/>
        <v>2</v>
      </c>
      <c r="Q71" s="15">
        <f t="shared" si="8"/>
        <v>1</v>
      </c>
      <c r="R71" s="15"/>
      <c r="S71" s="15" t="s">
        <v>18</v>
      </c>
      <c r="T71" s="15">
        <v>1.3333333333333333</v>
      </c>
      <c r="U71" s="15" t="s">
        <v>18</v>
      </c>
      <c r="V71" s="15">
        <v>3</v>
      </c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0"/>
      <c r="AH71" s="10"/>
      <c r="AI71" s="10"/>
      <c r="AJ71" s="10"/>
    </row>
    <row r="72" spans="4:36" ht="15.75" x14ac:dyDescent="0.25">
      <c r="D72" s="257">
        <v>68</v>
      </c>
      <c r="E72" s="15">
        <v>2</v>
      </c>
      <c r="F72" s="15">
        <v>2</v>
      </c>
      <c r="G72" s="15">
        <v>4</v>
      </c>
      <c r="H72" s="15"/>
      <c r="I72" s="15"/>
      <c r="J72" s="15"/>
      <c r="K72" s="57">
        <v>42850</v>
      </c>
      <c r="L72" s="15" t="b">
        <f>LOOKUP($D72,Table3[Sample Name],Table3[Positive])</f>
        <v>1</v>
      </c>
      <c r="M72" s="15" t="b">
        <f>LOOKUP($D72,Table3[Sample Name],Table3[Disseminated])</f>
        <v>0</v>
      </c>
      <c r="N72" s="15">
        <f t="shared" si="5"/>
        <v>2.6666666666666665</v>
      </c>
      <c r="O72" s="261">
        <f t="shared" si="6"/>
        <v>2.6666666666666665</v>
      </c>
      <c r="P72" s="251">
        <f t="shared" si="7"/>
        <v>4</v>
      </c>
      <c r="Q72" s="15">
        <f t="shared" si="8"/>
        <v>3</v>
      </c>
      <c r="R72" s="16"/>
      <c r="S72" s="15" t="s">
        <v>18</v>
      </c>
      <c r="T72" s="15">
        <v>1.4</v>
      </c>
      <c r="U72" s="15" t="s">
        <v>18</v>
      </c>
      <c r="V72" s="15">
        <v>3</v>
      </c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2"/>
      <c r="AH72" s="12"/>
      <c r="AI72" s="12"/>
      <c r="AJ72" s="12"/>
    </row>
    <row r="73" spans="4:36" ht="15.75" x14ac:dyDescent="0.25">
      <c r="D73" s="259">
        <v>69</v>
      </c>
      <c r="E73" s="15">
        <v>0</v>
      </c>
      <c r="F73" s="15">
        <v>0</v>
      </c>
      <c r="G73" s="15">
        <v>4</v>
      </c>
      <c r="H73" s="15"/>
      <c r="I73" s="15"/>
      <c r="J73" s="15"/>
      <c r="K73" s="57">
        <v>42850</v>
      </c>
      <c r="L73" s="15" t="b">
        <f>LOOKUP($D73,Table3[Sample Name],Table3[Positive])</f>
        <v>0</v>
      </c>
      <c r="M73" s="15" t="str">
        <f>LOOKUP($D73,Table3[Sample Name],Table3[Disseminated])</f>
        <v>N/A</v>
      </c>
      <c r="N73" s="15">
        <f t="shared" si="5"/>
        <v>1.3333333333333333</v>
      </c>
      <c r="O73" s="261">
        <f t="shared" si="6"/>
        <v>4</v>
      </c>
      <c r="P73" s="251">
        <f t="shared" si="7"/>
        <v>4</v>
      </c>
      <c r="Q73" s="15">
        <f t="shared" si="8"/>
        <v>1</v>
      </c>
      <c r="R73" s="15"/>
      <c r="S73" s="15" t="s">
        <v>18</v>
      </c>
      <c r="T73" s="15">
        <v>1.4</v>
      </c>
      <c r="U73" s="15" t="s">
        <v>18</v>
      </c>
      <c r="V73" s="15" t="s">
        <v>18</v>
      </c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0"/>
      <c r="AH73" s="10"/>
      <c r="AI73" s="10"/>
      <c r="AJ73" s="10"/>
    </row>
    <row r="74" spans="4:36" ht="15.75" x14ac:dyDescent="0.25">
      <c r="D74" s="257">
        <v>70</v>
      </c>
      <c r="E74" s="15">
        <v>0</v>
      </c>
      <c r="F74" s="15">
        <v>0</v>
      </c>
      <c r="G74" s="15"/>
      <c r="H74" s="15"/>
      <c r="I74" s="15"/>
      <c r="J74" s="15"/>
      <c r="K74" s="57">
        <v>42846</v>
      </c>
      <c r="L74" s="15" t="b">
        <f>LOOKUP($D74,Table3[Sample Name],Table3[Positive])</f>
        <v>0</v>
      </c>
      <c r="M74" s="15" t="str">
        <f>LOOKUP($D74,Table3[Sample Name],Table3[Disseminated])</f>
        <v>N/A</v>
      </c>
      <c r="N74" s="15">
        <f t="shared" si="5"/>
        <v>0</v>
      </c>
      <c r="O74" s="261" t="str">
        <f t="shared" si="6"/>
        <v/>
      </c>
      <c r="P74" s="251">
        <f t="shared" si="7"/>
        <v>0</v>
      </c>
      <c r="Q74" s="15">
        <f t="shared" si="8"/>
        <v>0</v>
      </c>
      <c r="R74" s="16"/>
      <c r="S74" s="15" t="s">
        <v>18</v>
      </c>
      <c r="T74" s="15">
        <v>1.5</v>
      </c>
      <c r="U74" s="15" t="s">
        <v>18</v>
      </c>
      <c r="V74" s="15" t="s">
        <v>18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2"/>
      <c r="AH74" s="12"/>
      <c r="AI74" s="12"/>
      <c r="AJ74" s="12"/>
    </row>
    <row r="75" spans="4:36" ht="15.75" x14ac:dyDescent="0.25">
      <c r="D75" s="259">
        <v>71</v>
      </c>
      <c r="E75" s="15">
        <v>0</v>
      </c>
      <c r="F75" s="15"/>
      <c r="G75" s="15"/>
      <c r="H75" s="15"/>
      <c r="I75" s="15"/>
      <c r="J75" s="15"/>
      <c r="K75" s="57">
        <v>42842</v>
      </c>
      <c r="L75" s="15" t="b">
        <f>LOOKUP($D75,Table3[Sample Name],Table3[Positive])</f>
        <v>0</v>
      </c>
      <c r="M75" s="15" t="str">
        <f>LOOKUP($D75,Table3[Sample Name],Table3[Disseminated])</f>
        <v>N/A</v>
      </c>
      <c r="N75" s="15">
        <f t="shared" si="5"/>
        <v>0</v>
      </c>
      <c r="O75" s="261" t="str">
        <f t="shared" si="6"/>
        <v/>
      </c>
      <c r="P75" s="251">
        <f t="shared" si="7"/>
        <v>0</v>
      </c>
      <c r="Q75" s="15">
        <f t="shared" si="8"/>
        <v>0</v>
      </c>
      <c r="R75" s="15"/>
      <c r="S75" s="15" t="s">
        <v>18</v>
      </c>
      <c r="T75" s="15">
        <v>1.5</v>
      </c>
      <c r="U75" s="15" t="s">
        <v>18</v>
      </c>
      <c r="V75" s="15" t="s">
        <v>18</v>
      </c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0"/>
      <c r="AH75" s="10"/>
      <c r="AI75" s="10"/>
      <c r="AJ75" s="10"/>
    </row>
    <row r="76" spans="4:36" ht="15.75" x14ac:dyDescent="0.25">
      <c r="D76" s="257">
        <v>72</v>
      </c>
      <c r="E76" s="15">
        <v>0</v>
      </c>
      <c r="F76" s="15">
        <v>0</v>
      </c>
      <c r="G76" s="15">
        <v>0</v>
      </c>
      <c r="H76" s="15"/>
      <c r="I76" s="15"/>
      <c r="J76" s="15"/>
      <c r="K76" s="57">
        <v>42849</v>
      </c>
      <c r="L76" s="15" t="b">
        <f>LOOKUP($D76,Table3[Sample Name],Table3[Positive])</f>
        <v>0</v>
      </c>
      <c r="M76" s="15" t="str">
        <f>LOOKUP($D76,Table3[Sample Name],Table3[Disseminated])</f>
        <v>N/A</v>
      </c>
      <c r="N76" s="15">
        <f t="shared" si="5"/>
        <v>0</v>
      </c>
      <c r="O76" s="261" t="str">
        <f t="shared" si="6"/>
        <v/>
      </c>
      <c r="P76" s="251">
        <f t="shared" si="7"/>
        <v>0</v>
      </c>
      <c r="Q76" s="15">
        <f t="shared" si="8"/>
        <v>0</v>
      </c>
      <c r="R76" s="16"/>
      <c r="S76" s="15" t="s">
        <v>18</v>
      </c>
      <c r="T76" s="15">
        <v>1.6</v>
      </c>
      <c r="U76" s="15" t="s">
        <v>18</v>
      </c>
      <c r="V76" s="15" t="s">
        <v>18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2"/>
      <c r="AH76" s="12"/>
      <c r="AI76" s="12"/>
      <c r="AJ76" s="12"/>
    </row>
    <row r="77" spans="4:36" ht="15.75" x14ac:dyDescent="0.25">
      <c r="D77" s="259">
        <v>73</v>
      </c>
      <c r="E77" s="15">
        <v>0</v>
      </c>
      <c r="F77" s="15"/>
      <c r="G77" s="15"/>
      <c r="H77" s="15"/>
      <c r="I77" s="15"/>
      <c r="J77" s="15"/>
      <c r="K77" s="57">
        <v>42843</v>
      </c>
      <c r="L77" s="15" t="b">
        <f>LOOKUP($D77,Table3[Sample Name],Table3[Positive])</f>
        <v>1</v>
      </c>
      <c r="M77" s="15" t="b">
        <f>LOOKUP($D77,Table3[Sample Name],Table3[Disseminated])</f>
        <v>1</v>
      </c>
      <c r="N77" s="15">
        <f t="shared" si="5"/>
        <v>0</v>
      </c>
      <c r="O77" s="261" t="str">
        <f t="shared" si="6"/>
        <v/>
      </c>
      <c r="P77" s="251">
        <f t="shared" si="7"/>
        <v>0</v>
      </c>
      <c r="Q77" s="15">
        <f t="shared" si="8"/>
        <v>0</v>
      </c>
      <c r="R77" s="15"/>
      <c r="S77" s="15" t="s">
        <v>18</v>
      </c>
      <c r="T77" s="15">
        <v>1.6666666666666667</v>
      </c>
      <c r="U77" s="15" t="s">
        <v>18</v>
      </c>
      <c r="V77" s="15" t="s">
        <v>18</v>
      </c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0"/>
      <c r="AH77" s="10"/>
      <c r="AI77" s="10"/>
      <c r="AJ77" s="10"/>
    </row>
    <row r="78" spans="4:36" ht="15.75" x14ac:dyDescent="0.25">
      <c r="D78" s="257">
        <v>74</v>
      </c>
      <c r="E78" s="15">
        <v>1</v>
      </c>
      <c r="F78" s="15"/>
      <c r="G78" s="15"/>
      <c r="H78" s="15"/>
      <c r="I78" s="15"/>
      <c r="J78" s="15"/>
      <c r="K78" s="57">
        <v>42843</v>
      </c>
      <c r="L78" s="15" t="b">
        <f>LOOKUP($D78,Table3[Sample Name],Table3[Positive])</f>
        <v>1</v>
      </c>
      <c r="M78" s="15" t="b">
        <f>LOOKUP($D78,Table3[Sample Name],Table3[Disseminated])</f>
        <v>1</v>
      </c>
      <c r="N78" s="15">
        <f t="shared" si="5"/>
        <v>1</v>
      </c>
      <c r="O78" s="261">
        <f t="shared" si="6"/>
        <v>1</v>
      </c>
      <c r="P78" s="251">
        <f t="shared" si="7"/>
        <v>1</v>
      </c>
      <c r="Q78" s="15">
        <f t="shared" si="8"/>
        <v>1</v>
      </c>
      <c r="R78" s="16"/>
      <c r="S78" s="15" t="s">
        <v>18</v>
      </c>
      <c r="T78" s="15">
        <v>1.6666666666666667</v>
      </c>
      <c r="U78" s="15" t="s">
        <v>18</v>
      </c>
      <c r="V78" s="15" t="s">
        <v>18</v>
      </c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2"/>
      <c r="AH78" s="12"/>
      <c r="AI78" s="12"/>
      <c r="AJ78" s="12"/>
    </row>
    <row r="79" spans="4:36" ht="15.75" x14ac:dyDescent="0.25">
      <c r="D79" s="259">
        <v>75</v>
      </c>
      <c r="E79" s="15"/>
      <c r="F79" s="15"/>
      <c r="G79" s="15"/>
      <c r="H79" s="15"/>
      <c r="I79" s="15"/>
      <c r="J79" s="15"/>
      <c r="K79" s="57">
        <v>42836</v>
      </c>
      <c r="L79" s="15" t="b">
        <f>LOOKUP($D79,Table3[Sample Name],Table3[Positive])</f>
        <v>1</v>
      </c>
      <c r="M79" s="15" t="b">
        <f>LOOKUP($D79,Table3[Sample Name],Table3[Disseminated])</f>
        <v>0</v>
      </c>
      <c r="N79" s="15" t="e">
        <f t="shared" si="5"/>
        <v>#DIV/0!</v>
      </c>
      <c r="O79" s="261" t="str">
        <f t="shared" si="6"/>
        <v/>
      </c>
      <c r="P79" s="251"/>
      <c r="Q79" s="15">
        <f t="shared" si="8"/>
        <v>0</v>
      </c>
      <c r="R79" s="15"/>
      <c r="S79" s="15" t="s">
        <v>18</v>
      </c>
      <c r="T79" s="15">
        <v>1.6666666666666667</v>
      </c>
      <c r="U79" s="15" t="s">
        <v>18</v>
      </c>
      <c r="V79" s="15" t="s">
        <v>18</v>
      </c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0"/>
      <c r="AH79" s="10"/>
      <c r="AI79" s="10"/>
      <c r="AJ79" s="10"/>
    </row>
    <row r="80" spans="4:36" ht="15.75" x14ac:dyDescent="0.25">
      <c r="D80" s="257">
        <v>76</v>
      </c>
      <c r="E80" s="15">
        <v>1</v>
      </c>
      <c r="F80" s="15">
        <v>0</v>
      </c>
      <c r="G80" s="15"/>
      <c r="H80" s="15"/>
      <c r="I80" s="15"/>
      <c r="J80" s="15"/>
      <c r="K80" s="57">
        <v>42844</v>
      </c>
      <c r="L80" s="15" t="b">
        <f>LOOKUP($D80,Table3[Sample Name],Table3[Positive])</f>
        <v>1</v>
      </c>
      <c r="M80" s="15" t="b">
        <f>LOOKUP($D80,Table3[Sample Name],Table3[Disseminated])</f>
        <v>0</v>
      </c>
      <c r="N80" s="15">
        <f t="shared" si="5"/>
        <v>0.5</v>
      </c>
      <c r="O80" s="261">
        <f t="shared" si="6"/>
        <v>1</v>
      </c>
      <c r="P80" s="251">
        <f t="shared" ref="P80:P124" si="9">LARGE($E80:$J80,1)</f>
        <v>1</v>
      </c>
      <c r="Q80" s="15">
        <f t="shared" si="8"/>
        <v>1</v>
      </c>
      <c r="R80" s="16"/>
      <c r="S80" s="15" t="s">
        <v>18</v>
      </c>
      <c r="T80" s="15">
        <v>1.75</v>
      </c>
      <c r="U80" s="15" t="s">
        <v>18</v>
      </c>
      <c r="V80" s="15" t="s">
        <v>18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2"/>
      <c r="AH80" s="12"/>
      <c r="AI80" s="12"/>
      <c r="AJ80" s="12"/>
    </row>
    <row r="81" spans="4:36" ht="15.75" x14ac:dyDescent="0.25">
      <c r="D81" s="259">
        <v>77</v>
      </c>
      <c r="E81" s="15">
        <v>2</v>
      </c>
      <c r="F81" s="15">
        <v>1</v>
      </c>
      <c r="G81" s="15">
        <v>4</v>
      </c>
      <c r="H81" s="15">
        <v>1</v>
      </c>
      <c r="I81" s="15"/>
      <c r="J81" s="15"/>
      <c r="K81" s="57">
        <v>42853</v>
      </c>
      <c r="L81" s="15" t="b">
        <f>LOOKUP($D81,Table3[Sample Name],Table3[Positive])</f>
        <v>0</v>
      </c>
      <c r="M81" s="15" t="str">
        <f>LOOKUP($D81,Table3[Sample Name],Table3[Disseminated])</f>
        <v>N/A</v>
      </c>
      <c r="N81" s="15">
        <f t="shared" si="5"/>
        <v>2</v>
      </c>
      <c r="O81" s="261">
        <f t="shared" si="6"/>
        <v>2</v>
      </c>
      <c r="P81" s="251">
        <f t="shared" si="9"/>
        <v>4</v>
      </c>
      <c r="Q81" s="15">
        <f t="shared" si="8"/>
        <v>4</v>
      </c>
      <c r="R81" s="15"/>
      <c r="S81" s="15" t="s">
        <v>18</v>
      </c>
      <c r="T81" s="15">
        <v>2</v>
      </c>
      <c r="U81" s="15" t="s">
        <v>18</v>
      </c>
      <c r="V81" s="15" t="s">
        <v>18</v>
      </c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0"/>
      <c r="AH81" s="10"/>
      <c r="AI81" s="10"/>
      <c r="AJ81" s="10"/>
    </row>
    <row r="82" spans="4:36" ht="15.75" x14ac:dyDescent="0.25">
      <c r="D82" s="257">
        <v>78</v>
      </c>
      <c r="E82" s="15">
        <v>1</v>
      </c>
      <c r="F82" s="15"/>
      <c r="G82" s="15"/>
      <c r="H82" s="15"/>
      <c r="I82" s="15"/>
      <c r="J82" s="15"/>
      <c r="K82" s="57">
        <v>42843</v>
      </c>
      <c r="L82" s="15" t="b">
        <f>LOOKUP($D82,Table3[Sample Name],Table3[Positive])</f>
        <v>1</v>
      </c>
      <c r="M82" s="15" t="b">
        <f>LOOKUP($D82,Table3[Sample Name],Table3[Disseminated])</f>
        <v>1</v>
      </c>
      <c r="N82" s="15">
        <f t="shared" si="5"/>
        <v>1</v>
      </c>
      <c r="O82" s="261">
        <f t="shared" si="6"/>
        <v>1</v>
      </c>
      <c r="P82" s="251">
        <f t="shared" si="9"/>
        <v>1</v>
      </c>
      <c r="Q82" s="15">
        <f t="shared" si="8"/>
        <v>1</v>
      </c>
      <c r="R82" s="16"/>
      <c r="S82" s="15" t="s">
        <v>18</v>
      </c>
      <c r="T82" s="15">
        <v>2</v>
      </c>
      <c r="U82" s="15" t="s">
        <v>18</v>
      </c>
      <c r="V82" s="15" t="s">
        <v>18</v>
      </c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2"/>
      <c r="AH82" s="12"/>
      <c r="AI82" s="12"/>
      <c r="AJ82" s="12"/>
    </row>
    <row r="83" spans="4:36" ht="15.75" x14ac:dyDescent="0.25">
      <c r="D83" s="259">
        <v>79</v>
      </c>
      <c r="E83" s="15">
        <v>2</v>
      </c>
      <c r="F83" s="15"/>
      <c r="G83" s="15"/>
      <c r="H83" s="15"/>
      <c r="I83" s="15"/>
      <c r="J83" s="15"/>
      <c r="K83" s="57">
        <v>42842</v>
      </c>
      <c r="L83" s="15" t="b">
        <f>LOOKUP($D83,Table3[Sample Name],Table3[Positive])</f>
        <v>1</v>
      </c>
      <c r="M83" s="15" t="b">
        <f>LOOKUP($D83,Table3[Sample Name],Table3[Disseminated])</f>
        <v>0</v>
      </c>
      <c r="N83" s="15">
        <f t="shared" si="5"/>
        <v>2</v>
      </c>
      <c r="O83" s="261">
        <f t="shared" si="6"/>
        <v>2</v>
      </c>
      <c r="P83" s="251">
        <f t="shared" si="9"/>
        <v>2</v>
      </c>
      <c r="Q83" s="15">
        <f t="shared" si="8"/>
        <v>1</v>
      </c>
      <c r="R83" s="15"/>
      <c r="S83" s="15" t="s">
        <v>18</v>
      </c>
      <c r="T83" s="15">
        <v>2</v>
      </c>
      <c r="U83" s="15" t="s">
        <v>18</v>
      </c>
      <c r="V83" s="15" t="s">
        <v>18</v>
      </c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0"/>
      <c r="AH83" s="10"/>
      <c r="AI83" s="10"/>
      <c r="AJ83" s="10"/>
    </row>
    <row r="84" spans="4:36" ht="15.75" x14ac:dyDescent="0.25">
      <c r="D84" s="257">
        <v>80</v>
      </c>
      <c r="E84" s="15">
        <v>1</v>
      </c>
      <c r="F84" s="15">
        <v>0</v>
      </c>
      <c r="G84" s="15">
        <v>1</v>
      </c>
      <c r="H84" s="15">
        <v>3</v>
      </c>
      <c r="I84" s="15">
        <v>3</v>
      </c>
      <c r="J84" s="15">
        <v>0</v>
      </c>
      <c r="K84" s="57">
        <v>42858</v>
      </c>
      <c r="L84" s="15" t="b">
        <f>LOOKUP($D84,Table3[Sample Name],Table3[Positive])</f>
        <v>1</v>
      </c>
      <c r="M84" s="15" t="b">
        <f>LOOKUP($D84,Table3[Sample Name],Table3[Disseminated])</f>
        <v>1</v>
      </c>
      <c r="N84" s="15">
        <f t="shared" si="5"/>
        <v>1.3333333333333333</v>
      </c>
      <c r="O84" s="261">
        <f t="shared" si="6"/>
        <v>2</v>
      </c>
      <c r="P84" s="251">
        <f t="shared" si="9"/>
        <v>3</v>
      </c>
      <c r="Q84" s="15">
        <f t="shared" si="8"/>
        <v>4</v>
      </c>
      <c r="R84" s="16"/>
      <c r="S84" s="15" t="s">
        <v>18</v>
      </c>
      <c r="T84" s="15">
        <v>2</v>
      </c>
      <c r="U84" s="15" t="s">
        <v>18</v>
      </c>
      <c r="V84" s="15" t="s">
        <v>18</v>
      </c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2"/>
      <c r="AH84" s="12"/>
      <c r="AI84" s="12"/>
      <c r="AJ84" s="12"/>
    </row>
    <row r="85" spans="4:36" ht="15.75" x14ac:dyDescent="0.25">
      <c r="D85" s="259">
        <v>81</v>
      </c>
      <c r="E85" s="15">
        <v>1</v>
      </c>
      <c r="F85" s="15">
        <v>4</v>
      </c>
      <c r="G85" s="15">
        <v>4</v>
      </c>
      <c r="H85" s="15"/>
      <c r="I85" s="15"/>
      <c r="J85" s="15"/>
      <c r="K85" s="57">
        <v>42849</v>
      </c>
      <c r="L85" s="15" t="b">
        <f>LOOKUP($D85,Table3[Sample Name],Table3[Positive])</f>
        <v>1</v>
      </c>
      <c r="M85" s="15" t="b">
        <f>LOOKUP($D85,Table3[Sample Name],Table3[Disseminated])</f>
        <v>1</v>
      </c>
      <c r="N85" s="15">
        <f t="shared" si="5"/>
        <v>3</v>
      </c>
      <c r="O85" s="261">
        <f t="shared" si="6"/>
        <v>3</v>
      </c>
      <c r="P85" s="251">
        <f t="shared" si="9"/>
        <v>4</v>
      </c>
      <c r="Q85" s="15">
        <f t="shared" si="8"/>
        <v>3</v>
      </c>
      <c r="R85" s="15"/>
      <c r="S85" s="15" t="s">
        <v>18</v>
      </c>
      <c r="T85" s="15">
        <v>2</v>
      </c>
      <c r="U85" s="15" t="s">
        <v>18</v>
      </c>
      <c r="V85" s="15" t="s">
        <v>18</v>
      </c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0"/>
      <c r="AH85" s="10"/>
      <c r="AI85" s="10"/>
      <c r="AJ85" s="10"/>
    </row>
    <row r="86" spans="4:36" ht="15.75" x14ac:dyDescent="0.25">
      <c r="D86" s="257">
        <v>82</v>
      </c>
      <c r="E86" s="15">
        <v>0</v>
      </c>
      <c r="F86" s="15"/>
      <c r="G86" s="15"/>
      <c r="H86" s="15"/>
      <c r="I86" s="15"/>
      <c r="J86" s="15"/>
      <c r="K86" s="57">
        <v>42842</v>
      </c>
      <c r="L86" s="15" t="b">
        <f>LOOKUP($D86,Table3[Sample Name],Table3[Positive])</f>
        <v>1</v>
      </c>
      <c r="M86" s="15" t="b">
        <f>LOOKUP($D86,Table3[Sample Name],Table3[Disseminated])</f>
        <v>1</v>
      </c>
      <c r="N86" s="15">
        <f t="shared" si="5"/>
        <v>0</v>
      </c>
      <c r="O86" s="261" t="str">
        <f t="shared" si="6"/>
        <v/>
      </c>
      <c r="P86" s="251">
        <f t="shared" si="9"/>
        <v>0</v>
      </c>
      <c r="Q86" s="15">
        <f t="shared" si="8"/>
        <v>0</v>
      </c>
      <c r="R86" s="16"/>
      <c r="S86" s="15" t="s">
        <v>18</v>
      </c>
      <c r="T86" s="15">
        <v>2</v>
      </c>
      <c r="U86" s="15" t="s">
        <v>18</v>
      </c>
      <c r="V86" s="15" t="s">
        <v>18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2"/>
      <c r="AH86" s="12"/>
      <c r="AI86" s="12"/>
      <c r="AJ86" s="12"/>
    </row>
    <row r="87" spans="4:36" ht="15.75" x14ac:dyDescent="0.25">
      <c r="D87" s="259">
        <v>83</v>
      </c>
      <c r="E87" s="15">
        <v>0</v>
      </c>
      <c r="F87" s="15">
        <v>2</v>
      </c>
      <c r="G87" s="15">
        <v>3</v>
      </c>
      <c r="H87" s="15">
        <v>3</v>
      </c>
      <c r="I87" s="60">
        <v>0</v>
      </c>
      <c r="J87" s="15"/>
      <c r="K87" s="57">
        <v>42857</v>
      </c>
      <c r="L87" s="15" t="b">
        <f>LOOKUP($D87,Table3[Sample Name],Table3[Positive])</f>
        <v>1</v>
      </c>
      <c r="M87" s="15" t="b">
        <f>LOOKUP($D87,Table3[Sample Name],Table3[Disseminated])</f>
        <v>1</v>
      </c>
      <c r="N87" s="15">
        <f t="shared" si="5"/>
        <v>1.6</v>
      </c>
      <c r="O87" s="261">
        <f t="shared" si="6"/>
        <v>2.6666666666666665</v>
      </c>
      <c r="P87" s="251">
        <f t="shared" si="9"/>
        <v>3</v>
      </c>
      <c r="Q87" s="15">
        <f t="shared" si="8"/>
        <v>3</v>
      </c>
      <c r="R87" s="15"/>
      <c r="S87" s="15" t="s">
        <v>18</v>
      </c>
      <c r="T87" s="15">
        <v>2</v>
      </c>
      <c r="U87" s="15" t="s">
        <v>18</v>
      </c>
      <c r="V87" s="15" t="s">
        <v>18</v>
      </c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0"/>
      <c r="AH87" s="10"/>
      <c r="AI87" s="10"/>
      <c r="AJ87" s="10"/>
    </row>
    <row r="88" spans="4:36" ht="15.75" x14ac:dyDescent="0.25">
      <c r="D88" s="257">
        <v>84</v>
      </c>
      <c r="E88" s="15">
        <v>0</v>
      </c>
      <c r="F88" s="15"/>
      <c r="G88" s="15"/>
      <c r="H88" s="15"/>
      <c r="I88" s="15"/>
      <c r="J88" s="15"/>
      <c r="K88" s="57">
        <v>42842</v>
      </c>
      <c r="L88" s="15" t="b">
        <f>LOOKUP($D88,Table3[Sample Name],Table3[Positive])</f>
        <v>1</v>
      </c>
      <c r="M88" s="15" t="b">
        <f>LOOKUP($D88,Table3[Sample Name],Table3[Disseminated])</f>
        <v>1</v>
      </c>
      <c r="N88" s="15">
        <f t="shared" si="5"/>
        <v>0</v>
      </c>
      <c r="O88" s="261" t="str">
        <f t="shared" si="6"/>
        <v/>
      </c>
      <c r="P88" s="251">
        <f t="shared" si="9"/>
        <v>0</v>
      </c>
      <c r="Q88" s="15">
        <f t="shared" si="8"/>
        <v>0</v>
      </c>
      <c r="R88" s="16"/>
      <c r="S88" s="15" t="s">
        <v>18</v>
      </c>
      <c r="T88" s="15">
        <v>2</v>
      </c>
      <c r="U88" s="15" t="s">
        <v>18</v>
      </c>
      <c r="V88" s="15" t="s">
        <v>18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2"/>
      <c r="AH88" s="12"/>
      <c r="AI88" s="12"/>
      <c r="AJ88" s="12"/>
    </row>
    <row r="89" spans="4:36" ht="15.75" x14ac:dyDescent="0.25">
      <c r="D89" s="259">
        <v>85</v>
      </c>
      <c r="E89" s="15">
        <v>0</v>
      </c>
      <c r="F89" s="15">
        <v>1</v>
      </c>
      <c r="G89" s="15"/>
      <c r="H89" s="15"/>
      <c r="I89" s="15"/>
      <c r="J89" s="15"/>
      <c r="K89" s="57">
        <v>42844</v>
      </c>
      <c r="L89" s="15" t="b">
        <f>LOOKUP($D89,Table3[Sample Name],Table3[Positive])</f>
        <v>1</v>
      </c>
      <c r="M89" s="15" t="b">
        <f>LOOKUP($D89,Table3[Sample Name],Table3[Disseminated])</f>
        <v>1</v>
      </c>
      <c r="N89" s="15">
        <f t="shared" si="5"/>
        <v>0.5</v>
      </c>
      <c r="O89" s="261">
        <f t="shared" si="6"/>
        <v>1</v>
      </c>
      <c r="P89" s="251">
        <f t="shared" si="9"/>
        <v>1</v>
      </c>
      <c r="Q89" s="15">
        <f t="shared" si="8"/>
        <v>1</v>
      </c>
      <c r="R89" s="15"/>
      <c r="S89" s="15" t="s">
        <v>18</v>
      </c>
      <c r="T89" s="15">
        <v>2</v>
      </c>
      <c r="U89" s="15" t="s">
        <v>18</v>
      </c>
      <c r="V89" s="15" t="s">
        <v>18</v>
      </c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0"/>
      <c r="AH89" s="10"/>
      <c r="AI89" s="10"/>
      <c r="AJ89" s="10"/>
    </row>
    <row r="90" spans="4:36" ht="15.75" x14ac:dyDescent="0.25">
      <c r="D90" s="257">
        <v>86</v>
      </c>
      <c r="E90" s="15">
        <v>0</v>
      </c>
      <c r="F90" s="15"/>
      <c r="G90" s="15"/>
      <c r="H90" s="15"/>
      <c r="I90" s="15"/>
      <c r="J90" s="15"/>
      <c r="K90" s="57">
        <v>42842</v>
      </c>
      <c r="L90" s="15" t="b">
        <f>LOOKUP($D90,Table3[Sample Name],Table3[Positive])</f>
        <v>1</v>
      </c>
      <c r="M90" s="15" t="b">
        <f>LOOKUP($D90,Table3[Sample Name],Table3[Disseminated])</f>
        <v>1</v>
      </c>
      <c r="N90" s="15">
        <f t="shared" si="5"/>
        <v>0</v>
      </c>
      <c r="O90" s="261" t="str">
        <f t="shared" si="6"/>
        <v/>
      </c>
      <c r="P90" s="251">
        <f t="shared" si="9"/>
        <v>0</v>
      </c>
      <c r="Q90" s="15">
        <f t="shared" si="8"/>
        <v>0</v>
      </c>
      <c r="R90" s="16"/>
      <c r="S90" s="15" t="s">
        <v>18</v>
      </c>
      <c r="T90" s="15">
        <v>2</v>
      </c>
      <c r="U90" s="15" t="s">
        <v>18</v>
      </c>
      <c r="V90" s="15" t="s">
        <v>18</v>
      </c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2"/>
      <c r="AH90" s="12"/>
      <c r="AI90" s="12"/>
      <c r="AJ90" s="12"/>
    </row>
    <row r="91" spans="4:36" ht="15.75" x14ac:dyDescent="0.25">
      <c r="D91" s="259">
        <v>87</v>
      </c>
      <c r="E91" s="15">
        <v>0</v>
      </c>
      <c r="F91" s="15">
        <v>2</v>
      </c>
      <c r="G91" s="15">
        <v>0</v>
      </c>
      <c r="H91" s="15"/>
      <c r="I91" s="15"/>
      <c r="J91" s="15"/>
      <c r="K91" s="57">
        <v>42849</v>
      </c>
      <c r="L91" s="15" t="b">
        <f>LOOKUP($D91,Table3[Sample Name],Table3[Positive])</f>
        <v>0</v>
      </c>
      <c r="M91" s="15" t="str">
        <f>LOOKUP($D91,Table3[Sample Name],Table3[Disseminated])</f>
        <v>N/A</v>
      </c>
      <c r="N91" s="15">
        <f t="shared" si="5"/>
        <v>0.66666666666666663</v>
      </c>
      <c r="O91" s="261">
        <f t="shared" si="6"/>
        <v>2</v>
      </c>
      <c r="P91" s="251">
        <f t="shared" si="9"/>
        <v>2</v>
      </c>
      <c r="Q91" s="15">
        <f t="shared" si="8"/>
        <v>1</v>
      </c>
      <c r="R91" s="15"/>
      <c r="S91" s="15" t="s">
        <v>18</v>
      </c>
      <c r="T91" s="15">
        <v>2.1666666666666665</v>
      </c>
      <c r="U91" s="15" t="s">
        <v>18</v>
      </c>
      <c r="V91" s="15" t="s">
        <v>18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0"/>
      <c r="AH91" s="10"/>
      <c r="AI91" s="10"/>
      <c r="AJ91" s="10"/>
    </row>
    <row r="92" spans="4:36" ht="15.75" x14ac:dyDescent="0.25">
      <c r="D92" s="257">
        <v>88</v>
      </c>
      <c r="E92" s="15">
        <v>0</v>
      </c>
      <c r="F92" s="15"/>
      <c r="G92" s="15"/>
      <c r="H92" s="15"/>
      <c r="I92" s="15"/>
      <c r="J92" s="15"/>
      <c r="K92" s="57">
        <v>42842</v>
      </c>
      <c r="L92" s="15" t="b">
        <f>LOOKUP($D92,Table3[Sample Name],Table3[Positive])</f>
        <v>0</v>
      </c>
      <c r="M92" s="15" t="str">
        <f>LOOKUP($D92,Table3[Sample Name],Table3[Disseminated])</f>
        <v>N/A</v>
      </c>
      <c r="N92" s="15">
        <f t="shared" si="5"/>
        <v>0</v>
      </c>
      <c r="O92" s="261" t="str">
        <f t="shared" si="6"/>
        <v/>
      </c>
      <c r="P92" s="251">
        <f t="shared" si="9"/>
        <v>0</v>
      </c>
      <c r="Q92" s="15">
        <f t="shared" si="8"/>
        <v>0</v>
      </c>
      <c r="R92" s="16"/>
      <c r="S92" s="15" t="s">
        <v>18</v>
      </c>
      <c r="T92" s="15">
        <v>2.3333333333333335</v>
      </c>
      <c r="U92" s="15" t="s">
        <v>18</v>
      </c>
      <c r="V92" s="15" t="s">
        <v>18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2"/>
      <c r="AH92" s="12"/>
      <c r="AI92" s="12"/>
      <c r="AJ92" s="12"/>
    </row>
    <row r="93" spans="4:36" ht="15.75" x14ac:dyDescent="0.25">
      <c r="D93" s="259">
        <v>89</v>
      </c>
      <c r="E93" s="15">
        <v>0</v>
      </c>
      <c r="F93" s="15">
        <v>3</v>
      </c>
      <c r="G93" s="15">
        <v>3</v>
      </c>
      <c r="H93" s="15"/>
      <c r="I93" s="15"/>
      <c r="J93" s="15"/>
      <c r="K93" s="57">
        <v>42849</v>
      </c>
      <c r="L93" s="15" t="b">
        <f>LOOKUP($D93,Table3[Sample Name],Table3[Positive])</f>
        <v>1</v>
      </c>
      <c r="M93" s="15" t="b">
        <f>LOOKUP($D93,Table3[Sample Name],Table3[Disseminated])</f>
        <v>1</v>
      </c>
      <c r="N93" s="15">
        <f t="shared" si="5"/>
        <v>2</v>
      </c>
      <c r="O93" s="261">
        <f t="shared" si="6"/>
        <v>3</v>
      </c>
      <c r="P93" s="251">
        <f t="shared" si="9"/>
        <v>3</v>
      </c>
      <c r="Q93" s="15">
        <f t="shared" si="8"/>
        <v>2</v>
      </c>
      <c r="R93" s="15"/>
      <c r="S93" s="15" t="s">
        <v>18</v>
      </c>
      <c r="T93" s="15">
        <v>2.4</v>
      </c>
      <c r="U93" s="15" t="s">
        <v>18</v>
      </c>
      <c r="V93" s="15" t="s">
        <v>18</v>
      </c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0"/>
      <c r="AH93" s="10"/>
      <c r="AI93" s="10"/>
      <c r="AJ93" s="10"/>
    </row>
    <row r="94" spans="4:36" ht="15.75" x14ac:dyDescent="0.25">
      <c r="D94" s="257">
        <v>90</v>
      </c>
      <c r="E94" s="15">
        <v>2</v>
      </c>
      <c r="F94" s="15">
        <v>1</v>
      </c>
      <c r="G94" s="15"/>
      <c r="H94" s="15"/>
      <c r="I94" s="15"/>
      <c r="J94" s="15"/>
      <c r="K94" s="57">
        <v>42844</v>
      </c>
      <c r="L94" s="15" t="b">
        <f>LOOKUP($D94,Table3[Sample Name],Table3[Positive])</f>
        <v>0</v>
      </c>
      <c r="M94" s="15" t="str">
        <f>LOOKUP($D94,Table3[Sample Name],Table3[Disseminated])</f>
        <v>N/A</v>
      </c>
      <c r="N94" s="15">
        <f t="shared" si="5"/>
        <v>1.5</v>
      </c>
      <c r="O94" s="261">
        <f t="shared" si="6"/>
        <v>1.5</v>
      </c>
      <c r="P94" s="251">
        <f t="shared" si="9"/>
        <v>2</v>
      </c>
      <c r="Q94" s="15">
        <f t="shared" si="8"/>
        <v>2</v>
      </c>
      <c r="R94" s="16"/>
      <c r="S94" s="15" t="s">
        <v>18</v>
      </c>
      <c r="T94" s="15">
        <v>2.6666666666666665</v>
      </c>
      <c r="U94" s="15" t="s">
        <v>18</v>
      </c>
      <c r="V94" s="15" t="s">
        <v>18</v>
      </c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2"/>
      <c r="AH94" s="12"/>
      <c r="AI94" s="12"/>
      <c r="AJ94" s="12"/>
    </row>
    <row r="95" spans="4:36" ht="15.75" x14ac:dyDescent="0.25">
      <c r="D95" s="259">
        <v>91</v>
      </c>
      <c r="E95" s="15">
        <v>0</v>
      </c>
      <c r="F95" s="15"/>
      <c r="G95" s="15"/>
      <c r="H95" s="15"/>
      <c r="I95" s="15"/>
      <c r="J95" s="15"/>
      <c r="K95" s="57">
        <v>42843</v>
      </c>
      <c r="L95" s="15" t="b">
        <f>LOOKUP($D95,Table3[Sample Name],Table3[Positive])</f>
        <v>1</v>
      </c>
      <c r="M95" s="15" t="b">
        <f>LOOKUP($D95,Table3[Sample Name],Table3[Disseminated])</f>
        <v>1</v>
      </c>
      <c r="N95" s="15">
        <f t="shared" si="5"/>
        <v>0</v>
      </c>
      <c r="O95" s="261" t="str">
        <f t="shared" si="6"/>
        <v/>
      </c>
      <c r="P95" s="251">
        <f t="shared" si="9"/>
        <v>0</v>
      </c>
      <c r="Q95" s="15">
        <f t="shared" si="8"/>
        <v>0</v>
      </c>
      <c r="R95" s="15"/>
      <c r="S95" s="15" t="s">
        <v>18</v>
      </c>
      <c r="T95" s="15">
        <v>2.75</v>
      </c>
      <c r="U95" s="15" t="s">
        <v>18</v>
      </c>
      <c r="V95" s="15" t="s">
        <v>18</v>
      </c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0"/>
      <c r="AH95" s="10"/>
      <c r="AI95" s="10"/>
      <c r="AJ95" s="10"/>
    </row>
    <row r="96" spans="4:36" ht="15.75" x14ac:dyDescent="0.25">
      <c r="D96" s="257">
        <v>92</v>
      </c>
      <c r="E96" s="15">
        <v>0</v>
      </c>
      <c r="F96" s="15">
        <v>1</v>
      </c>
      <c r="G96" s="15">
        <v>3</v>
      </c>
      <c r="H96" s="15"/>
      <c r="I96" s="15"/>
      <c r="J96" s="15"/>
      <c r="K96" s="57">
        <v>42849</v>
      </c>
      <c r="L96" s="15" t="b">
        <f>LOOKUP($D96,Table3[Sample Name],Table3[Positive])</f>
        <v>1</v>
      </c>
      <c r="M96" s="15" t="b">
        <f>LOOKUP($D96,Table3[Sample Name],Table3[Disseminated])</f>
        <v>1</v>
      </c>
      <c r="N96" s="15">
        <f t="shared" si="5"/>
        <v>1.3333333333333333</v>
      </c>
      <c r="O96" s="261">
        <f t="shared" si="6"/>
        <v>2</v>
      </c>
      <c r="P96" s="251">
        <f t="shared" si="9"/>
        <v>3</v>
      </c>
      <c r="Q96" s="15">
        <f t="shared" si="8"/>
        <v>2</v>
      </c>
      <c r="R96" s="16"/>
      <c r="S96" s="15" t="s">
        <v>18</v>
      </c>
      <c r="T96" s="15">
        <v>3</v>
      </c>
      <c r="U96" s="15" t="s">
        <v>18</v>
      </c>
      <c r="V96" s="15" t="s">
        <v>18</v>
      </c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2"/>
      <c r="AH96" s="12"/>
      <c r="AI96" s="12"/>
      <c r="AJ96" s="12"/>
    </row>
    <row r="97" spans="4:36" ht="15.75" x14ac:dyDescent="0.25">
      <c r="D97" s="259">
        <v>93</v>
      </c>
      <c r="E97" s="15">
        <v>0</v>
      </c>
      <c r="F97" s="15"/>
      <c r="G97" s="15"/>
      <c r="H97" s="15"/>
      <c r="I97" s="15"/>
      <c r="J97" s="15"/>
      <c r="K97" s="57">
        <v>42843</v>
      </c>
      <c r="L97" s="15" t="b">
        <f>LOOKUP($D97,Table3[Sample Name],Table3[Positive])</f>
        <v>1</v>
      </c>
      <c r="M97" s="15" t="b">
        <f>LOOKUP($D97,Table3[Sample Name],Table3[Disseminated])</f>
        <v>1</v>
      </c>
      <c r="N97" s="15">
        <f t="shared" si="5"/>
        <v>0</v>
      </c>
      <c r="O97" s="261" t="str">
        <f t="shared" si="6"/>
        <v/>
      </c>
      <c r="P97" s="251">
        <f t="shared" si="9"/>
        <v>0</v>
      </c>
      <c r="Q97" s="15">
        <f t="shared" si="8"/>
        <v>0</v>
      </c>
      <c r="R97" s="15"/>
      <c r="S97" s="15" t="s">
        <v>18</v>
      </c>
      <c r="T97" s="15">
        <v>3</v>
      </c>
      <c r="U97" s="15" t="s">
        <v>18</v>
      </c>
      <c r="V97" s="15" t="s">
        <v>18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0"/>
      <c r="AH97" s="10"/>
      <c r="AI97" s="10"/>
      <c r="AJ97" s="10"/>
    </row>
    <row r="98" spans="4:36" ht="15.75" x14ac:dyDescent="0.25">
      <c r="D98" s="257">
        <v>94</v>
      </c>
      <c r="E98" s="15">
        <v>0</v>
      </c>
      <c r="F98" s="15"/>
      <c r="G98" s="15"/>
      <c r="H98" s="15"/>
      <c r="I98" s="15"/>
      <c r="J98" s="15"/>
      <c r="K98" s="57">
        <v>42842</v>
      </c>
      <c r="L98" s="15" t="b">
        <f>LOOKUP($D98,Table3[Sample Name],Table3[Positive])</f>
        <v>1</v>
      </c>
      <c r="M98" s="15" t="b">
        <f>LOOKUP($D98,Table3[Sample Name],Table3[Disseminated])</f>
        <v>1</v>
      </c>
      <c r="N98" s="15">
        <f t="shared" si="5"/>
        <v>0</v>
      </c>
      <c r="O98" s="261" t="str">
        <f t="shared" si="6"/>
        <v/>
      </c>
      <c r="P98" s="251">
        <f t="shared" si="9"/>
        <v>0</v>
      </c>
      <c r="Q98" s="15">
        <f t="shared" si="8"/>
        <v>0</v>
      </c>
      <c r="R98" s="16"/>
      <c r="S98" s="15"/>
      <c r="T98" s="15"/>
      <c r="U98" s="15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2"/>
      <c r="AH98" s="12"/>
      <c r="AI98" s="12"/>
      <c r="AJ98" s="12"/>
    </row>
    <row r="99" spans="4:36" ht="15.75" x14ac:dyDescent="0.25">
      <c r="D99" s="259">
        <v>95</v>
      </c>
      <c r="E99" s="15">
        <v>0</v>
      </c>
      <c r="F99" s="15">
        <v>0</v>
      </c>
      <c r="G99" s="15"/>
      <c r="H99" s="15"/>
      <c r="I99" s="15"/>
      <c r="J99" s="15"/>
      <c r="K99" s="57">
        <v>42846</v>
      </c>
      <c r="L99" s="15" t="b">
        <f>LOOKUP($D99,Table3[Sample Name],Table3[Positive])</f>
        <v>1</v>
      </c>
      <c r="M99" s="15" t="b">
        <f>LOOKUP($D99,Table3[Sample Name],Table3[Disseminated])</f>
        <v>1</v>
      </c>
      <c r="N99" s="15">
        <f t="shared" si="5"/>
        <v>0</v>
      </c>
      <c r="O99" s="261" t="str">
        <f t="shared" si="6"/>
        <v/>
      </c>
      <c r="P99" s="251">
        <f t="shared" si="9"/>
        <v>0</v>
      </c>
      <c r="Q99" s="15">
        <f t="shared" si="8"/>
        <v>0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0"/>
      <c r="AH99" s="10"/>
      <c r="AI99" s="10"/>
      <c r="AJ99" s="10"/>
    </row>
    <row r="100" spans="4:36" ht="15.75" x14ac:dyDescent="0.25">
      <c r="D100" s="257">
        <v>96</v>
      </c>
      <c r="E100" s="15">
        <v>0</v>
      </c>
      <c r="F100" s="15"/>
      <c r="G100" s="15"/>
      <c r="H100" s="15"/>
      <c r="I100" s="15"/>
      <c r="J100" s="15"/>
      <c r="K100" s="57">
        <v>42843</v>
      </c>
      <c r="L100" s="15" t="b">
        <f>LOOKUP($D100,Table3[Sample Name],Table3[Positive])</f>
        <v>1</v>
      </c>
      <c r="M100" s="15" t="b">
        <f>LOOKUP($D100,Table3[Sample Name],Table3[Disseminated])</f>
        <v>1</v>
      </c>
      <c r="N100" s="15">
        <f t="shared" si="5"/>
        <v>0</v>
      </c>
      <c r="O100" s="261" t="str">
        <f t="shared" si="6"/>
        <v/>
      </c>
      <c r="P100" s="251">
        <f t="shared" si="9"/>
        <v>0</v>
      </c>
      <c r="Q100" s="15">
        <f t="shared" si="8"/>
        <v>0</v>
      </c>
      <c r="R100" s="16"/>
      <c r="S100" s="15"/>
      <c r="T100" s="15"/>
      <c r="U100" s="15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2"/>
      <c r="AH100" s="12"/>
      <c r="AI100" s="12"/>
      <c r="AJ100" s="12"/>
    </row>
    <row r="101" spans="4:36" ht="15.75" x14ac:dyDescent="0.25">
      <c r="D101" s="259">
        <v>97</v>
      </c>
      <c r="E101" s="15">
        <v>0</v>
      </c>
      <c r="F101" s="15">
        <v>2</v>
      </c>
      <c r="G101" s="15">
        <v>3</v>
      </c>
      <c r="H101" s="15"/>
      <c r="I101" s="15"/>
      <c r="J101" s="15"/>
      <c r="K101" s="57">
        <v>42849</v>
      </c>
      <c r="L101" s="15" t="b">
        <f>LOOKUP($D101,Table3[Sample Name],Table3[Positive])</f>
        <v>1</v>
      </c>
      <c r="M101" s="15" t="b">
        <f>LOOKUP($D101,Table3[Sample Name],Table3[Disseminated])</f>
        <v>1</v>
      </c>
      <c r="N101" s="15">
        <f t="shared" si="5"/>
        <v>1.6666666666666667</v>
      </c>
      <c r="O101" s="261">
        <f t="shared" si="6"/>
        <v>2.5</v>
      </c>
      <c r="P101" s="251">
        <f t="shared" si="9"/>
        <v>3</v>
      </c>
      <c r="Q101" s="15">
        <f t="shared" si="8"/>
        <v>2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0"/>
      <c r="AH101" s="10"/>
      <c r="AI101" s="10"/>
      <c r="AJ101" s="10"/>
    </row>
    <row r="102" spans="4:36" ht="15.75" x14ac:dyDescent="0.25">
      <c r="D102" s="257">
        <v>98</v>
      </c>
      <c r="E102" s="15">
        <v>0</v>
      </c>
      <c r="F102" s="15"/>
      <c r="G102" s="15"/>
      <c r="H102" s="15"/>
      <c r="I102" s="15"/>
      <c r="J102" s="15"/>
      <c r="K102" s="57">
        <v>42843</v>
      </c>
      <c r="L102" s="15" t="b">
        <f>LOOKUP($D102,Table3[Sample Name],Table3[Positive])</f>
        <v>1</v>
      </c>
      <c r="M102" s="15" t="b">
        <f>LOOKUP($D102,Table3[Sample Name],Table3[Disseminated])</f>
        <v>1</v>
      </c>
      <c r="N102" s="15">
        <f t="shared" si="5"/>
        <v>0</v>
      </c>
      <c r="O102" s="261" t="str">
        <f t="shared" si="6"/>
        <v/>
      </c>
      <c r="P102" s="251">
        <f t="shared" si="9"/>
        <v>0</v>
      </c>
      <c r="Q102" s="15">
        <f t="shared" si="8"/>
        <v>0</v>
      </c>
      <c r="R102" s="16"/>
      <c r="S102" s="15"/>
      <c r="T102" s="15"/>
      <c r="U102" s="15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2"/>
      <c r="AH102" s="12"/>
      <c r="AI102" s="12"/>
      <c r="AJ102" s="12"/>
    </row>
    <row r="103" spans="4:36" ht="15.75" x14ac:dyDescent="0.25">
      <c r="D103" s="259">
        <v>99</v>
      </c>
      <c r="E103" s="15">
        <v>0</v>
      </c>
      <c r="F103" s="15"/>
      <c r="G103" s="15"/>
      <c r="H103" s="15"/>
      <c r="I103" s="15"/>
      <c r="J103" s="15"/>
      <c r="K103" s="57">
        <v>42842</v>
      </c>
      <c r="L103" s="15" t="b">
        <f>LOOKUP($D103,Table3[Sample Name],Table3[Positive])</f>
        <v>1</v>
      </c>
      <c r="M103" s="15" t="b">
        <f>LOOKUP($D103,Table3[Sample Name],Table3[Disseminated])</f>
        <v>0</v>
      </c>
      <c r="N103" s="15">
        <f t="shared" si="5"/>
        <v>0</v>
      </c>
      <c r="O103" s="261" t="str">
        <f t="shared" si="6"/>
        <v/>
      </c>
      <c r="P103" s="251">
        <f t="shared" si="9"/>
        <v>0</v>
      </c>
      <c r="Q103" s="15">
        <f t="shared" si="8"/>
        <v>0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0"/>
      <c r="AH103" s="10"/>
      <c r="AI103" s="10"/>
      <c r="AJ103" s="10"/>
    </row>
    <row r="104" spans="4:36" s="43" customFormat="1" ht="15.75" x14ac:dyDescent="0.25">
      <c r="D104" s="257">
        <v>100</v>
      </c>
      <c r="E104" s="15">
        <v>0</v>
      </c>
      <c r="F104" s="15">
        <v>0</v>
      </c>
      <c r="G104" s="15">
        <v>1</v>
      </c>
      <c r="H104" s="15"/>
      <c r="I104" s="15"/>
      <c r="J104" s="15"/>
      <c r="K104" s="57">
        <v>42849</v>
      </c>
      <c r="L104" s="15" t="b">
        <f>LOOKUP($D104,Table3[Sample Name],Table3[Positive])</f>
        <v>1</v>
      </c>
      <c r="M104" s="15" t="b">
        <f>LOOKUP($D104,Table3[Sample Name],Table3[Disseminated])</f>
        <v>1</v>
      </c>
      <c r="N104" s="15">
        <f t="shared" si="5"/>
        <v>0.33333333333333331</v>
      </c>
      <c r="O104" s="261">
        <f t="shared" si="6"/>
        <v>1</v>
      </c>
      <c r="P104" s="251">
        <f t="shared" si="9"/>
        <v>1</v>
      </c>
      <c r="Q104" s="15">
        <f t="shared" si="8"/>
        <v>1</v>
      </c>
      <c r="R104" s="16"/>
      <c r="S104" s="15"/>
      <c r="T104" s="15"/>
      <c r="U104" s="15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53"/>
      <c r="AH104" s="53"/>
      <c r="AI104" s="53"/>
      <c r="AJ104" s="53"/>
    </row>
    <row r="105" spans="4:36" ht="15.75" x14ac:dyDescent="0.25">
      <c r="D105" s="259">
        <v>101</v>
      </c>
      <c r="E105" s="15">
        <v>1</v>
      </c>
      <c r="F105" s="15">
        <v>0</v>
      </c>
      <c r="G105" s="15"/>
      <c r="H105" s="15"/>
      <c r="I105" s="15"/>
      <c r="J105" s="15"/>
      <c r="K105" s="57">
        <v>42844</v>
      </c>
      <c r="L105" s="15" t="b">
        <f>LOOKUP($D105,Table3[Sample Name],Table3[Positive])</f>
        <v>1</v>
      </c>
      <c r="M105" s="15" t="b">
        <f>LOOKUP($D105,Table3[Sample Name],Table3[Disseminated])</f>
        <v>0</v>
      </c>
      <c r="N105" s="15">
        <f t="shared" si="5"/>
        <v>0.5</v>
      </c>
      <c r="O105" s="261">
        <f t="shared" si="6"/>
        <v>1</v>
      </c>
      <c r="P105" s="251">
        <f t="shared" si="9"/>
        <v>1</v>
      </c>
      <c r="Q105" s="15">
        <f t="shared" si="8"/>
        <v>1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0"/>
      <c r="AH105" s="10"/>
      <c r="AI105" s="10"/>
      <c r="AJ105" s="10"/>
    </row>
    <row r="106" spans="4:36" ht="15.75" x14ac:dyDescent="0.25">
      <c r="D106" s="257">
        <v>102</v>
      </c>
      <c r="E106" s="15">
        <v>0</v>
      </c>
      <c r="F106" s="15">
        <v>3</v>
      </c>
      <c r="G106" s="15">
        <v>4</v>
      </c>
      <c r="H106" s="15">
        <v>0</v>
      </c>
      <c r="I106" s="15"/>
      <c r="J106" s="15"/>
      <c r="K106" s="57">
        <v>42851</v>
      </c>
      <c r="L106" s="15" t="b">
        <f>LOOKUP($D106,Table3[Sample Name],Table3[Positive])</f>
        <v>1</v>
      </c>
      <c r="M106" s="15" t="b">
        <f>LOOKUP($D106,Table3[Sample Name],Table3[Disseminated])</f>
        <v>1</v>
      </c>
      <c r="N106" s="15">
        <f t="shared" si="5"/>
        <v>1.75</v>
      </c>
      <c r="O106" s="261">
        <f t="shared" si="6"/>
        <v>3.5</v>
      </c>
      <c r="P106" s="251">
        <f t="shared" si="9"/>
        <v>4</v>
      </c>
      <c r="Q106" s="15">
        <f t="shared" si="8"/>
        <v>2</v>
      </c>
      <c r="R106" s="16"/>
      <c r="S106" s="15"/>
      <c r="T106" s="15"/>
      <c r="U106" s="15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2"/>
      <c r="AH106" s="12"/>
      <c r="AI106" s="12"/>
      <c r="AJ106" s="12"/>
    </row>
    <row r="107" spans="4:36" ht="15.75" x14ac:dyDescent="0.25">
      <c r="D107" s="302">
        <v>103</v>
      </c>
      <c r="E107" s="15">
        <v>0</v>
      </c>
      <c r="F107" s="15">
        <v>0</v>
      </c>
      <c r="G107" s="15"/>
      <c r="H107" s="15">
        <v>3</v>
      </c>
      <c r="I107" s="15"/>
      <c r="J107" s="15"/>
      <c r="K107" s="57">
        <v>42845</v>
      </c>
      <c r="L107" s="15" t="b">
        <f>LOOKUP($D107,Table3[Sample Name],Table3[Positive])</f>
        <v>1</v>
      </c>
      <c r="M107" s="15" t="b">
        <f>LOOKUP($D107,Table3[Sample Name],Table3[Disseminated])</f>
        <v>0</v>
      </c>
      <c r="N107" s="15">
        <f t="shared" si="5"/>
        <v>1</v>
      </c>
      <c r="O107" s="261">
        <f t="shared" si="6"/>
        <v>3</v>
      </c>
      <c r="P107" s="251">
        <f t="shared" si="9"/>
        <v>3</v>
      </c>
      <c r="Q107" s="15">
        <f t="shared" si="8"/>
        <v>1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0"/>
      <c r="AH107" s="10"/>
      <c r="AI107" s="10"/>
      <c r="AJ107" s="10"/>
    </row>
    <row r="108" spans="4:36" ht="15.75" x14ac:dyDescent="0.25">
      <c r="D108" s="257">
        <v>104</v>
      </c>
      <c r="E108" s="15">
        <v>0</v>
      </c>
      <c r="F108" s="15">
        <v>4</v>
      </c>
      <c r="G108" s="15">
        <v>3</v>
      </c>
      <c r="H108" s="60">
        <v>0</v>
      </c>
      <c r="I108" s="60">
        <v>0</v>
      </c>
      <c r="J108" s="15"/>
      <c r="K108" s="57">
        <v>42856</v>
      </c>
      <c r="L108" s="15" t="b">
        <f>LOOKUP($D108,Table3[Sample Name],Table3[Positive])</f>
        <v>1</v>
      </c>
      <c r="M108" s="15" t="b">
        <f>LOOKUP($D108,Table3[Sample Name],Table3[Disseminated])</f>
        <v>1</v>
      </c>
      <c r="N108" s="15">
        <f t="shared" si="5"/>
        <v>1.4</v>
      </c>
      <c r="O108" s="261">
        <f t="shared" si="6"/>
        <v>3.5</v>
      </c>
      <c r="P108" s="251">
        <f t="shared" si="9"/>
        <v>4</v>
      </c>
      <c r="Q108" s="15">
        <f t="shared" si="8"/>
        <v>2</v>
      </c>
      <c r="R108" s="16"/>
      <c r="S108" s="15"/>
      <c r="T108" s="15"/>
      <c r="U108" s="15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2"/>
      <c r="AH108" s="12"/>
      <c r="AI108" s="12"/>
      <c r="AJ108" s="12"/>
    </row>
    <row r="109" spans="4:36" ht="15.75" x14ac:dyDescent="0.25">
      <c r="D109" s="259">
        <v>105</v>
      </c>
      <c r="E109" s="15">
        <v>2</v>
      </c>
      <c r="F109" s="15"/>
      <c r="G109" s="15"/>
      <c r="H109" s="15"/>
      <c r="I109" s="15"/>
      <c r="J109" s="15"/>
      <c r="K109" s="57">
        <v>42843</v>
      </c>
      <c r="L109" s="15" t="b">
        <f>LOOKUP($D109,Table3[Sample Name],Table3[Positive])</f>
        <v>1</v>
      </c>
      <c r="M109" s="15" t="b">
        <f>LOOKUP($D109,Table3[Sample Name],Table3[Disseminated])</f>
        <v>0</v>
      </c>
      <c r="N109" s="15">
        <f t="shared" si="5"/>
        <v>2</v>
      </c>
      <c r="O109" s="261">
        <f t="shared" si="6"/>
        <v>2</v>
      </c>
      <c r="P109" s="251">
        <f t="shared" si="9"/>
        <v>2</v>
      </c>
      <c r="Q109" s="15">
        <f t="shared" si="8"/>
        <v>1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0"/>
      <c r="AH109" s="10"/>
      <c r="AI109" s="10"/>
      <c r="AJ109" s="10"/>
    </row>
    <row r="110" spans="4:36" ht="15.75" x14ac:dyDescent="0.25">
      <c r="D110" s="257">
        <v>106</v>
      </c>
      <c r="E110" s="15">
        <v>0</v>
      </c>
      <c r="F110" s="15">
        <v>0</v>
      </c>
      <c r="G110" s="15">
        <v>2</v>
      </c>
      <c r="H110" s="15"/>
      <c r="I110" s="15"/>
      <c r="J110" s="15"/>
      <c r="K110" s="57">
        <v>42849</v>
      </c>
      <c r="L110" s="15" t="b">
        <f>LOOKUP($D110,Table3[Sample Name],Table3[Positive])</f>
        <v>1</v>
      </c>
      <c r="M110" s="15" t="b">
        <f>LOOKUP($D110,Table3[Sample Name],Table3[Disseminated])</f>
        <v>1</v>
      </c>
      <c r="N110" s="15">
        <f t="shared" si="5"/>
        <v>0.66666666666666663</v>
      </c>
      <c r="O110" s="261">
        <f t="shared" si="6"/>
        <v>2</v>
      </c>
      <c r="P110" s="251">
        <f t="shared" si="9"/>
        <v>2</v>
      </c>
      <c r="Q110" s="15">
        <f t="shared" si="8"/>
        <v>1</v>
      </c>
      <c r="R110" s="16"/>
      <c r="S110" s="15"/>
      <c r="T110" s="15"/>
      <c r="U110" s="15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2"/>
      <c r="AH110" s="12"/>
      <c r="AI110" s="12"/>
      <c r="AJ110" s="12"/>
    </row>
    <row r="111" spans="4:36" ht="15.75" x14ac:dyDescent="0.25">
      <c r="D111" s="259">
        <v>107</v>
      </c>
      <c r="E111" s="15">
        <v>0</v>
      </c>
      <c r="F111" s="15">
        <v>3</v>
      </c>
      <c r="G111" s="15">
        <v>2</v>
      </c>
      <c r="H111" s="15">
        <v>3</v>
      </c>
      <c r="I111" s="15">
        <v>2</v>
      </c>
      <c r="J111" s="15">
        <v>0</v>
      </c>
      <c r="K111" s="57">
        <v>42858</v>
      </c>
      <c r="L111" s="15" t="b">
        <f>LOOKUP($D111,Table3[Sample Name],Table3[Positive])</f>
        <v>1</v>
      </c>
      <c r="M111" s="15" t="b">
        <f>LOOKUP($D111,Table3[Sample Name],Table3[Disseminated])</f>
        <v>1</v>
      </c>
      <c r="N111" s="15">
        <f t="shared" si="5"/>
        <v>1.6666666666666667</v>
      </c>
      <c r="O111" s="261">
        <f t="shared" si="6"/>
        <v>2.5</v>
      </c>
      <c r="P111" s="251">
        <f t="shared" si="9"/>
        <v>3</v>
      </c>
      <c r="Q111" s="15">
        <f t="shared" si="8"/>
        <v>4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0"/>
      <c r="AH111" s="10"/>
      <c r="AI111" s="10"/>
      <c r="AJ111" s="10"/>
    </row>
    <row r="112" spans="4:36" ht="15.75" x14ac:dyDescent="0.25">
      <c r="D112" s="257">
        <v>108</v>
      </c>
      <c r="E112" s="15">
        <v>1</v>
      </c>
      <c r="F112" s="15">
        <v>2</v>
      </c>
      <c r="G112" s="15">
        <v>1</v>
      </c>
      <c r="H112" s="15">
        <v>4</v>
      </c>
      <c r="I112" s="15">
        <v>3</v>
      </c>
      <c r="J112" s="15">
        <v>2</v>
      </c>
      <c r="K112" s="57">
        <v>42858</v>
      </c>
      <c r="L112" s="15" t="b">
        <f>LOOKUP($D112,Table3[Sample Name],Table3[Positive])</f>
        <v>1</v>
      </c>
      <c r="M112" s="15" t="b">
        <f>LOOKUP($D112,Table3[Sample Name],Table3[Disseminated])</f>
        <v>0</v>
      </c>
      <c r="N112" s="15">
        <f t="shared" si="5"/>
        <v>2.1666666666666665</v>
      </c>
      <c r="O112" s="261">
        <f t="shared" si="6"/>
        <v>2.1666666666666665</v>
      </c>
      <c r="P112" s="251">
        <f t="shared" si="9"/>
        <v>4</v>
      </c>
      <c r="Q112" s="15">
        <f t="shared" si="8"/>
        <v>6</v>
      </c>
      <c r="R112" s="16"/>
      <c r="S112" s="15"/>
      <c r="T112" s="15"/>
      <c r="U112" s="15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2"/>
      <c r="AH112" s="12"/>
      <c r="AI112" s="12"/>
      <c r="AJ112" s="12"/>
    </row>
    <row r="113" spans="1:36" ht="15.75" x14ac:dyDescent="0.25">
      <c r="D113" s="259">
        <v>109</v>
      </c>
      <c r="E113" s="15">
        <v>0</v>
      </c>
      <c r="F113" s="15">
        <v>0</v>
      </c>
      <c r="G113" s="15"/>
      <c r="H113" s="15"/>
      <c r="I113" s="15"/>
      <c r="J113" s="15"/>
      <c r="K113" s="57">
        <v>42844</v>
      </c>
      <c r="L113" s="15" t="b">
        <f>LOOKUP($D113,Table3[Sample Name],Table3[Positive])</f>
        <v>1</v>
      </c>
      <c r="M113" s="15" t="b">
        <f>LOOKUP($D113,Table3[Sample Name],Table3[Disseminated])</f>
        <v>1</v>
      </c>
      <c r="N113" s="15">
        <f t="shared" si="5"/>
        <v>0</v>
      </c>
      <c r="O113" s="261" t="str">
        <f t="shared" si="6"/>
        <v/>
      </c>
      <c r="P113" s="251">
        <f t="shared" si="9"/>
        <v>0</v>
      </c>
      <c r="Q113" s="15">
        <f t="shared" si="8"/>
        <v>0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0"/>
      <c r="AH113" s="10"/>
      <c r="AI113" s="10"/>
      <c r="AJ113" s="10"/>
    </row>
    <row r="114" spans="1:36" ht="15.75" x14ac:dyDescent="0.25">
      <c r="D114" s="257">
        <v>110</v>
      </c>
      <c r="E114" s="15">
        <v>1</v>
      </c>
      <c r="F114" s="15">
        <v>0</v>
      </c>
      <c r="G114" s="15">
        <v>4</v>
      </c>
      <c r="H114" s="15">
        <v>4</v>
      </c>
      <c r="I114" s="15">
        <v>3</v>
      </c>
      <c r="J114" s="15"/>
      <c r="K114" s="57">
        <v>42856</v>
      </c>
      <c r="L114" s="15" t="b">
        <f>LOOKUP($D114,Table3[Sample Name],Table3[Positive])</f>
        <v>1</v>
      </c>
      <c r="M114" s="15" t="b">
        <f>LOOKUP($D114,Table3[Sample Name],Table3[Disseminated])</f>
        <v>1</v>
      </c>
      <c r="N114" s="15">
        <f t="shared" si="5"/>
        <v>2.4</v>
      </c>
      <c r="O114" s="261">
        <f t="shared" si="6"/>
        <v>3</v>
      </c>
      <c r="P114" s="251">
        <f t="shared" si="9"/>
        <v>4</v>
      </c>
      <c r="Q114" s="15">
        <f t="shared" si="8"/>
        <v>4</v>
      </c>
      <c r="R114" s="16"/>
      <c r="S114" s="15"/>
      <c r="T114" s="15"/>
      <c r="U114" s="15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2"/>
      <c r="AH114" s="12"/>
      <c r="AI114" s="12"/>
      <c r="AJ114" s="12"/>
    </row>
    <row r="115" spans="1:36" ht="15.75" x14ac:dyDescent="0.25">
      <c r="D115" s="302">
        <v>111</v>
      </c>
      <c r="E115" s="15">
        <v>0</v>
      </c>
      <c r="F115" s="15">
        <v>0</v>
      </c>
      <c r="G115" s="123">
        <v>4</v>
      </c>
      <c r="H115" s="123"/>
      <c r="I115" s="15"/>
      <c r="J115" s="15"/>
      <c r="K115" s="57">
        <v>42844</v>
      </c>
      <c r="L115" s="15" t="b">
        <f>LOOKUP($D115,Table3[Sample Name],Table3[Positive])</f>
        <v>1</v>
      </c>
      <c r="M115" s="15" t="b">
        <f>LOOKUP($D115,Table3[Sample Name],Table3[Disseminated])</f>
        <v>1</v>
      </c>
      <c r="N115" s="15">
        <f t="shared" si="5"/>
        <v>1.3333333333333333</v>
      </c>
      <c r="O115" s="261">
        <f t="shared" si="6"/>
        <v>4</v>
      </c>
      <c r="P115" s="251">
        <f t="shared" si="9"/>
        <v>4</v>
      </c>
      <c r="Q115" s="15">
        <f t="shared" si="8"/>
        <v>1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0"/>
      <c r="AH115" s="10"/>
      <c r="AI115" s="10"/>
      <c r="AJ115" s="10"/>
    </row>
    <row r="116" spans="1:36" ht="15.75" x14ac:dyDescent="0.25">
      <c r="D116" s="257">
        <v>112</v>
      </c>
      <c r="E116" s="15">
        <v>0</v>
      </c>
      <c r="F116" s="15">
        <v>3</v>
      </c>
      <c r="G116" s="60">
        <v>0</v>
      </c>
      <c r="H116" s="15"/>
      <c r="I116" s="15"/>
      <c r="J116" s="15"/>
      <c r="K116" s="57">
        <v>42849</v>
      </c>
      <c r="L116" s="15" t="b">
        <f>LOOKUP($D116,Table3[Sample Name],Table3[Positive])</f>
        <v>1</v>
      </c>
      <c r="M116" s="15" t="b">
        <f>LOOKUP($D116,Table3[Sample Name],Table3[Disseminated])</f>
        <v>1</v>
      </c>
      <c r="N116" s="15">
        <f t="shared" si="5"/>
        <v>1</v>
      </c>
      <c r="O116" s="261">
        <f t="shared" si="6"/>
        <v>3</v>
      </c>
      <c r="P116" s="251">
        <f t="shared" si="9"/>
        <v>3</v>
      </c>
      <c r="Q116" s="15">
        <f t="shared" si="8"/>
        <v>1</v>
      </c>
      <c r="R116" s="16"/>
      <c r="S116" s="15"/>
      <c r="T116" s="15"/>
      <c r="U116" s="15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2"/>
      <c r="AH116" s="12"/>
      <c r="AI116" s="12"/>
      <c r="AJ116" s="12"/>
    </row>
    <row r="117" spans="1:36" ht="15.75" x14ac:dyDescent="0.25">
      <c r="D117" s="259">
        <v>113</v>
      </c>
      <c r="E117" s="15">
        <v>1</v>
      </c>
      <c r="F117" s="15"/>
      <c r="G117" s="15"/>
      <c r="H117" s="15"/>
      <c r="I117" s="15"/>
      <c r="J117" s="15"/>
      <c r="K117" s="57">
        <v>42842</v>
      </c>
      <c r="L117" s="15" t="b">
        <f>LOOKUP($D117,Table3[Sample Name],Table3[Positive])</f>
        <v>1</v>
      </c>
      <c r="M117" s="15" t="b">
        <f>LOOKUP($D117,Table3[Sample Name],Table3[Disseminated])</f>
        <v>0</v>
      </c>
      <c r="N117" s="15">
        <f t="shared" si="5"/>
        <v>1</v>
      </c>
      <c r="O117" s="261">
        <f t="shared" si="6"/>
        <v>1</v>
      </c>
      <c r="P117" s="251">
        <f t="shared" si="9"/>
        <v>1</v>
      </c>
      <c r="Q117" s="15">
        <f t="shared" si="8"/>
        <v>1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0"/>
      <c r="AH117" s="10"/>
      <c r="AI117" s="10"/>
      <c r="AJ117" s="10"/>
    </row>
    <row r="118" spans="1:36" ht="15.75" x14ac:dyDescent="0.25">
      <c r="D118" s="257">
        <v>114</v>
      </c>
      <c r="E118" s="15">
        <v>0</v>
      </c>
      <c r="F118" s="15">
        <v>1</v>
      </c>
      <c r="G118" s="15"/>
      <c r="H118" s="15"/>
      <c r="I118" s="15"/>
      <c r="J118" s="15"/>
      <c r="K118" s="57">
        <v>42844</v>
      </c>
      <c r="L118" s="15" t="b">
        <f>LOOKUP($D118,Table3[Sample Name],Table3[Positive])</f>
        <v>1</v>
      </c>
      <c r="M118" s="15" t="b">
        <f>LOOKUP($D118,Table3[Sample Name],Table3[Disseminated])</f>
        <v>0</v>
      </c>
      <c r="N118" s="15">
        <f t="shared" si="5"/>
        <v>0.5</v>
      </c>
      <c r="O118" s="261">
        <f t="shared" si="6"/>
        <v>1</v>
      </c>
      <c r="P118" s="251">
        <f t="shared" si="9"/>
        <v>1</v>
      </c>
      <c r="Q118" s="15">
        <f t="shared" si="8"/>
        <v>1</v>
      </c>
      <c r="R118" s="16"/>
      <c r="S118" s="15"/>
      <c r="T118" s="15"/>
      <c r="U118" s="15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2"/>
      <c r="AH118" s="12"/>
      <c r="AI118" s="12"/>
      <c r="AJ118" s="12"/>
    </row>
    <row r="119" spans="1:36" ht="15.75" x14ac:dyDescent="0.25">
      <c r="D119" s="259">
        <v>115</v>
      </c>
      <c r="E119" s="15">
        <v>0</v>
      </c>
      <c r="F119" s="15"/>
      <c r="G119" s="15"/>
      <c r="H119" s="15"/>
      <c r="I119" s="15"/>
      <c r="J119" s="15"/>
      <c r="K119" s="57">
        <v>42844</v>
      </c>
      <c r="L119" s="15" t="b">
        <f>LOOKUP($D119,Table3[Sample Name],Table3[Positive])</f>
        <v>1</v>
      </c>
      <c r="M119" s="15" t="b">
        <f>LOOKUP($D119,Table3[Sample Name],Table3[Disseminated])</f>
        <v>1</v>
      </c>
      <c r="N119" s="15">
        <f t="shared" si="5"/>
        <v>0</v>
      </c>
      <c r="O119" s="261" t="str">
        <f t="shared" si="6"/>
        <v/>
      </c>
      <c r="P119" s="251">
        <f t="shared" si="9"/>
        <v>0</v>
      </c>
      <c r="Q119" s="15">
        <f t="shared" si="8"/>
        <v>0</v>
      </c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0"/>
      <c r="AH119" s="10"/>
      <c r="AI119" s="10"/>
      <c r="AJ119" s="10"/>
    </row>
    <row r="120" spans="1:36" ht="15.75" x14ac:dyDescent="0.25">
      <c r="D120" s="257">
        <v>116</v>
      </c>
      <c r="E120" s="15">
        <v>0</v>
      </c>
      <c r="F120" s="15">
        <v>0</v>
      </c>
      <c r="G120" s="15">
        <v>3</v>
      </c>
      <c r="H120" s="15"/>
      <c r="I120" s="15"/>
      <c r="J120" s="15"/>
      <c r="K120" s="57">
        <v>42849</v>
      </c>
      <c r="L120" s="15" t="b">
        <f>LOOKUP($D120,Table3[Sample Name],Table3[Positive])</f>
        <v>1</v>
      </c>
      <c r="M120" s="15" t="b">
        <f>LOOKUP($D120,Table3[Sample Name],Table3[Disseminated])</f>
        <v>1</v>
      </c>
      <c r="N120" s="15">
        <f t="shared" si="5"/>
        <v>1</v>
      </c>
      <c r="O120" s="261">
        <f t="shared" si="6"/>
        <v>3</v>
      </c>
      <c r="P120" s="251">
        <f t="shared" si="9"/>
        <v>3</v>
      </c>
      <c r="Q120" s="15">
        <f t="shared" si="8"/>
        <v>1</v>
      </c>
      <c r="R120" s="16"/>
      <c r="S120" s="15"/>
      <c r="T120" s="15"/>
      <c r="U120" s="15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2"/>
      <c r="AH120" s="12"/>
      <c r="AI120" s="12"/>
      <c r="AJ120" s="12"/>
    </row>
    <row r="121" spans="1:36" ht="15.75" x14ac:dyDescent="0.25">
      <c r="D121" s="259">
        <v>117</v>
      </c>
      <c r="E121" s="15">
        <v>0</v>
      </c>
      <c r="F121" s="15">
        <v>1</v>
      </c>
      <c r="G121" s="15">
        <v>3</v>
      </c>
      <c r="H121" s="15">
        <v>0</v>
      </c>
      <c r="I121" s="15"/>
      <c r="J121" s="15"/>
      <c r="K121" s="57">
        <v>42851</v>
      </c>
      <c r="L121" s="15" t="b">
        <f>LOOKUP($D121,Table3[Sample Name],Table3[Positive])</f>
        <v>1</v>
      </c>
      <c r="M121" s="15" t="b">
        <f>LOOKUP($D121,Table3[Sample Name],Table3[Disseminated])</f>
        <v>1</v>
      </c>
      <c r="N121" s="15">
        <f t="shared" si="5"/>
        <v>1</v>
      </c>
      <c r="O121" s="261">
        <f t="shared" si="6"/>
        <v>2</v>
      </c>
      <c r="P121" s="251">
        <f t="shared" si="9"/>
        <v>3</v>
      </c>
      <c r="Q121" s="15">
        <f t="shared" si="8"/>
        <v>2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0"/>
      <c r="AH121" s="10"/>
      <c r="AI121" s="10"/>
      <c r="AJ121" s="10"/>
    </row>
    <row r="122" spans="1:36" ht="15.75" x14ac:dyDescent="0.25">
      <c r="D122" s="257">
        <v>118</v>
      </c>
      <c r="E122" s="15">
        <v>2</v>
      </c>
      <c r="F122" s="15"/>
      <c r="G122" s="15"/>
      <c r="H122" s="15"/>
      <c r="I122" s="15"/>
      <c r="J122" s="15"/>
      <c r="K122" s="57">
        <v>42842</v>
      </c>
      <c r="L122" s="15" t="b">
        <f>LOOKUP($D122,Table3[Sample Name],Table3[Positive])</f>
        <v>1</v>
      </c>
      <c r="M122" s="15" t="b">
        <f>LOOKUP($D122,Table3[Sample Name],Table3[Disseminated])</f>
        <v>0</v>
      </c>
      <c r="N122" s="15">
        <f t="shared" si="5"/>
        <v>2</v>
      </c>
      <c r="O122" s="261">
        <f t="shared" si="6"/>
        <v>2</v>
      </c>
      <c r="P122" s="251">
        <f t="shared" si="9"/>
        <v>2</v>
      </c>
      <c r="Q122" s="15">
        <f t="shared" si="8"/>
        <v>1</v>
      </c>
      <c r="R122" s="16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2"/>
      <c r="AH122" s="12"/>
      <c r="AI122" s="12"/>
      <c r="AJ122" s="12"/>
    </row>
    <row r="123" spans="1:36" ht="15.75" x14ac:dyDescent="0.25">
      <c r="D123" s="259">
        <v>119</v>
      </c>
      <c r="E123" s="15">
        <v>0</v>
      </c>
      <c r="F123" s="15">
        <v>0</v>
      </c>
      <c r="G123" s="15">
        <v>4</v>
      </c>
      <c r="H123" s="15">
        <v>1</v>
      </c>
      <c r="I123" s="15"/>
      <c r="J123" s="15"/>
      <c r="K123" s="57">
        <v>42851</v>
      </c>
      <c r="L123" s="15" t="b">
        <f>LOOKUP($D123,Table3[Sample Name],Table3[Positive])</f>
        <v>1</v>
      </c>
      <c r="M123" s="15" t="b">
        <f>LOOKUP($D123,Table3[Sample Name],Table3[Disseminated])</f>
        <v>1</v>
      </c>
      <c r="N123" s="15">
        <f t="shared" si="5"/>
        <v>1.25</v>
      </c>
      <c r="O123" s="261">
        <f t="shared" si="6"/>
        <v>2.5</v>
      </c>
      <c r="P123" s="251">
        <f t="shared" si="9"/>
        <v>4</v>
      </c>
      <c r="Q123" s="15">
        <f t="shared" si="8"/>
        <v>2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0"/>
      <c r="AH123" s="10"/>
      <c r="AI123" s="10"/>
      <c r="AJ123" s="10"/>
    </row>
    <row r="124" spans="1:36" s="52" customFormat="1" ht="16.5" thickBot="1" x14ac:dyDescent="0.3">
      <c r="D124" s="265">
        <v>120</v>
      </c>
      <c r="E124" s="246">
        <v>2</v>
      </c>
      <c r="F124" s="246">
        <v>1</v>
      </c>
      <c r="G124" s="246"/>
      <c r="H124" s="246"/>
      <c r="I124" s="246"/>
      <c r="J124" s="246"/>
      <c r="K124" s="247">
        <v>42846</v>
      </c>
      <c r="L124" s="15" t="b">
        <f>LOOKUP($D124,Table3[Sample Name],Table3[Positive])</f>
        <v>1</v>
      </c>
      <c r="M124" s="15" t="b">
        <f>LOOKUP($D124,Table3[Sample Name],Table3[Disseminated])</f>
        <v>1</v>
      </c>
      <c r="N124" s="15">
        <f t="shared" si="5"/>
        <v>1.5</v>
      </c>
      <c r="O124" s="261">
        <f t="shared" si="6"/>
        <v>1.5</v>
      </c>
      <c r="P124" s="251">
        <f t="shared" si="9"/>
        <v>2</v>
      </c>
      <c r="Q124" s="15">
        <f t="shared" si="8"/>
        <v>2</v>
      </c>
      <c r="R124" s="50"/>
      <c r="S124" s="15"/>
      <c r="T124" s="15"/>
      <c r="U124" s="15"/>
      <c r="V124" s="15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1"/>
      <c r="AH124" s="51"/>
      <c r="AI124" s="51"/>
      <c r="AJ124" s="51"/>
    </row>
    <row r="125" spans="1:36" s="43" customFormat="1" ht="32.25" thickTop="1" x14ac:dyDescent="0.25">
      <c r="D125" s="272" t="s">
        <v>108</v>
      </c>
      <c r="E125" s="248">
        <f t="shared" ref="E125:J125" si="10">AVERAGE(E5:E124)</f>
        <v>0.49579831932773111</v>
      </c>
      <c r="F125" s="248">
        <f t="shared" si="10"/>
        <v>1.1818181818181819</v>
      </c>
      <c r="G125" s="248">
        <f t="shared" si="10"/>
        <v>2</v>
      </c>
      <c r="H125" s="248">
        <f t="shared" si="10"/>
        <v>2.1111111111111112</v>
      </c>
      <c r="I125" s="248">
        <f t="shared" si="10"/>
        <v>2.1</v>
      </c>
      <c r="J125" s="248">
        <f t="shared" si="10"/>
        <v>1.25</v>
      </c>
      <c r="K125" s="250" t="s">
        <v>109</v>
      </c>
      <c r="L125" s="16"/>
      <c r="M125" s="16"/>
      <c r="N125" s="16"/>
      <c r="O125" s="229"/>
      <c r="P125" s="251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53"/>
      <c r="AH125" s="53"/>
      <c r="AI125" s="53"/>
      <c r="AJ125" s="53"/>
    </row>
    <row r="126" spans="1:36" s="43" customFormat="1" ht="28.5" customHeight="1" thickBot="1" x14ac:dyDescent="0.3">
      <c r="D126" s="262" t="s">
        <v>111</v>
      </c>
      <c r="E126" s="273">
        <f t="shared" ref="E126:J126" si="11">IFERROR(AVERAGEIF(E5:E124,"&gt;"&amp;0,E5:E124),"N/A")</f>
        <v>1.5945945945945945</v>
      </c>
      <c r="F126" s="273">
        <f t="shared" si="11"/>
        <v>2.2749999999999999</v>
      </c>
      <c r="G126" s="273">
        <f t="shared" si="11"/>
        <v>2.7647058823529411</v>
      </c>
      <c r="H126" s="273">
        <f t="shared" si="11"/>
        <v>2.7142857142857144</v>
      </c>
      <c r="I126" s="273">
        <f t="shared" si="11"/>
        <v>3</v>
      </c>
      <c r="J126" s="273">
        <f t="shared" si="11"/>
        <v>2.5</v>
      </c>
      <c r="K126" s="375" t="s">
        <v>112</v>
      </c>
      <c r="L126" s="376"/>
      <c r="M126" s="263" t="e">
        <f>AVERAGE(M5:M124)</f>
        <v>#DIV/0!</v>
      </c>
      <c r="N126" s="263"/>
      <c r="O126" s="231"/>
      <c r="P126" s="251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53"/>
      <c r="AG126" s="53"/>
      <c r="AH126" s="53"/>
      <c r="AI126" s="53"/>
      <c r="AJ126" s="53"/>
    </row>
    <row r="127" spans="1:36" s="43" customFormat="1" ht="28.5" customHeight="1" x14ac:dyDescent="0.25">
      <c r="B127" s="300"/>
      <c r="C127" s="248"/>
      <c r="D127" s="248"/>
      <c r="E127" s="248"/>
      <c r="F127" s="248"/>
      <c r="G127" s="248"/>
      <c r="H127" s="248"/>
      <c r="I127" s="301"/>
      <c r="J127" s="282"/>
      <c r="K127" s="16"/>
      <c r="L127" s="16"/>
      <c r="N127" s="251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53"/>
      <c r="AE127" s="53"/>
      <c r="AF127" s="53"/>
      <c r="AG127" s="53"/>
      <c r="AH127" s="53"/>
    </row>
    <row r="128" spans="1:36" s="43" customFormat="1" ht="28.5" customHeight="1" thickBot="1" x14ac:dyDescent="0.3">
      <c r="A128"/>
      <c r="B128" s="370" t="s">
        <v>126</v>
      </c>
      <c r="C128" s="370"/>
      <c r="D128" s="147"/>
      <c r="E128" s="131">
        <v>42838</v>
      </c>
      <c r="F128" s="131">
        <v>42843</v>
      </c>
      <c r="G128" s="131">
        <v>42846</v>
      </c>
      <c r="H128" s="131">
        <v>42850</v>
      </c>
      <c r="I128" s="131">
        <v>42853</v>
      </c>
      <c r="J128" s="131">
        <v>42857</v>
      </c>
      <c r="K128" s="131"/>
      <c r="L128" s="131"/>
      <c r="M128" s="131"/>
      <c r="N128" s="131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53"/>
      <c r="AE128" s="53"/>
      <c r="AF128" s="53"/>
      <c r="AG128" s="53"/>
      <c r="AH128" s="53"/>
    </row>
    <row r="129" spans="1:34" s="43" customFormat="1" ht="15.75" x14ac:dyDescent="0.25">
      <c r="A129" s="360" t="s">
        <v>79</v>
      </c>
      <c r="B129" s="288" t="s">
        <v>16</v>
      </c>
      <c r="C129" s="291">
        <f>COUNTIF($L$5:$L$124,FALSE)</f>
        <v>26</v>
      </c>
      <c r="D129" s="227" t="s">
        <v>99</v>
      </c>
      <c r="E129" s="227">
        <f t="shared" ref="E129:J129" si="12">SUMPRODUCT(--(E$5:E$124&gt;0),--($L$5:$L$124=FALSE))</f>
        <v>8</v>
      </c>
      <c r="F129" s="227">
        <f t="shared" si="12"/>
        <v>11</v>
      </c>
      <c r="G129" s="227">
        <f t="shared" si="12"/>
        <v>8</v>
      </c>
      <c r="H129" s="227">
        <f t="shared" si="12"/>
        <v>2</v>
      </c>
      <c r="I129" s="227">
        <f t="shared" si="12"/>
        <v>1</v>
      </c>
      <c r="J129" s="227">
        <f t="shared" si="12"/>
        <v>0</v>
      </c>
      <c r="K129" s="227"/>
      <c r="L129" s="227"/>
      <c r="M129" s="227"/>
      <c r="N129" s="227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53"/>
      <c r="AE129" s="53"/>
      <c r="AF129" s="53"/>
      <c r="AG129" s="53"/>
      <c r="AH129" s="53"/>
    </row>
    <row r="130" spans="1:34" s="43" customFormat="1" ht="15.75" x14ac:dyDescent="0.25">
      <c r="A130" s="361"/>
      <c r="B130" s="289" t="s">
        <v>123</v>
      </c>
      <c r="C130" s="292">
        <f>SUMPRODUCT(--($L$5:$L$124=FALSE),--($P$5:$P$124&gt;0))</f>
        <v>16</v>
      </c>
      <c r="D130" s="43" t="s">
        <v>102</v>
      </c>
      <c r="E130" s="43" t="e">
        <f>E129/INDEX('Aegypti Mortality'!$A$3:$Z$52,MATCH("Uninfected",'Aegypti Mortality'!$A$3:$A$52,0)+1,MATCH(E$4,$A$3:$Z$3,0))%</f>
        <v>#N/A</v>
      </c>
      <c r="F130" s="43" t="e">
        <f>F129/INDEX('Aegypti Mortality'!$A$3:$Z$52,MATCH("Uninfected",'Aegypti Mortality'!$A$3:$A$52,0)+1,MATCH(F$4,$A$3:$Z$3,0))%</f>
        <v>#N/A</v>
      </c>
      <c r="G130" s="43" t="e">
        <f>G129/INDEX('Aegypti Mortality'!$A$3:$Z$52,MATCH("Uninfected",'Aegypti Mortality'!$A$3:$A$52,0)+1,MATCH(G$4,$A$3:$Z$3,0))%</f>
        <v>#N/A</v>
      </c>
      <c r="H130" s="43" t="e">
        <f>H129/INDEX('Aegypti Mortality'!$A$3:$Z$52,MATCH("Uninfected",'Aegypti Mortality'!$A$3:$A$52,0)+1,MATCH(H$4,$A$3:$Z$3,0))%</f>
        <v>#N/A</v>
      </c>
      <c r="I130" s="43" t="e">
        <f>I129/INDEX('Aegypti Mortality'!$A$3:$Z$52,MATCH("Uninfected",'Aegypti Mortality'!$A$3:$A$52,0)+1,MATCH(I$4,$A$3:$Z$3,0))%</f>
        <v>#N/A</v>
      </c>
      <c r="J130" s="43" t="e">
        <f>J129/INDEX('Aegypti Mortality'!$A$3:$Z$52,MATCH("Uninfected",'Aegypti Mortality'!$A$3:$A$52,0)+1,MATCH(J$4,$A$3:$Z$3,0))%</f>
        <v>#N/A</v>
      </c>
      <c r="N130" s="229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53"/>
      <c r="AE130" s="53"/>
      <c r="AF130" s="53"/>
      <c r="AG130" s="53"/>
    </row>
    <row r="131" spans="1:34" ht="15.75" x14ac:dyDescent="0.25">
      <c r="A131" s="361"/>
      <c r="B131" s="289" t="s">
        <v>124</v>
      </c>
      <c r="C131" s="286">
        <f>C129-C130</f>
        <v>10</v>
      </c>
      <c r="D131" s="43" t="s">
        <v>100</v>
      </c>
      <c r="E131" s="43" t="e">
        <f>SUMPRODUCT(E$5:E$124,--($L$5:$L$124=FALSE))/INDEX('Aegypti Mortality'!$A$3:$Z$52,MATCH("Uninfected",'Aegypti Mortality'!$A$3:$A$52,0)+1,MATCH(E$4,$A$3:$Z$3,0))</f>
        <v>#N/A</v>
      </c>
      <c r="F131" s="43" t="e">
        <f>SUMPRODUCT(F$5:F$124,--($L$5:$L$124=FALSE))/INDEX('Aegypti Mortality'!$A$3:$Z$52,MATCH("Uninfected",'Aegypti Mortality'!$A$3:$A$52,0)+1,MATCH(F$4,$A$3:$Z$3,0))</f>
        <v>#N/A</v>
      </c>
      <c r="G131" s="43" t="e">
        <f>SUMPRODUCT(G$5:G$124,--($L$5:$L$124=FALSE))/INDEX('Aegypti Mortality'!$A$3:$Z$52,MATCH("Uninfected",'Aegypti Mortality'!$A$3:$A$52,0)+1,MATCH(G$4,$A$3:$Z$3,0))</f>
        <v>#N/A</v>
      </c>
      <c r="H131" s="43" t="e">
        <f>SUMPRODUCT(H$5:H$124,--($L$5:$L$124=FALSE))/INDEX('Aegypti Mortality'!$A$3:$Z$52,MATCH("Uninfected",'Aegypti Mortality'!$A$3:$A$52,0)+1,MATCH(H$4,$A$3:$Z$3,0))</f>
        <v>#N/A</v>
      </c>
      <c r="I131" s="43" t="e">
        <f>SUMPRODUCT(I$5:I$124,--($L$5:$L$124=FALSE))/INDEX('Aegypti Mortality'!$A$3:$Z$52,MATCH("Uninfected",'Aegypti Mortality'!$A$3:$A$52,0)+1,MATCH(I$4,$A$3:$Z$3,0))</f>
        <v>#N/A</v>
      </c>
      <c r="J131" s="43" t="e">
        <f>SUMPRODUCT(J$5:J$124,--($L$5:$L$124=FALSE))/INDEX('Aegypti Mortality'!$A$3:$Z$52,MATCH("Uninfected",'Aegypti Mortality'!$A$3:$A$52,0)+1,MATCH(J$4,$A$3:$Z$3,0))</f>
        <v>#N/A</v>
      </c>
      <c r="K131" s="43"/>
      <c r="L131" s="43"/>
      <c r="M131" s="43"/>
      <c r="N131" s="43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0"/>
      <c r="AE131" s="10"/>
      <c r="AF131" s="10"/>
      <c r="AG131" s="10"/>
    </row>
    <row r="132" spans="1:34" ht="15.75" x14ac:dyDescent="0.25">
      <c r="A132" s="361"/>
      <c r="B132" s="289"/>
      <c r="C132" s="286"/>
      <c r="D132" s="153" t="s">
        <v>130</v>
      </c>
      <c r="E132" s="43">
        <f t="shared" ref="E132:J132" si="13">AVERAGEIFS(E$5:E$124,E$5:E$124,"&gt;"&amp;0,$L$5:$L$124,FALSE)</f>
        <v>1.625</v>
      </c>
      <c r="F132" s="43">
        <f t="shared" si="13"/>
        <v>2.5454545454545454</v>
      </c>
      <c r="G132" s="43">
        <f t="shared" si="13"/>
        <v>3.125</v>
      </c>
      <c r="H132" s="43">
        <f t="shared" si="13"/>
        <v>2.5</v>
      </c>
      <c r="I132" s="43">
        <f t="shared" si="13"/>
        <v>4</v>
      </c>
      <c r="J132" s="43" t="e">
        <f t="shared" si="13"/>
        <v>#DIV/0!</v>
      </c>
      <c r="K132" s="43"/>
      <c r="L132" s="43"/>
      <c r="M132" s="43"/>
      <c r="N132" s="43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2"/>
      <c r="AE132" s="12"/>
      <c r="AF132" s="12"/>
      <c r="AG132" s="12"/>
    </row>
    <row r="133" spans="1:34" ht="16.5" thickBot="1" x14ac:dyDescent="0.3">
      <c r="A133" s="362"/>
      <c r="B133" s="290" t="s">
        <v>125</v>
      </c>
      <c r="C133" s="293">
        <f>C130/C129%</f>
        <v>61.538461538461533</v>
      </c>
      <c r="D133" s="230" t="s">
        <v>103</v>
      </c>
      <c r="E133" s="230">
        <f t="array" ref="E133">SUMPRODUCT(--($L$5:$L$124=FALSE),--($P$5:$P$124&gt;0),IFERROR(E$5:E$124/$P$5:$P$124,""))/E$129</f>
        <v>0.71875</v>
      </c>
      <c r="F133" s="230">
        <f t="array" ref="F133">SUMPRODUCT(--($L$5:$L$124=FALSE),--($P$5:$P$124&gt;0),IFERROR(F$5:F$124/$P$5:$P$124,""))/F$129</f>
        <v>0.85606060606060619</v>
      </c>
      <c r="G133" s="230">
        <f t="array" ref="G133">SUMPRODUCT(--($L$5:$L$124=FALSE),--($P$5:$P$124&gt;0),IFERROR(G$5:G$124/$P$5:$P$124,""))/G$129</f>
        <v>0.84375</v>
      </c>
      <c r="H133" s="230">
        <f t="array" ref="H133">SUMPRODUCT(--($L$5:$L$124=FALSE),--($P$5:$P$124&gt;0),IFERROR(H$5:H$124/$P$5:$P$124,""))/H$129</f>
        <v>0.625</v>
      </c>
      <c r="I133" s="230">
        <f t="array" ref="I133">SUMPRODUCT(--($L$5:$L$124=FALSE),--($P$5:$P$124&gt;0),IFERROR(I$5:I$124/$P$5:$P$124,""))/I$129</f>
        <v>1</v>
      </c>
      <c r="J133" s="230" t="e">
        <f t="array" ref="J133">SUMPRODUCT(--($L$5:$L$124=FALSE),--($P$5:$P$124&gt;0),IFERROR(J$5:J$124/$P$5:$P$124,""))/J$129</f>
        <v>#DIV/0!</v>
      </c>
      <c r="K133" s="230"/>
      <c r="L133" s="230"/>
      <c r="M133" s="230"/>
      <c r="N133" s="231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0"/>
      <c r="AE133" s="10"/>
      <c r="AF133" s="10"/>
      <c r="AG133" s="10"/>
    </row>
    <row r="134" spans="1:34" ht="15.75" x14ac:dyDescent="0.25">
      <c r="A134" s="360" t="s">
        <v>54</v>
      </c>
      <c r="B134" s="288" t="s">
        <v>16</v>
      </c>
      <c r="C134" s="291">
        <f>COUNTIF($L$5:$L$124,TRUE)</f>
        <v>94</v>
      </c>
      <c r="D134" s="227" t="s">
        <v>99</v>
      </c>
      <c r="E134" s="227">
        <f t="shared" ref="E134:J134" si="14">SUMPRODUCT(--(E$5:E$124&gt;0),--($L$5:$L$124=TRUE))</f>
        <v>29</v>
      </c>
      <c r="F134" s="227">
        <f t="shared" si="14"/>
        <v>29</v>
      </c>
      <c r="G134" s="227">
        <f t="shared" si="14"/>
        <v>26</v>
      </c>
      <c r="H134" s="227">
        <f t="shared" si="14"/>
        <v>12</v>
      </c>
      <c r="I134" s="227">
        <f t="shared" si="14"/>
        <v>6</v>
      </c>
      <c r="J134" s="227">
        <f t="shared" si="14"/>
        <v>2</v>
      </c>
      <c r="K134" s="227"/>
      <c r="L134" s="227"/>
      <c r="M134" s="227"/>
      <c r="N134" s="227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2"/>
      <c r="AE134" s="12"/>
      <c r="AF134" s="12"/>
      <c r="AG134" s="12"/>
    </row>
    <row r="135" spans="1:34" ht="15.75" x14ac:dyDescent="0.25">
      <c r="A135" s="361"/>
      <c r="B135" s="289" t="s">
        <v>123</v>
      </c>
      <c r="C135" s="292">
        <f>SUMPRODUCT(--($L$5:$L$124=TRUE),--($P$5:$P$124&gt;0))</f>
        <v>61</v>
      </c>
      <c r="D135" s="43" t="s">
        <v>102</v>
      </c>
      <c r="E135" s="43" t="e">
        <f>E134/INDEX('Aegypti Mortality'!$A$3:$Z$52,MATCH("Infected",'Aegypti Mortality'!$A$3:$A$52,0)+1,MATCH(E$4,$A$3:$Z$3,0))%</f>
        <v>#N/A</v>
      </c>
      <c r="F135" s="43" t="e">
        <f>F134/INDEX('Aegypti Mortality'!$A$3:$Z$52,MATCH("Infected",'Aegypti Mortality'!$A$3:$A$52,0)+1,MATCH(F$4,$A$3:$Z$3,0))%</f>
        <v>#N/A</v>
      </c>
      <c r="G135" s="43" t="e">
        <f>G134/INDEX('Aegypti Mortality'!$A$3:$Z$52,MATCH("Infected",'Aegypti Mortality'!$A$3:$A$52,0)+1,MATCH(G$4,$A$3:$Z$3,0))%</f>
        <v>#N/A</v>
      </c>
      <c r="H135" s="43" t="e">
        <f>H134/INDEX('Aegypti Mortality'!$A$3:$Z$52,MATCH("Infected",'Aegypti Mortality'!$A$3:$A$52,0)+1,MATCH(H$4,$A$3:$Z$3,0))%</f>
        <v>#N/A</v>
      </c>
      <c r="I135" s="43" t="e">
        <f>I134/INDEX('Aegypti Mortality'!$A$3:$Z$52,MATCH("Infected",'Aegypti Mortality'!$A$3:$A$52,0)+1,MATCH(I$4,$A$3:$Z$3,0))%</f>
        <v>#N/A</v>
      </c>
      <c r="J135" s="43" t="e">
        <f>J134/INDEX('Aegypti Mortality'!$A$3:$Z$52,MATCH("Infected",'Aegypti Mortality'!$A$3:$A$52,0)+1,MATCH(J$4,$A$3:$Z$3,0))%</f>
        <v>#N/A</v>
      </c>
      <c r="K135" s="43"/>
      <c r="L135" s="43"/>
      <c r="M135" s="43"/>
      <c r="N135" s="229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0"/>
      <c r="AE135" s="10"/>
      <c r="AF135" s="10"/>
      <c r="AG135" s="10"/>
    </row>
    <row r="136" spans="1:34" ht="15.75" x14ac:dyDescent="0.25">
      <c r="A136" s="361"/>
      <c r="B136" s="289" t="s">
        <v>124</v>
      </c>
      <c r="C136" s="286">
        <f>C134-C135</f>
        <v>33</v>
      </c>
      <c r="D136" s="43" t="s">
        <v>100</v>
      </c>
      <c r="E136" s="43" t="e">
        <f>SUMPRODUCT(E$5:E$124,--($L$5:$L$124=TRUE))/INDEX('Aegypti Mortality'!$A$3:$Z$52,MATCH("Infected",'Aegypti Mortality'!$A$3:$A$52,0)+1,MATCH(E$4,$A$3:$Z$3,0))</f>
        <v>#N/A</v>
      </c>
      <c r="F136" s="43" t="e">
        <f>SUMPRODUCT(F$5:F$124,--($L$5:$L$124=TRUE))/INDEX('Aegypti Mortality'!$A$3:$Z$52,MATCH("Infected",'Aegypti Mortality'!$A$3:$A$52,0)+1,MATCH(F$4,$A$3:$Z$3,0))</f>
        <v>#N/A</v>
      </c>
      <c r="G136" s="43" t="e">
        <f>SUMPRODUCT(G$5:G$124,--($L$5:$L$124=TRUE))/INDEX('Aegypti Mortality'!$A$3:$Z$52,MATCH("Infected",'Aegypti Mortality'!$A$3:$A$52,0)+1,MATCH(G$4,$A$3:$Z$3,0))</f>
        <v>#N/A</v>
      </c>
      <c r="H136" s="43" t="e">
        <f>SUMPRODUCT(H$5:H$124,--($L$5:$L$124=TRUE))/INDEX('Aegypti Mortality'!$A$3:$Z$52,MATCH("Infected",'Aegypti Mortality'!$A$3:$A$52,0)+1,MATCH(H$4,$A$3:$Z$3,0))</f>
        <v>#N/A</v>
      </c>
      <c r="I136" s="43" t="e">
        <f>SUMPRODUCT(I$5:I$124,--($L$5:$L$124=TRUE))/INDEX('Aegypti Mortality'!$A$3:$Z$52,MATCH("Infected",'Aegypti Mortality'!$A$3:$A$52,0)+1,MATCH(I$4,$A$3:$Z$3,0))</f>
        <v>#N/A</v>
      </c>
      <c r="J136" s="43" t="e">
        <f>SUMPRODUCT(J$5:J$124,--($L$5:$L$124=TRUE))/INDEX('Aegypti Mortality'!$A$3:$Z$52,MATCH("Infected",'Aegypti Mortality'!$A$3:$A$52,0)+1,MATCH(J$4,$A$3:$Z$3,0))</f>
        <v>#N/A</v>
      </c>
      <c r="K136" s="43"/>
      <c r="L136" s="43"/>
      <c r="M136" s="43"/>
      <c r="N136" s="229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2"/>
      <c r="AE136" s="12"/>
      <c r="AF136" s="12"/>
      <c r="AG136" s="12"/>
    </row>
    <row r="137" spans="1:34" ht="15.75" x14ac:dyDescent="0.25">
      <c r="A137" s="361"/>
      <c r="B137" s="289"/>
      <c r="C137" s="286"/>
      <c r="D137" s="153" t="s">
        <v>130</v>
      </c>
      <c r="E137" s="43">
        <f t="shared" ref="E137:J137" si="15">AVERAGEIFS(E$5:E$124,E$5:E$124,"&gt;"&amp;0,$L$5:$L$124,TRUE)</f>
        <v>1.5862068965517242</v>
      </c>
      <c r="F137" s="43">
        <f t="shared" si="15"/>
        <v>2.1724137931034484</v>
      </c>
      <c r="G137" s="43">
        <f t="shared" si="15"/>
        <v>2.6538461538461537</v>
      </c>
      <c r="H137" s="43">
        <f t="shared" si="15"/>
        <v>2.75</v>
      </c>
      <c r="I137" s="43">
        <f t="shared" si="15"/>
        <v>2.8333333333333335</v>
      </c>
      <c r="J137" s="43">
        <f t="shared" si="15"/>
        <v>2.5</v>
      </c>
      <c r="K137" s="43"/>
      <c r="L137" s="43"/>
      <c r="M137" s="43"/>
      <c r="N137" s="229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0"/>
      <c r="AE137" s="10"/>
      <c r="AF137" s="10"/>
      <c r="AG137" s="10"/>
    </row>
    <row r="138" spans="1:34" ht="16.5" thickBot="1" x14ac:dyDescent="0.3">
      <c r="A138" s="362"/>
      <c r="B138" s="290" t="s">
        <v>125</v>
      </c>
      <c r="C138" s="293">
        <f>C135/C134%</f>
        <v>64.893617021276597</v>
      </c>
      <c r="D138" s="230" t="s">
        <v>103</v>
      </c>
      <c r="E138" s="230">
        <f t="array" ref="E138">SUMPRODUCT(--($L$5:$L$124=TRUE),--($P$5:$P$124&gt;0),IFERROR(E$5:E$124/$P$5:$P$124,""))/E$134</f>
        <v>0.85632183908045978</v>
      </c>
      <c r="F138" s="230">
        <f t="array" ref="F138">SUMPRODUCT(--($L$5:$L$124=TRUE),--($P$5:$P$124&gt;0),IFERROR(F$5:F$124/$P$5:$P$124,""))/F$134</f>
        <v>0.82471264367816088</v>
      </c>
      <c r="G138" s="230">
        <f t="array" ref="G138">SUMPRODUCT(--($L$5:$L$124=TRUE),--($P$5:$P$124&gt;0),IFERROR(G$5:G$124/$P$5:$P$124,""))/G$134</f>
        <v>0.8685897435897435</v>
      </c>
      <c r="H138" s="230">
        <f t="array" ref="H138">SUMPRODUCT(--($L$5:$L$124=TRUE),--($P$5:$P$124&gt;0),IFERROR(H$5:H$124/$P$5:$P$124,""))/H$134</f>
        <v>0.90972222222222221</v>
      </c>
      <c r="I138" s="230">
        <f t="array" ref="I138">SUMPRODUCT(--($L$5:$L$124=TRUE),--($P$5:$P$124&gt;0),IFERROR(I$5:I$124/$P$5:$P$124,""))/I$134</f>
        <v>0.86111111111111105</v>
      </c>
      <c r="J138" s="230">
        <f t="array" ref="J138">SUMPRODUCT(--($L$5:$L$124=TRUE),--($P$5:$P$124&gt;0),IFERROR(J$5:J$124/$P$5:$P$124,""))/J$134</f>
        <v>0.75</v>
      </c>
      <c r="K138" s="230"/>
      <c r="L138" s="230"/>
      <c r="M138" s="230"/>
      <c r="N138" s="231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2"/>
      <c r="AE138" s="12"/>
      <c r="AF138" s="12"/>
      <c r="AG138" s="12"/>
    </row>
    <row r="139" spans="1:34" ht="15.75" x14ac:dyDescent="0.25">
      <c r="A139" s="360" t="s">
        <v>88</v>
      </c>
      <c r="B139" s="288" t="s">
        <v>16</v>
      </c>
      <c r="C139" s="291">
        <f>SUMPRODUCT(--($L$5:$L$124=TRUE),--($M$5:$M$124=FALSE))</f>
        <v>21</v>
      </c>
      <c r="D139" s="227" t="s">
        <v>99</v>
      </c>
      <c r="E139" s="227">
        <f t="shared" ref="E139:J139" si="16">SUMPRODUCT(--(E$5:E$124&gt;0),--($L$5:$L$124=TRUE),--($M$5:$M$124=FALSE))</f>
        <v>12</v>
      </c>
      <c r="F139" s="227">
        <f t="shared" si="16"/>
        <v>3</v>
      </c>
      <c r="G139" s="227">
        <f t="shared" si="16"/>
        <v>3</v>
      </c>
      <c r="H139" s="227">
        <f t="shared" si="16"/>
        <v>2</v>
      </c>
      <c r="I139" s="227">
        <f t="shared" si="16"/>
        <v>1</v>
      </c>
      <c r="J139" s="227">
        <f t="shared" si="16"/>
        <v>1</v>
      </c>
      <c r="K139" s="227"/>
      <c r="L139" s="227"/>
      <c r="M139" s="227"/>
      <c r="N139" s="228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0"/>
      <c r="AE139" s="10"/>
      <c r="AF139" s="10"/>
      <c r="AG139" s="10"/>
    </row>
    <row r="140" spans="1:34" ht="15.75" x14ac:dyDescent="0.25">
      <c r="A140" s="361"/>
      <c r="B140" s="289" t="s">
        <v>123</v>
      </c>
      <c r="C140" s="292">
        <f>SUMPRODUCT(--($P$5:$P$124&gt;0),--($L$5:$L$124=TRUE),--($M$5:$M$124=FALSE))</f>
        <v>14</v>
      </c>
      <c r="D140" s="43" t="s">
        <v>102</v>
      </c>
      <c r="E140" s="43" t="e">
        <f>E139/INDEX('Aegypti Mortality'!$A$3:$Z$52,MATCH("Infected + NOT Disseminated",'Aegypti Mortality'!$A$3:$A$52,0)+1,MATCH(E$4,$A$3:$Z$3,0))%</f>
        <v>#N/A</v>
      </c>
      <c r="F140" s="43" t="e">
        <f>F139/INDEX('Aegypti Mortality'!$A$3:$Z$52,MATCH("Infected + NOT Disseminated",'Aegypti Mortality'!$A$3:$A$52,0)+1,MATCH(F$4,$A$3:$Z$3,0))%</f>
        <v>#N/A</v>
      </c>
      <c r="G140" s="43" t="e">
        <f>G139/INDEX('Aegypti Mortality'!$A$3:$Z$52,MATCH("Infected + NOT Disseminated",'Aegypti Mortality'!$A$3:$A$52,0)+1,MATCH(G$4,$A$3:$Z$3,0))%</f>
        <v>#N/A</v>
      </c>
      <c r="H140" s="43" t="e">
        <f>H139/INDEX('Aegypti Mortality'!$A$3:$Z$52,MATCH("Infected + NOT Disseminated",'Aegypti Mortality'!$A$3:$A$52,0)+1,MATCH(H$4,$A$3:$Z$3,0))%</f>
        <v>#N/A</v>
      </c>
      <c r="I140" s="43" t="e">
        <f>I139/INDEX('Aegypti Mortality'!$A$3:$Z$52,MATCH("Infected + NOT Disseminated",'Aegypti Mortality'!$A$3:$A$52,0)+1,MATCH(I$4,$A$3:$Z$3,0))%</f>
        <v>#N/A</v>
      </c>
      <c r="J140" s="43" t="e">
        <f>J139/INDEX('Aegypti Mortality'!$A$3:$Z$52,MATCH("Infected + NOT Disseminated",'Aegypti Mortality'!$A$3:$A$52,0)+1,MATCH(J$4,$A$3:$Z$3,0))%</f>
        <v>#N/A</v>
      </c>
      <c r="K140" s="299"/>
      <c r="L140" s="43"/>
      <c r="M140" s="43"/>
      <c r="N140" s="229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2"/>
      <c r="AE140" s="12"/>
      <c r="AF140" s="12"/>
      <c r="AG140" s="12"/>
    </row>
    <row r="141" spans="1:34" ht="15.75" x14ac:dyDescent="0.25">
      <c r="A141" s="361"/>
      <c r="B141" s="289" t="s">
        <v>124</v>
      </c>
      <c r="C141" s="286">
        <f>C139-C140</f>
        <v>7</v>
      </c>
      <c r="D141" s="43" t="s">
        <v>100</v>
      </c>
      <c r="E141" s="43" t="e">
        <f>SUMPRODUCT(E$5:E$124,--($L$5:$L$124=TRUE),--($M$5:$M$124=FALSE))/INDEX('Aegypti Mortality'!$A$3:$Z$52,MATCH("Infected + NOT Disseminated",'Aegypti Mortality'!$A$3:$A$52,0)+1,MATCH(E$4,$A$3:$Z$3,0))</f>
        <v>#N/A</v>
      </c>
      <c r="F141" s="43" t="e">
        <f>SUMPRODUCT(F$5:F$124,--($L$5:$L$124=TRUE),--($M$5:$M$124=FALSE))/INDEX('Aegypti Mortality'!$A$3:$Z$52,MATCH("Infected + NOT Disseminated",'Aegypti Mortality'!$A$3:$A$52,0)+1,MATCH(F$4,$A$3:$Z$3,0))</f>
        <v>#N/A</v>
      </c>
      <c r="G141" s="43" t="e">
        <f>SUMPRODUCT(G$5:G$124,--($L$5:$L$124=TRUE),--($M$5:$M$124=FALSE))/INDEX('Aegypti Mortality'!$A$3:$Z$52,MATCH("Infected + NOT Disseminated",'Aegypti Mortality'!$A$3:$A$52,0)+1,MATCH(G$4,$A$3:$Z$3,0))</f>
        <v>#N/A</v>
      </c>
      <c r="H141" s="43" t="e">
        <f>SUMPRODUCT(H$5:H$124,--($L$5:$L$124=TRUE),--($M$5:$M$124=FALSE))/INDEX('Aegypti Mortality'!$A$3:$Z$52,MATCH("Infected + NOT Disseminated",'Aegypti Mortality'!$A$3:$A$52,0)+1,MATCH(H$4,$A$3:$Z$3,0))</f>
        <v>#N/A</v>
      </c>
      <c r="I141" s="43" t="e">
        <f>SUMPRODUCT(I$5:I$124,--($L$5:$L$124=TRUE),--($M$5:$M$124=FALSE))/INDEX('Aegypti Mortality'!$A$3:$Z$52,MATCH("Infected + NOT Disseminated",'Aegypti Mortality'!$A$3:$A$52,0)+1,MATCH(I$4,$A$3:$Z$3,0))</f>
        <v>#N/A</v>
      </c>
      <c r="J141" s="43" t="e">
        <f>SUMPRODUCT(J$5:J$124,--($L$5:$L$124=TRUE),--($M$5:$M$124=FALSE))/INDEX('Aegypti Mortality'!$A$3:$Z$52,MATCH("Infected + NOT Disseminated",'Aegypti Mortality'!$A$3:$A$52,0)+1,MATCH(J$4,$A$3:$Z$3,0))</f>
        <v>#N/A</v>
      </c>
      <c r="K141" s="299"/>
      <c r="L141" s="43"/>
      <c r="M141" s="43"/>
      <c r="N141" s="229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0"/>
      <c r="AE141" s="10"/>
      <c r="AF141" s="10"/>
      <c r="AG141" s="10"/>
    </row>
    <row r="142" spans="1:34" ht="15.75" x14ac:dyDescent="0.25">
      <c r="A142" s="361"/>
      <c r="B142" s="289"/>
      <c r="C142" s="286"/>
      <c r="D142" s="153" t="s">
        <v>130</v>
      </c>
      <c r="E142" s="43">
        <f t="shared" ref="E142:J142" si="17">AVERAGEIFS(E$5:E$124,E$5:E$124,"&gt;"&amp;0,$L$5:$L$124,TRUE,$M$5:$M$124,FALSE)</f>
        <v>1.6666666666666667</v>
      </c>
      <c r="F142" s="43">
        <f t="shared" si="17"/>
        <v>1.6666666666666667</v>
      </c>
      <c r="G142" s="43">
        <f t="shared" si="17"/>
        <v>2.3333333333333335</v>
      </c>
      <c r="H142" s="43">
        <f t="shared" si="17"/>
        <v>3.5</v>
      </c>
      <c r="I142" s="43">
        <f t="shared" si="17"/>
        <v>3</v>
      </c>
      <c r="J142" s="43">
        <f t="shared" si="17"/>
        <v>2</v>
      </c>
      <c r="K142" s="43"/>
      <c r="L142" s="43"/>
      <c r="M142" s="43"/>
      <c r="N142" s="229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2"/>
      <c r="AE142" s="12"/>
      <c r="AF142" s="12"/>
      <c r="AG142" s="12"/>
    </row>
    <row r="143" spans="1:34" ht="16.5" thickBot="1" x14ac:dyDescent="0.3">
      <c r="A143" s="362"/>
      <c r="B143" s="290" t="s">
        <v>125</v>
      </c>
      <c r="C143" s="293">
        <f>C140/C139%</f>
        <v>66.666666666666671</v>
      </c>
      <c r="D143" s="230" t="s">
        <v>103</v>
      </c>
      <c r="E143" s="230">
        <f t="array" ref="E143">SUMPRODUCT(--($L$5:$L$124=TRUE),--($M$5:$M$124=FALSE),--($P$5:$P$124&gt;0),IFERROR(E$5:E$124/$P$5:$P$124,""))/E$139</f>
        <v>0.89583333333333337</v>
      </c>
      <c r="F143" s="230">
        <f t="array" ref="F143">SUMPRODUCT(--($L$5:$L$124=TRUE),--($M$5:$M$124=FALSE),--($P$5:$P$124&gt;0),IFERROR(F$5:F$124/$P$5:$P$124,""))/F$134</f>
        <v>6.8965517241379309E-2</v>
      </c>
      <c r="G143" s="230">
        <f t="array" ref="G143">SUMPRODUCT(--($L$5:$L$124=TRUE),--($M$5:$M$124=FALSE),--($P$5:$P$124&gt;0),IFERROR(G$5:G$124/$P$5:$P$124,""))/G$134</f>
        <v>8.6538461538461536E-2</v>
      </c>
      <c r="H143" s="230">
        <f t="array" ref="H143">SUMPRODUCT(--($L$5:$L$124=TRUE),--($M$5:$M$124=FALSE),--($P$5:$P$124&gt;0),IFERROR(H$5:H$124/$P$5:$P$124,""))/H$134</f>
        <v>0.16666666666666666</v>
      </c>
      <c r="I143" s="230">
        <f t="array" ref="I143">SUMPRODUCT(--($L$5:$L$124=TRUE),--($M$5:$M$124=FALSE),--($P$5:$P$124&gt;0),IFERROR(I$5:I$124/$P$5:$P$124,""))/I$134</f>
        <v>0.125</v>
      </c>
      <c r="J143" s="230">
        <f t="array" ref="J143">SUMPRODUCT(--($L$5:$L$124=TRUE),--($M$5:$M$124=FALSE),--($P$5:$P$124&gt;0),IFERROR(J$5:J$124/$P$5:$P$124,""))/J$134</f>
        <v>0.25</v>
      </c>
      <c r="K143" s="299"/>
      <c r="L143" s="230"/>
      <c r="M143" s="230"/>
      <c r="N143" s="231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0"/>
      <c r="AE143" s="10"/>
      <c r="AF143" s="10"/>
      <c r="AG143" s="10"/>
    </row>
    <row r="144" spans="1:34" ht="16.5" thickBot="1" x14ac:dyDescent="0.3">
      <c r="A144" s="360" t="s">
        <v>81</v>
      </c>
      <c r="B144" s="288" t="s">
        <v>16</v>
      </c>
      <c r="C144" s="291">
        <f>SUMPRODUCT(--($L$5:$L$124=TRUE),--($M$5:$M$124=TRUE))</f>
        <v>68</v>
      </c>
      <c r="D144" s="227" t="s">
        <v>99</v>
      </c>
      <c r="E144" s="227">
        <f t="shared" ref="E144:J144" si="18">SUMPRODUCT(--(E$5:E$124&gt;0),--($L$5:$L$124=TRUE),--($M$5:$M$124=TRUE))</f>
        <v>16</v>
      </c>
      <c r="F144" s="227">
        <f t="shared" si="18"/>
        <v>25</v>
      </c>
      <c r="G144" s="227">
        <f t="shared" si="18"/>
        <v>21</v>
      </c>
      <c r="H144" s="227">
        <f t="shared" si="18"/>
        <v>10</v>
      </c>
      <c r="I144" s="227">
        <f t="shared" si="18"/>
        <v>5</v>
      </c>
      <c r="J144" s="227">
        <f t="shared" si="18"/>
        <v>1</v>
      </c>
      <c r="K144" s="227"/>
      <c r="L144" s="227"/>
      <c r="M144" s="227"/>
      <c r="N144" s="22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2"/>
      <c r="AE144" s="12"/>
      <c r="AF144" s="12"/>
      <c r="AG144" s="12"/>
    </row>
    <row r="145" spans="1:33" ht="15.75" x14ac:dyDescent="0.25">
      <c r="A145" s="361"/>
      <c r="B145" s="289" t="s">
        <v>123</v>
      </c>
      <c r="C145" s="291">
        <f>SUMPRODUCT(--($L$5:$L$124=TRUE),--($M$5:$M$124=TRUE),--($P$5:$P$124&gt;0))</f>
        <v>44</v>
      </c>
      <c r="D145" s="43" t="s">
        <v>102</v>
      </c>
      <c r="E145" s="43" t="e">
        <f>E144/INDEX('Aegypti Mortality'!$A$3:$Z$52,MATCH("Infected + Disseminated",'Aegypti Mortality'!$A$3:$A$52,0)+1,MATCH(E$4,$A$3:$Z$3,0))%</f>
        <v>#N/A</v>
      </c>
      <c r="F145" s="43" t="e">
        <f>F144/INDEX('Aegypti Mortality'!$A$3:$Z$52,MATCH("Infected + Disseminated",'Aegypti Mortality'!$A$3:$A$52,0)+1,MATCH(F$4,$A$3:$Z$3,0))%</f>
        <v>#N/A</v>
      </c>
      <c r="G145" s="43" t="e">
        <f>G144/INDEX('Aegypti Mortality'!$A$3:$Z$52,MATCH("Infected + Disseminated",'Aegypti Mortality'!$A$3:$A$52,0)+1,MATCH(G$4,$A$3:$Z$3,0))%</f>
        <v>#N/A</v>
      </c>
      <c r="H145" s="43" t="e">
        <f>H144/INDEX('Aegypti Mortality'!$A$3:$Z$52,MATCH("Infected + Disseminated",'Aegypti Mortality'!$A$3:$A$52,0)+1,MATCH(H$4,$A$3:$Z$3,0))%</f>
        <v>#N/A</v>
      </c>
      <c r="I145" s="43" t="e">
        <f>I144/INDEX('Aegypti Mortality'!$A$3:$Z$52,MATCH("Infected + Disseminated",'Aegypti Mortality'!$A$3:$A$52,0)+1,MATCH(I$4,$A$3:$Z$3,0))%</f>
        <v>#N/A</v>
      </c>
      <c r="J145" s="43" t="e">
        <f>J144/INDEX('Aegypti Mortality'!$A$3:$Z$52,MATCH("Infected + Disseminated",'Aegypti Mortality'!$A$3:$A$52,0)+1,MATCH(J$4,$A$3:$Z$3,0))%</f>
        <v>#N/A</v>
      </c>
      <c r="K145" s="43"/>
      <c r="L145" s="43"/>
      <c r="M145" s="43"/>
      <c r="N145" s="229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0"/>
      <c r="AE145" s="10"/>
      <c r="AF145" s="10"/>
      <c r="AG145" s="10"/>
    </row>
    <row r="146" spans="1:33" ht="15.75" x14ac:dyDescent="0.25">
      <c r="A146" s="361"/>
      <c r="B146" s="289" t="s">
        <v>124</v>
      </c>
      <c r="C146" s="286">
        <f>C144-C145</f>
        <v>24</v>
      </c>
      <c r="D146" s="43" t="s">
        <v>100</v>
      </c>
      <c r="E146" s="43" t="e">
        <f>SUMPRODUCT(E$5:E$124,--($L$5:$L$124=TRUE),--($M$5:$M$124=TRUE))/INDEX('Aegypti Mortality'!$A$3:$Z$52,MATCH("Infected + Disseminated",'Aegypti Mortality'!$A$3:$A$52,0)+1,MATCH(E$4,$A$3:$Z$3,0))</f>
        <v>#N/A</v>
      </c>
      <c r="F146" s="43" t="e">
        <f>SUMPRODUCT(F$5:F$124,--($L$5:$L$124=TRUE),--($M$5:$M$124=TRUE))/INDEX('Aegypti Mortality'!$A$3:$Z$52,MATCH("Infected + Disseminated",'Aegypti Mortality'!$A$3:$A$52,0)+1,MATCH(F$4,$A$3:$Z$3,0))</f>
        <v>#N/A</v>
      </c>
      <c r="G146" s="43" t="e">
        <f>SUMPRODUCT(G$5:G$124,--($L$5:$L$124=TRUE),--($M$5:$M$124=TRUE))/INDEX('Aegypti Mortality'!$A$3:$Z$52,MATCH("Infected + Disseminated",'Aegypti Mortality'!$A$3:$A$52,0)+1,MATCH(G$4,$A$3:$Z$3,0))</f>
        <v>#N/A</v>
      </c>
      <c r="H146" s="43" t="e">
        <f>SUMPRODUCT(H$5:H$124,--($L$5:$L$124=TRUE),--($M$5:$M$124=TRUE))/INDEX('Aegypti Mortality'!$A$3:$Z$52,MATCH("Infected + Disseminated",'Aegypti Mortality'!$A$3:$A$52,0)+1,MATCH(H$4,$A$3:$Z$3,0))</f>
        <v>#N/A</v>
      </c>
      <c r="I146" s="43" t="e">
        <f>SUMPRODUCT(I$5:I$124,--($L$5:$L$124=TRUE),--($M$5:$M$124=TRUE))/INDEX('Aegypti Mortality'!$A$3:$Z$52,MATCH("Infected + Disseminated",'Aegypti Mortality'!$A$3:$A$52,0)+1,MATCH(I$4,$A$3:$Z$3,0))</f>
        <v>#N/A</v>
      </c>
      <c r="J146" s="43" t="e">
        <f>SUMPRODUCT(J$5:J$124,--($L$5:$L$124=TRUE),--($M$5:$M$124=TRUE))/INDEX('Aegypti Mortality'!$A$3:$Z$52,MATCH("Infected + Disseminated",'Aegypti Mortality'!$A$3:$A$52,0)+1,MATCH(J$4,$A$3:$Z$3,0))</f>
        <v>#N/A</v>
      </c>
      <c r="K146" s="43"/>
      <c r="L146" s="43"/>
      <c r="M146" s="43"/>
      <c r="N146" s="229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2"/>
      <c r="AE146" s="12"/>
      <c r="AF146" s="12"/>
      <c r="AG146" s="12"/>
    </row>
    <row r="147" spans="1:33" ht="15.75" x14ac:dyDescent="0.25">
      <c r="A147" s="361"/>
      <c r="B147" s="289"/>
      <c r="C147" s="286"/>
      <c r="D147" s="153" t="s">
        <v>130</v>
      </c>
      <c r="E147" s="43">
        <f t="shared" ref="E147:J147" si="19">AVERAGEIFS(E$5:E$124,E$5:E$124,"&gt;"&amp;0,$L$5:$L$124,TRUE,$M$5:$M$124,TRUE)</f>
        <v>1.5625</v>
      </c>
      <c r="F147" s="43">
        <f t="shared" si="19"/>
        <v>2.16</v>
      </c>
      <c r="G147" s="43">
        <f t="shared" si="19"/>
        <v>2.7142857142857144</v>
      </c>
      <c r="H147" s="43">
        <f t="shared" si="19"/>
        <v>2.6</v>
      </c>
      <c r="I147" s="43">
        <f t="shared" si="19"/>
        <v>2.8</v>
      </c>
      <c r="J147" s="43">
        <f t="shared" si="19"/>
        <v>3</v>
      </c>
      <c r="K147" s="43"/>
      <c r="L147" s="43"/>
      <c r="M147" s="43"/>
      <c r="N147" s="229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0"/>
      <c r="AE147" s="10"/>
      <c r="AF147" s="10"/>
      <c r="AG147" s="10"/>
    </row>
    <row r="148" spans="1:33" ht="16.5" thickBot="1" x14ac:dyDescent="0.3">
      <c r="A148" s="362"/>
      <c r="B148" s="290" t="s">
        <v>125</v>
      </c>
      <c r="C148" s="294">
        <f>C145/C144%</f>
        <v>64.705882352941174</v>
      </c>
      <c r="D148" s="230" t="s">
        <v>103</v>
      </c>
      <c r="E148" s="230">
        <f t="array" ref="E148">SUMPRODUCT(--($L$5:$L$124=TRUE),--($M$5:$M$124=TRUE),--($P$5:$P$124&gt;0),IFERROR(E$5:E$124/$P$5:$P$124,""))/E$144</f>
        <v>0.81770833333333337</v>
      </c>
      <c r="F148" s="230">
        <f t="array" ref="F148">SUMPRODUCT(--($L$5:$L$124=TRUE),--($M$5:$M$124=TRUE),--($P$5:$P$124&gt;0),IFERROR(F$5:F$124/$P$5:$P$124,""))/F$134</f>
        <v>0.72126436781609182</v>
      </c>
      <c r="G148" s="230">
        <f t="array" ref="G148">SUMPRODUCT(--($L$5:$L$124=TRUE),--($M$5:$M$124=TRUE),--($P$5:$P$124&gt;0),IFERROR(G$5:G$124/$P$5:$P$124,""))/G$134</f>
        <v>0.71474358974358987</v>
      </c>
      <c r="H148" s="230">
        <f t="array" ref="H148">SUMPRODUCT(--($L$5:$L$124=TRUE),--($M$5:$M$124=TRUE),--($P$5:$P$124&gt;0),IFERROR(H$5:H$124/$P$5:$P$124,""))/H$134</f>
        <v>0.74305555555555547</v>
      </c>
      <c r="I148" s="230">
        <f t="array" ref="I148">SUMPRODUCT(--($L$5:$L$124=TRUE),--($M$5:$M$124=TRUE),--($P$5:$P$124&gt;0),IFERROR(I$5:I$124/$P$5:$P$124,""))/I$134</f>
        <v>0.73611111111111105</v>
      </c>
      <c r="J148" s="230">
        <f t="array" ref="J148">SUMPRODUCT(--($L$5:$L$124=TRUE),--($M$5:$M$124=TRUE),--($P$5:$P$124&gt;0),IFERROR(J$5:J$124/$P$5:$P$124,""))/J$134</f>
        <v>0.5</v>
      </c>
      <c r="K148" s="230"/>
      <c r="L148" s="230"/>
      <c r="M148" s="230"/>
      <c r="N148" s="231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2"/>
      <c r="AE148" s="12"/>
      <c r="AF148" s="12"/>
      <c r="AG148" s="12"/>
    </row>
    <row r="149" spans="1:33" ht="15.75" x14ac:dyDescent="0.25">
      <c r="A149" s="360" t="s">
        <v>101</v>
      </c>
      <c r="B149" s="288" t="s">
        <v>16</v>
      </c>
      <c r="C149" s="291">
        <v>100</v>
      </c>
      <c r="D149" s="227" t="s">
        <v>99</v>
      </c>
      <c r="E149" s="227">
        <f t="shared" ref="E149:J149" si="20">SUMPRODUCT(--(E$5:E$124&gt;0))</f>
        <v>37</v>
      </c>
      <c r="F149" s="227">
        <f t="shared" si="20"/>
        <v>40</v>
      </c>
      <c r="G149" s="227">
        <f t="shared" si="20"/>
        <v>34</v>
      </c>
      <c r="H149" s="227">
        <f t="shared" si="20"/>
        <v>14</v>
      </c>
      <c r="I149" s="227">
        <f t="shared" si="20"/>
        <v>7</v>
      </c>
      <c r="J149" s="227">
        <f t="shared" si="20"/>
        <v>2</v>
      </c>
      <c r="K149" s="227"/>
      <c r="L149" s="227"/>
      <c r="M149" s="227"/>
      <c r="N149" s="228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0"/>
      <c r="AE149" s="10"/>
      <c r="AF149" s="10"/>
      <c r="AG149" s="10"/>
    </row>
    <row r="150" spans="1:33" ht="15.75" x14ac:dyDescent="0.25">
      <c r="A150" s="361"/>
      <c r="B150" s="289" t="s">
        <v>123</v>
      </c>
      <c r="C150" s="295">
        <f>SUMPRODUCT(--($P$5:$P$124&gt;0))</f>
        <v>77</v>
      </c>
      <c r="D150" s="43" t="s">
        <v>102</v>
      </c>
      <c r="E150" s="43" t="e">
        <f>E149/INDEX('Aegypti Mortality'!$A$3:$Z$52,MATCH("Total (Exposed)",'Aegypti Mortality'!$A$3:$A$52,0)+1,MATCH(E$4,$A$3:$Z$3,0))%</f>
        <v>#N/A</v>
      </c>
      <c r="F150" s="43" t="e">
        <f>F149/INDEX('Aegypti Mortality'!$A$3:$Z$52,MATCH("Total (Exposed)",'Aegypti Mortality'!$A$3:$A$52,0)+1,MATCH(F$4,$A$3:$Z$3,0))%</f>
        <v>#N/A</v>
      </c>
      <c r="G150" s="43" t="e">
        <f>G149/INDEX('Aegypti Mortality'!$A$3:$Z$52,MATCH("Total (Exposed)",'Aegypti Mortality'!$A$3:$A$52,0)+1,MATCH(G$4,$A$3:$Z$3,0))%</f>
        <v>#N/A</v>
      </c>
      <c r="H150" s="43" t="e">
        <f>H149/INDEX('Aegypti Mortality'!$A$3:$Z$52,MATCH("Total (Exposed)",'Aegypti Mortality'!$A$3:$A$52,0)+1,MATCH(H$4,$A$3:$Z$3,0))%</f>
        <v>#N/A</v>
      </c>
      <c r="I150" s="43" t="e">
        <f>I149/INDEX('Aegypti Mortality'!$A$3:$Z$52,MATCH("Total (Exposed)",'Aegypti Mortality'!$A$3:$A$52,0)+1,MATCH(I$4,$A$3:$Z$3,0))%</f>
        <v>#N/A</v>
      </c>
      <c r="J150" s="43" t="e">
        <f>J149/INDEX('Aegypti Mortality'!$A$3:$Z$52,MATCH("Total (Exposed)",'Aegypti Mortality'!$A$3:$A$52,0)+1,MATCH(J$4,$A$3:$Z$3,0))%</f>
        <v>#N/A</v>
      </c>
      <c r="K150" s="43"/>
      <c r="L150" s="43"/>
      <c r="M150" s="43"/>
      <c r="N150" s="229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2"/>
      <c r="AE150" s="12"/>
      <c r="AF150" s="12"/>
      <c r="AG150" s="12"/>
    </row>
    <row r="151" spans="1:33" ht="15.75" x14ac:dyDescent="0.25">
      <c r="A151" s="361"/>
      <c r="B151" s="289" t="s">
        <v>124</v>
      </c>
      <c r="C151" s="286">
        <f>C149-C150</f>
        <v>23</v>
      </c>
      <c r="D151" s="43" t="s">
        <v>100</v>
      </c>
      <c r="E151" s="43" t="e">
        <f>SUM(E$5:E$124)/INDEX('Aegypti Mortality'!$A$3:$Z$52,MATCH("Total (Exposed)",'Aegypti Mortality'!$A$3:$A$52,0)+1,MATCH(E$4,$A$3:$Z$3,0))</f>
        <v>#N/A</v>
      </c>
      <c r="F151" s="43" t="e">
        <f>SUM(F$5:F$124)/INDEX('Aegypti Mortality'!$A$3:$Z$52,MATCH("Total (Exposed)",'Aegypti Mortality'!$A$3:$A$52,0)+1,MATCH(F$4,$A$3:$Z$3,0))</f>
        <v>#N/A</v>
      </c>
      <c r="G151" s="43" t="e">
        <f>SUM(G$5:G$124)/INDEX('Aegypti Mortality'!$A$3:$Z$52,MATCH("Total (Exposed)",'Aegypti Mortality'!$A$3:$A$52,0)+1,MATCH(G$4,$A$3:$Z$3,0))</f>
        <v>#N/A</v>
      </c>
      <c r="H151" s="43" t="e">
        <f>SUM(H$5:H$124)/INDEX('Aegypti Mortality'!$A$3:$Z$52,MATCH("Total (Exposed)",'Aegypti Mortality'!$A$3:$A$52,0)+1,MATCH(H$4,$A$3:$Z$3,0))</f>
        <v>#N/A</v>
      </c>
      <c r="I151" s="43" t="e">
        <f>SUM(I$5:I$124)/INDEX('Aegypti Mortality'!$A$3:$Z$52,MATCH("Total (Exposed)",'Aegypti Mortality'!$A$3:$A$52,0)+1,MATCH(I$4,$A$3:$Z$3,0))</f>
        <v>#N/A</v>
      </c>
      <c r="J151" s="43" t="e">
        <f>SUM(J$5:J$124)/INDEX('Aegypti Mortality'!$A$3:$Z$52,MATCH("Total (Exposed)",'Aegypti Mortality'!$A$3:$A$52,0)+1,MATCH(J$4,$A$3:$Z$3,0))</f>
        <v>#N/A</v>
      </c>
      <c r="K151" s="43"/>
      <c r="L151" s="43"/>
      <c r="M151" s="43"/>
      <c r="N151" s="43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0"/>
      <c r="AE151" s="10"/>
      <c r="AF151" s="10"/>
      <c r="AG151" s="10"/>
    </row>
    <row r="152" spans="1:33" ht="15.75" x14ac:dyDescent="0.25">
      <c r="A152" s="361"/>
      <c r="B152" s="289"/>
      <c r="C152" s="286"/>
      <c r="D152" s="153" t="s">
        <v>130</v>
      </c>
      <c r="E152" s="43">
        <f t="shared" ref="E152:J152" si="21">AVERAGEIF(E$5:E$124,"&gt;"&amp;0)</f>
        <v>1.5945945945945945</v>
      </c>
      <c r="F152" s="43">
        <f t="shared" si="21"/>
        <v>2.2749999999999999</v>
      </c>
      <c r="G152" s="43">
        <f t="shared" si="21"/>
        <v>2.7647058823529411</v>
      </c>
      <c r="H152" s="43">
        <f t="shared" si="21"/>
        <v>2.7142857142857144</v>
      </c>
      <c r="I152" s="43">
        <f t="shared" si="21"/>
        <v>3</v>
      </c>
      <c r="J152" s="43">
        <f t="shared" si="21"/>
        <v>2.5</v>
      </c>
      <c r="K152" s="43"/>
      <c r="L152" s="43"/>
      <c r="M152" s="43"/>
      <c r="N152" s="43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2"/>
      <c r="AE152" s="12"/>
      <c r="AF152" s="12"/>
      <c r="AG152" s="12"/>
    </row>
    <row r="153" spans="1:33" ht="16.5" thickBot="1" x14ac:dyDescent="0.3">
      <c r="A153" s="362"/>
      <c r="B153" s="290" t="s">
        <v>125</v>
      </c>
      <c r="C153" s="294">
        <f>C150/100%</f>
        <v>77</v>
      </c>
      <c r="D153" s="230" t="s">
        <v>103</v>
      </c>
      <c r="E153" s="230">
        <f t="array" ref="E153">AVERAGE(IFERROR((E$5:E$124/$P$5:$P$124),""))</f>
        <v>0.3971861471861472</v>
      </c>
      <c r="F153" s="230">
        <f t="array" ref="F153">AVERAGE(IFERROR((F$5:F$124/$P$5:$P$124),""))</f>
        <v>0.43290043290043295</v>
      </c>
      <c r="G153" s="230">
        <f t="array" ref="G153">AVERAGE(IFERROR((G$5:G$124/$P$5:$P$124),""))</f>
        <v>0.38095238095238099</v>
      </c>
      <c r="H153" s="230">
        <f t="array" ref="H153">AVERAGE(IFERROR((H$5:H$124/$P$5:$P$124),""))</f>
        <v>0.15800865800865802</v>
      </c>
      <c r="I153" s="230">
        <f t="array" ref="I153">AVERAGE(IFERROR((I$5:I$124/$P$5:$P$124),""))</f>
        <v>8.0086580086580095E-2</v>
      </c>
      <c r="J153" s="230">
        <f t="array" ref="J153">AVERAGE(IFERROR((J$5:J$124/$P$5:$P$124),""))</f>
        <v>1.948051948051948E-2</v>
      </c>
      <c r="K153" s="230"/>
      <c r="L153" s="230"/>
      <c r="M153" s="230"/>
      <c r="N153" s="231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0"/>
      <c r="AE153" s="10"/>
      <c r="AF153" s="10"/>
      <c r="AG153" s="10"/>
    </row>
    <row r="154" spans="1:33" ht="15.75" x14ac:dyDescent="0.25">
      <c r="A154" s="360" t="s">
        <v>6</v>
      </c>
      <c r="B154" s="288" t="s">
        <v>16</v>
      </c>
      <c r="C154" s="291">
        <v>40</v>
      </c>
      <c r="D154" s="227" t="s">
        <v>99</v>
      </c>
      <c r="E154" s="227">
        <f t="shared" ref="E154:J154" si="22">SUMPRODUCT(--(E$163:E$202&gt;0))</f>
        <v>13</v>
      </c>
      <c r="F154" s="227">
        <f t="shared" si="22"/>
        <v>12</v>
      </c>
      <c r="G154" s="227">
        <f t="shared" si="22"/>
        <v>10</v>
      </c>
      <c r="H154" s="227">
        <f t="shared" si="22"/>
        <v>3</v>
      </c>
      <c r="I154" s="227">
        <f t="shared" si="22"/>
        <v>2</v>
      </c>
      <c r="J154" s="227">
        <f t="shared" si="22"/>
        <v>0</v>
      </c>
      <c r="K154" s="298"/>
      <c r="L154" s="227"/>
      <c r="M154" s="227"/>
      <c r="N154" s="22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2"/>
      <c r="AE154" s="12"/>
      <c r="AF154" s="12"/>
      <c r="AG154" s="12"/>
    </row>
    <row r="155" spans="1:33" ht="15.75" x14ac:dyDescent="0.25">
      <c r="A155" s="361"/>
      <c r="B155" s="289" t="s">
        <v>123</v>
      </c>
      <c r="C155" s="295">
        <f>COUNTIF(N163:N202,"&gt;"&amp;0)</f>
        <v>20</v>
      </c>
      <c r="D155" s="43" t="s">
        <v>102</v>
      </c>
      <c r="E155" s="43" t="e">
        <f>E154/INDEX('Aegypti Mortality'!$A$3:$Z$52,MATCH("Control",'Aegypti Mortality'!$A$3:$A$52,0)+1,MATCH(E$4,$A$3:$Z$3,0))%</f>
        <v>#N/A</v>
      </c>
      <c r="F155" s="43" t="e">
        <f>F154/INDEX('Aegypti Mortality'!$A$3:$Z$52,MATCH("Control",'Aegypti Mortality'!$A$3:$A$52,0)+1,MATCH(F$4,$A$3:$Z$3,0))%</f>
        <v>#N/A</v>
      </c>
      <c r="G155" s="43" t="e">
        <f>G154/INDEX('Aegypti Mortality'!$A$3:$Z$52,MATCH("Control",'Aegypti Mortality'!$A$3:$A$52,0)+1,MATCH(G$4,$A$3:$Z$3,0))%</f>
        <v>#N/A</v>
      </c>
      <c r="H155" s="43" t="e">
        <f>H154/INDEX('Aegypti Mortality'!$A$3:$Z$52,MATCH("Control",'Aegypti Mortality'!$A$3:$A$52,0)+1,MATCH(H$4,$A$3:$Z$3,0))%</f>
        <v>#N/A</v>
      </c>
      <c r="I155" s="43" t="e">
        <f>I154/INDEX('Aegypti Mortality'!$A$3:$Z$52,MATCH("Control",'Aegypti Mortality'!$A$3:$A$52,0)+1,MATCH(I$4,$A$3:$Z$3,0))%</f>
        <v>#N/A</v>
      </c>
      <c r="J155" s="43" t="e">
        <f>J154/INDEX('Aegypti Mortality'!$A$3:$Z$52,MATCH("Control",'Aegypti Mortality'!$A$3:$A$52,0)+1,MATCH(J$4,$A$3:$Z$3,0))%</f>
        <v>#N/A</v>
      </c>
      <c r="K155" s="299"/>
      <c r="L155" s="43"/>
      <c r="M155" s="43"/>
      <c r="N155" s="229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0"/>
      <c r="AE155" s="10"/>
      <c r="AF155" s="10"/>
      <c r="AG155" s="10"/>
    </row>
    <row r="156" spans="1:33" ht="15.75" x14ac:dyDescent="0.25">
      <c r="A156" s="361"/>
      <c r="B156" s="289" t="s">
        <v>124</v>
      </c>
      <c r="C156" s="286">
        <f>C154-C155</f>
        <v>20</v>
      </c>
      <c r="D156" s="43" t="s">
        <v>100</v>
      </c>
      <c r="E156" s="43" t="e">
        <f>SUM(E$163:E$202)/INDEX('Aegypti Mortality'!$A$3:$Z$52,MATCH("Control",'Aegypti Mortality'!$A$3:$A$52,0)+1,MATCH(E$4,$A$3:$Z$3,0))</f>
        <v>#N/A</v>
      </c>
      <c r="F156" s="43" t="e">
        <f>SUM(F$163:F$202)/INDEX('Aegypti Mortality'!$A$3:$Z$52,MATCH("Control",'Aegypti Mortality'!$A$3:$A$52,0)+1,MATCH(F$4,$A$3:$Z$3,0))</f>
        <v>#N/A</v>
      </c>
      <c r="G156" s="43" t="e">
        <f>SUM(G$163:G$202)/INDEX('Aegypti Mortality'!$A$3:$Z$52,MATCH("Control",'Aegypti Mortality'!$A$3:$A$52,0)+1,MATCH(G$4,$A$3:$Z$3,0))</f>
        <v>#N/A</v>
      </c>
      <c r="H156" s="43" t="e">
        <f>SUM(H$163:H$202)/INDEX('Aegypti Mortality'!$A$3:$Z$52,MATCH("Control",'Aegypti Mortality'!$A$3:$A$52,0)+1,MATCH(H$4,$A$3:$Z$3,0))</f>
        <v>#N/A</v>
      </c>
      <c r="I156" s="43" t="e">
        <f>SUM(I$163:I$202)/INDEX('Aegypti Mortality'!$A$3:$Z$52,MATCH("Control",'Aegypti Mortality'!$A$3:$A$52,0)+1,MATCH(I$4,$A$3:$Z$3,0))</f>
        <v>#N/A</v>
      </c>
      <c r="J156" s="43" t="e">
        <f>SUM(J$163:J$202)/INDEX('Aegypti Mortality'!$A$3:$Z$52,MATCH("Control",'Aegypti Mortality'!$A$3:$A$52,0)+1,MATCH(J$4,$A$3:$Z$3,0))</f>
        <v>#N/A</v>
      </c>
      <c r="K156" s="299"/>
      <c r="L156" s="43"/>
      <c r="M156" s="43"/>
      <c r="N156" s="229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2"/>
      <c r="AE156" s="12"/>
      <c r="AF156" s="12"/>
      <c r="AG156" s="12"/>
    </row>
    <row r="157" spans="1:33" ht="15.75" x14ac:dyDescent="0.25">
      <c r="A157" s="361"/>
      <c r="B157" s="289"/>
      <c r="C157" s="286"/>
      <c r="D157" s="153" t="s">
        <v>130</v>
      </c>
      <c r="E157" s="43">
        <f t="shared" ref="E157:J157" si="23">AVERAGEIF(E$163:E$202,"&gt;"&amp;0)</f>
        <v>1.2307692307692308</v>
      </c>
      <c r="F157" s="43">
        <f t="shared" si="23"/>
        <v>2.1666666666666665</v>
      </c>
      <c r="G157" s="43">
        <f t="shared" si="23"/>
        <v>2.5</v>
      </c>
      <c r="H157" s="43">
        <f t="shared" si="23"/>
        <v>3.3333333333333335</v>
      </c>
      <c r="I157" s="43">
        <f t="shared" si="23"/>
        <v>2</v>
      </c>
      <c r="J157" s="43" t="e">
        <f t="shared" si="23"/>
        <v>#DIV/0!</v>
      </c>
      <c r="K157" s="43"/>
      <c r="L157" s="43"/>
      <c r="M157" s="43"/>
      <c r="N157" s="229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0"/>
      <c r="AE157" s="10"/>
      <c r="AF157" s="10"/>
      <c r="AG157" s="10"/>
    </row>
    <row r="158" spans="1:33" ht="16.5" thickBot="1" x14ac:dyDescent="0.3">
      <c r="A158" s="362"/>
      <c r="B158" s="290" t="s">
        <v>125</v>
      </c>
      <c r="C158" s="294">
        <f>C155/C154%</f>
        <v>50</v>
      </c>
      <c r="D158" s="230" t="s">
        <v>103</v>
      </c>
      <c r="E158" s="230">
        <f t="array" ref="E158">AVERAGE(IFERROR(E$163:E$202/$N$163:$N$202,"N/A"))</f>
        <v>0.47083333333333338</v>
      </c>
      <c r="F158" s="230">
        <f t="array" ref="F158">AVERAGE(IFERROR(F$163:F$202/$N$163:$N$202,"N/A"))</f>
        <v>0.46666666666666667</v>
      </c>
      <c r="G158" s="230">
        <f t="array" ref="G158">AVERAGE(IFERROR(G$163:G$202/$N$163:$N$202,"N/A"))</f>
        <v>0.41666666666666663</v>
      </c>
      <c r="H158" s="230">
        <f t="array" ref="H158">AVERAGE(IFERROR(H$163:H$202/$N$163:$N$202,"N/A"))</f>
        <v>0.15</v>
      </c>
      <c r="I158" s="230">
        <f t="array" ref="I158">AVERAGE(IFERROR(I$163:I$202/$N$163:$N$202,"N/A"))</f>
        <v>5.4166666666666662E-2</v>
      </c>
      <c r="J158" s="230">
        <f t="array" ref="J158">AVERAGE(IFERROR(J$163:J$202/$N$163:$N$202,"N/A"))</f>
        <v>0</v>
      </c>
      <c r="K158" s="299"/>
      <c r="L158" s="43"/>
      <c r="M158" s="230"/>
      <c r="N158" s="231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2"/>
      <c r="AE158" s="12"/>
      <c r="AF158" s="12"/>
      <c r="AG158" s="12"/>
    </row>
    <row r="159" spans="1:33" ht="15.75" x14ac:dyDescent="0.25">
      <c r="A159" s="43"/>
      <c r="B159" s="300"/>
      <c r="C159" s="248"/>
      <c r="D159" s="248"/>
      <c r="E159" s="248"/>
      <c r="F159" s="248"/>
      <c r="G159" s="248"/>
      <c r="H159" s="248"/>
      <c r="I159" s="301"/>
      <c r="J159" s="282"/>
      <c r="K159" s="16"/>
      <c r="L159" s="16"/>
      <c r="M159" s="43"/>
      <c r="N159" s="251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0"/>
      <c r="AE159" s="10"/>
      <c r="AF159" s="10"/>
      <c r="AG159" s="10"/>
    </row>
    <row r="160" spans="1:33" ht="15.75" x14ac:dyDescent="0.25">
      <c r="A160" s="43"/>
      <c r="B160" s="249"/>
      <c r="C160" s="248"/>
      <c r="D160" s="248"/>
      <c r="E160" s="248"/>
      <c r="F160" s="248"/>
      <c r="G160" s="248"/>
      <c r="H160" s="248"/>
      <c r="I160" s="250"/>
      <c r="J160" s="16"/>
      <c r="K160" s="16"/>
      <c r="L160" s="380" t="s">
        <v>62</v>
      </c>
      <c r="M160" s="381" t="s">
        <v>128</v>
      </c>
      <c r="N160" s="355" t="s">
        <v>104</v>
      </c>
      <c r="O160" s="374" t="s">
        <v>122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2"/>
      <c r="AE160" s="12"/>
      <c r="AF160" s="12"/>
      <c r="AG160" s="12"/>
    </row>
    <row r="161" spans="1:35" ht="16.5" customHeight="1" thickBot="1" x14ac:dyDescent="0.3">
      <c r="A161" s="43"/>
      <c r="B161" s="21"/>
      <c r="C161" s="15"/>
      <c r="D161" s="15"/>
      <c r="E161" s="15"/>
      <c r="F161" s="15"/>
      <c r="G161" s="15"/>
      <c r="H161" s="15"/>
      <c r="I161" s="57"/>
      <c r="J161" s="16"/>
      <c r="K161" s="16"/>
      <c r="L161" s="380"/>
      <c r="M161" s="381"/>
      <c r="N161" s="355"/>
      <c r="O161" s="374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0"/>
      <c r="AE161" s="10"/>
      <c r="AF161" s="10"/>
      <c r="AG161" s="10"/>
    </row>
    <row r="162" spans="1:35" ht="15.75" x14ac:dyDescent="0.25">
      <c r="D162" s="253" t="s">
        <v>15</v>
      </c>
      <c r="E162" s="254"/>
      <c r="F162" s="254"/>
      <c r="G162" s="254"/>
      <c r="H162" s="254"/>
      <c r="I162" s="254"/>
      <c r="J162" s="254"/>
      <c r="K162" s="255"/>
      <c r="L162" s="254"/>
      <c r="M162" s="256"/>
      <c r="N162" s="251"/>
      <c r="O162" s="15"/>
      <c r="P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2"/>
      <c r="AG162" s="12"/>
      <c r="AH162" s="12"/>
      <c r="AI162" s="12"/>
    </row>
    <row r="163" spans="1:35" ht="15.75" x14ac:dyDescent="0.25">
      <c r="D163" s="257">
        <v>1</v>
      </c>
      <c r="E163" s="15">
        <v>2</v>
      </c>
      <c r="F163" s="15">
        <v>0</v>
      </c>
      <c r="G163" s="15"/>
      <c r="H163" s="15"/>
      <c r="I163" s="15"/>
      <c r="J163" s="15"/>
      <c r="K163" s="57">
        <v>42844</v>
      </c>
      <c r="L163" s="16">
        <f>IFERROR(AVERAGE(E163:J163),"N/A")</f>
        <v>1</v>
      </c>
      <c r="M163" s="258">
        <f>IFERROR(AVERAGEIF(E163:J163,"&gt;"&amp;0),"N/A")</f>
        <v>2</v>
      </c>
      <c r="N163" s="258">
        <f>IFERROR(LARGE(E163:J163,1),0)</f>
        <v>2</v>
      </c>
      <c r="O163" s="16">
        <f>COUNTIF(E163:J163,"&gt;"&amp;0)</f>
        <v>1</v>
      </c>
      <c r="P163" s="16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0"/>
      <c r="AG163" s="10"/>
      <c r="AH163" s="10"/>
      <c r="AI163" s="10"/>
    </row>
    <row r="164" spans="1:35" ht="15.75" x14ac:dyDescent="0.25">
      <c r="D164" s="259">
        <v>2</v>
      </c>
      <c r="E164" s="15">
        <v>0</v>
      </c>
      <c r="F164" s="15"/>
      <c r="G164" s="15"/>
      <c r="H164" s="15"/>
      <c r="I164" s="15"/>
      <c r="J164" s="15"/>
      <c r="K164" s="57">
        <v>42842</v>
      </c>
      <c r="L164" s="16">
        <f t="shared" ref="L164:L202" si="24">IFERROR(AVERAGE(E164:J164),"N/A")</f>
        <v>0</v>
      </c>
      <c r="M164" s="258" t="str">
        <f t="shared" ref="M164:M202" si="25">IFERROR(AVERAGEIF(E164:J164,"&gt;"&amp;0),"N/A")</f>
        <v>N/A</v>
      </c>
      <c r="N164" s="258">
        <f t="shared" ref="N164:N202" si="26">IFERROR(LARGE(E164:J164,1),0)</f>
        <v>0</v>
      </c>
      <c r="O164" s="16">
        <f t="shared" ref="O164:O202" si="27">COUNTIF(E164:J164,"&gt;"&amp;0)</f>
        <v>0</v>
      </c>
      <c r="P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2"/>
      <c r="AG164" s="12"/>
      <c r="AH164" s="12"/>
      <c r="AI164" s="12"/>
    </row>
    <row r="165" spans="1:35" ht="15.75" x14ac:dyDescent="0.25">
      <c r="D165" s="257">
        <v>3</v>
      </c>
      <c r="E165" s="15">
        <v>0</v>
      </c>
      <c r="F165" s="15"/>
      <c r="G165" s="15"/>
      <c r="H165" s="15"/>
      <c r="I165" s="15"/>
      <c r="J165" s="15"/>
      <c r="K165" s="57">
        <v>42839</v>
      </c>
      <c r="L165" s="16">
        <f t="shared" si="24"/>
        <v>0</v>
      </c>
      <c r="M165" s="258" t="str">
        <f t="shared" si="25"/>
        <v>N/A</v>
      </c>
      <c r="N165" s="258">
        <f t="shared" si="26"/>
        <v>0</v>
      </c>
      <c r="O165" s="16">
        <f t="shared" si="27"/>
        <v>0</v>
      </c>
      <c r="P165" s="16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0"/>
      <c r="AG165" s="10"/>
      <c r="AH165" s="10"/>
      <c r="AI165" s="10"/>
    </row>
    <row r="166" spans="1:35" ht="15.75" x14ac:dyDescent="0.25">
      <c r="D166" s="257">
        <v>4</v>
      </c>
      <c r="E166" s="15">
        <v>1</v>
      </c>
      <c r="F166" s="15">
        <v>3</v>
      </c>
      <c r="G166" s="15">
        <v>2</v>
      </c>
      <c r="H166" s="15"/>
      <c r="I166" s="15"/>
      <c r="J166" s="15"/>
      <c r="K166" s="57">
        <v>42849</v>
      </c>
      <c r="L166" s="16">
        <f t="shared" si="24"/>
        <v>2</v>
      </c>
      <c r="M166" s="258">
        <f t="shared" si="25"/>
        <v>2</v>
      </c>
      <c r="N166" s="258">
        <f t="shared" si="26"/>
        <v>3</v>
      </c>
      <c r="O166" s="16">
        <f t="shared" si="27"/>
        <v>3</v>
      </c>
      <c r="P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2"/>
      <c r="AG166" s="12"/>
      <c r="AH166" s="12"/>
      <c r="AI166" s="12"/>
    </row>
    <row r="167" spans="1:35" ht="15.75" x14ac:dyDescent="0.25">
      <c r="D167" s="259">
        <v>5</v>
      </c>
      <c r="E167" s="15">
        <v>0</v>
      </c>
      <c r="F167" s="15">
        <v>3</v>
      </c>
      <c r="G167" s="15">
        <v>2</v>
      </c>
      <c r="H167" s="15"/>
      <c r="I167" s="15"/>
      <c r="J167" s="15"/>
      <c r="K167" s="57">
        <v>42850</v>
      </c>
      <c r="L167" s="16">
        <f t="shared" si="24"/>
        <v>1.6666666666666667</v>
      </c>
      <c r="M167" s="258">
        <f t="shared" si="25"/>
        <v>2.5</v>
      </c>
      <c r="N167" s="258">
        <f t="shared" si="26"/>
        <v>3</v>
      </c>
      <c r="O167" s="16">
        <f t="shared" si="27"/>
        <v>2</v>
      </c>
      <c r="P167" s="16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0"/>
      <c r="AG167" s="10"/>
      <c r="AH167" s="10"/>
      <c r="AI167" s="10"/>
    </row>
    <row r="168" spans="1:35" ht="15.75" x14ac:dyDescent="0.25">
      <c r="D168" s="257">
        <v>6</v>
      </c>
      <c r="E168" s="15">
        <v>2</v>
      </c>
      <c r="F168" s="15">
        <v>1</v>
      </c>
      <c r="G168" s="15">
        <v>0</v>
      </c>
      <c r="H168" s="15">
        <v>3</v>
      </c>
      <c r="I168" s="15">
        <v>1</v>
      </c>
      <c r="J168" s="15">
        <v>0</v>
      </c>
      <c r="K168" s="57">
        <v>42858</v>
      </c>
      <c r="L168" s="16">
        <f t="shared" si="24"/>
        <v>1.1666666666666667</v>
      </c>
      <c r="M168" s="258">
        <f t="shared" si="25"/>
        <v>1.75</v>
      </c>
      <c r="N168" s="258">
        <f t="shared" si="26"/>
        <v>3</v>
      </c>
      <c r="O168" s="16">
        <f t="shared" si="27"/>
        <v>4</v>
      </c>
      <c r="P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2"/>
      <c r="AG168" s="12"/>
      <c r="AH168" s="12"/>
      <c r="AI168" s="12"/>
    </row>
    <row r="169" spans="1:35" ht="15.75" x14ac:dyDescent="0.25">
      <c r="D169" s="257">
        <v>7</v>
      </c>
      <c r="E169" s="15"/>
      <c r="F169" s="15"/>
      <c r="G169" s="15"/>
      <c r="H169" s="15"/>
      <c r="I169" s="15"/>
      <c r="J169" s="15"/>
      <c r="K169" s="57">
        <v>42838</v>
      </c>
      <c r="L169" s="16" t="str">
        <f t="shared" si="24"/>
        <v>N/A</v>
      </c>
      <c r="M169" s="258" t="str">
        <f t="shared" si="25"/>
        <v>N/A</v>
      </c>
      <c r="N169" s="258">
        <f t="shared" si="26"/>
        <v>0</v>
      </c>
      <c r="O169" s="16">
        <f t="shared" si="27"/>
        <v>0</v>
      </c>
      <c r="P169" s="16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0"/>
      <c r="AG169" s="10"/>
      <c r="AH169" s="10"/>
      <c r="AI169" s="10"/>
    </row>
    <row r="170" spans="1:35" ht="15.75" x14ac:dyDescent="0.25">
      <c r="D170" s="259">
        <v>8</v>
      </c>
      <c r="E170" s="15"/>
      <c r="F170" s="15"/>
      <c r="G170" s="15"/>
      <c r="H170" s="15"/>
      <c r="I170" s="15"/>
      <c r="J170" s="15"/>
      <c r="K170" s="57">
        <v>42836</v>
      </c>
      <c r="L170" s="16" t="str">
        <f t="shared" si="24"/>
        <v>N/A</v>
      </c>
      <c r="M170" s="258" t="str">
        <f t="shared" si="25"/>
        <v>N/A</v>
      </c>
      <c r="N170" s="258">
        <f t="shared" si="26"/>
        <v>0</v>
      </c>
      <c r="O170" s="16">
        <f t="shared" si="27"/>
        <v>0</v>
      </c>
      <c r="P170" s="15"/>
      <c r="Q170" s="15"/>
      <c r="R170" s="15"/>
      <c r="S170" s="15"/>
      <c r="T170" s="20"/>
      <c r="U170" s="15"/>
    </row>
    <row r="171" spans="1:35" ht="15.75" x14ac:dyDescent="0.25">
      <c r="D171" s="257">
        <v>9</v>
      </c>
      <c r="E171" s="15">
        <v>0</v>
      </c>
      <c r="F171" s="15"/>
      <c r="G171" s="15"/>
      <c r="H171" s="15"/>
      <c r="I171" s="15"/>
      <c r="J171" s="15"/>
      <c r="K171" s="57">
        <v>42842</v>
      </c>
      <c r="L171" s="16">
        <f t="shared" si="24"/>
        <v>0</v>
      </c>
      <c r="M171" s="258" t="str">
        <f t="shared" si="25"/>
        <v>N/A</v>
      </c>
      <c r="N171" s="258">
        <f t="shared" si="26"/>
        <v>0</v>
      </c>
      <c r="O171" s="16">
        <f t="shared" si="27"/>
        <v>0</v>
      </c>
      <c r="P171" s="16"/>
      <c r="Q171" s="16"/>
      <c r="R171" s="16"/>
      <c r="S171" s="16"/>
      <c r="T171" s="21"/>
      <c r="U171" s="16"/>
    </row>
    <row r="172" spans="1:35" ht="15.75" x14ac:dyDescent="0.25">
      <c r="D172" s="257">
        <v>10</v>
      </c>
      <c r="E172" s="15"/>
      <c r="F172" s="15"/>
      <c r="G172" s="15"/>
      <c r="H172" s="15"/>
      <c r="I172" s="15"/>
      <c r="J172" s="15"/>
      <c r="K172" s="57">
        <v>42836</v>
      </c>
      <c r="L172" s="16" t="str">
        <f t="shared" si="24"/>
        <v>N/A</v>
      </c>
      <c r="M172" s="258" t="str">
        <f t="shared" si="25"/>
        <v>N/A</v>
      </c>
      <c r="N172" s="258">
        <f t="shared" si="26"/>
        <v>0</v>
      </c>
      <c r="O172" s="16">
        <f t="shared" si="27"/>
        <v>0</v>
      </c>
      <c r="P172" s="15"/>
      <c r="Q172" s="15"/>
      <c r="R172" s="15"/>
      <c r="S172" s="15"/>
      <c r="T172" s="20"/>
      <c r="U172" s="15"/>
    </row>
    <row r="173" spans="1:35" ht="36.75" customHeight="1" x14ac:dyDescent="0.25">
      <c r="D173" s="259">
        <v>11</v>
      </c>
      <c r="E173" s="15">
        <v>1</v>
      </c>
      <c r="F173" s="15">
        <v>1</v>
      </c>
      <c r="G173" s="15">
        <v>3</v>
      </c>
      <c r="H173" s="15"/>
      <c r="I173" s="15"/>
      <c r="J173" s="15"/>
      <c r="K173" s="57">
        <v>42849</v>
      </c>
      <c r="L173" s="16">
        <f t="shared" si="24"/>
        <v>1.6666666666666667</v>
      </c>
      <c r="M173" s="258">
        <f t="shared" si="25"/>
        <v>1.6666666666666667</v>
      </c>
      <c r="N173" s="258">
        <f t="shared" si="26"/>
        <v>3</v>
      </c>
      <c r="O173" s="16">
        <f t="shared" si="27"/>
        <v>3</v>
      </c>
      <c r="P173" s="16"/>
      <c r="Q173" s="16"/>
      <c r="R173" s="16"/>
      <c r="S173" s="16"/>
      <c r="T173" s="21"/>
      <c r="U173" s="16"/>
    </row>
    <row r="174" spans="1:35" ht="15.75" x14ac:dyDescent="0.25">
      <c r="D174" s="257">
        <v>12</v>
      </c>
      <c r="E174" s="15"/>
      <c r="F174" s="15"/>
      <c r="G174" s="15"/>
      <c r="H174" s="15"/>
      <c r="I174" s="15"/>
      <c r="J174" s="15"/>
      <c r="K174" s="57">
        <v>42838</v>
      </c>
      <c r="L174" s="16" t="str">
        <f t="shared" si="24"/>
        <v>N/A</v>
      </c>
      <c r="M174" s="258" t="str">
        <f t="shared" si="25"/>
        <v>N/A</v>
      </c>
      <c r="N174" s="258">
        <f t="shared" si="26"/>
        <v>0</v>
      </c>
      <c r="O174" s="16">
        <f t="shared" si="27"/>
        <v>0</v>
      </c>
      <c r="P174" s="15"/>
      <c r="Q174" s="15"/>
      <c r="R174" s="15"/>
      <c r="S174" s="15"/>
      <c r="T174" s="20"/>
      <c r="U174" s="15"/>
    </row>
    <row r="175" spans="1:35" ht="15.75" x14ac:dyDescent="0.25">
      <c r="D175" s="257">
        <v>13</v>
      </c>
      <c r="E175" s="15">
        <v>0</v>
      </c>
      <c r="F175" s="15"/>
      <c r="G175" s="15"/>
      <c r="H175" s="15"/>
      <c r="I175" s="15"/>
      <c r="J175" s="15"/>
      <c r="K175" s="57">
        <v>42842</v>
      </c>
      <c r="L175" s="16">
        <f t="shared" si="24"/>
        <v>0</v>
      </c>
      <c r="M175" s="258" t="str">
        <f t="shared" si="25"/>
        <v>N/A</v>
      </c>
      <c r="N175" s="258">
        <f t="shared" si="26"/>
        <v>0</v>
      </c>
      <c r="O175" s="16">
        <f t="shared" si="27"/>
        <v>0</v>
      </c>
      <c r="P175" s="16"/>
      <c r="Q175" s="16"/>
      <c r="R175" s="16"/>
      <c r="S175" s="16"/>
      <c r="T175" s="21"/>
      <c r="U175" s="16"/>
    </row>
    <row r="176" spans="1:35" ht="15.75" x14ac:dyDescent="0.25">
      <c r="D176" s="259">
        <v>14</v>
      </c>
      <c r="E176" s="15">
        <v>0</v>
      </c>
      <c r="F176" s="15"/>
      <c r="G176" s="15"/>
      <c r="H176" s="15"/>
      <c r="I176" s="15"/>
      <c r="J176" s="15"/>
      <c r="K176" s="57">
        <v>42842</v>
      </c>
      <c r="L176" s="16">
        <f t="shared" si="24"/>
        <v>0</v>
      </c>
      <c r="M176" s="258" t="str">
        <f t="shared" si="25"/>
        <v>N/A</v>
      </c>
      <c r="N176" s="258">
        <f t="shared" si="26"/>
        <v>0</v>
      </c>
      <c r="O176" s="16">
        <f t="shared" si="27"/>
        <v>0</v>
      </c>
      <c r="P176" s="15"/>
      <c r="Q176" s="16"/>
      <c r="R176" s="16"/>
      <c r="S176" s="16"/>
      <c r="T176" s="21"/>
      <c r="U176" s="16"/>
    </row>
    <row r="177" spans="4:21" ht="15.75" x14ac:dyDescent="0.25">
      <c r="D177" s="257">
        <v>15</v>
      </c>
      <c r="E177" s="15">
        <v>0</v>
      </c>
      <c r="F177" s="15"/>
      <c r="G177" s="15"/>
      <c r="H177" s="15"/>
      <c r="I177" s="15"/>
      <c r="J177" s="15"/>
      <c r="K177" s="57">
        <v>42842</v>
      </c>
      <c r="L177" s="16">
        <f t="shared" si="24"/>
        <v>0</v>
      </c>
      <c r="M177" s="258" t="str">
        <f t="shared" si="25"/>
        <v>N/A</v>
      </c>
      <c r="N177" s="258">
        <f t="shared" si="26"/>
        <v>0</v>
      </c>
      <c r="O177" s="16">
        <f t="shared" si="27"/>
        <v>0</v>
      </c>
      <c r="P177" s="16"/>
      <c r="Q177" s="15"/>
      <c r="R177" s="15"/>
      <c r="S177" s="15"/>
      <c r="T177" s="20"/>
      <c r="U177" s="15"/>
    </row>
    <row r="178" spans="4:21" ht="15.75" x14ac:dyDescent="0.25">
      <c r="D178" s="257">
        <v>16</v>
      </c>
      <c r="E178" s="15">
        <v>0</v>
      </c>
      <c r="F178" s="15">
        <v>4</v>
      </c>
      <c r="G178" s="15">
        <v>3</v>
      </c>
      <c r="H178" s="15"/>
      <c r="I178" s="15"/>
      <c r="J178" s="15"/>
      <c r="K178" s="57">
        <v>42849</v>
      </c>
      <c r="L178" s="16">
        <f t="shared" si="24"/>
        <v>2.3333333333333335</v>
      </c>
      <c r="M178" s="258">
        <f t="shared" si="25"/>
        <v>3.5</v>
      </c>
      <c r="N178" s="258">
        <f t="shared" si="26"/>
        <v>4</v>
      </c>
      <c r="O178" s="16">
        <f t="shared" si="27"/>
        <v>2</v>
      </c>
      <c r="P178" s="15"/>
      <c r="Q178" s="16"/>
      <c r="R178" s="16"/>
      <c r="S178" s="16"/>
      <c r="T178" s="21"/>
      <c r="U178" s="16"/>
    </row>
    <row r="179" spans="4:21" ht="15.75" x14ac:dyDescent="0.25">
      <c r="D179" s="259">
        <v>17</v>
      </c>
      <c r="E179" s="15">
        <v>0</v>
      </c>
      <c r="F179" s="15"/>
      <c r="G179" s="15"/>
      <c r="H179" s="15"/>
      <c r="I179" s="15"/>
      <c r="J179" s="15"/>
      <c r="K179" s="57">
        <v>42842</v>
      </c>
      <c r="L179" s="16">
        <f t="shared" si="24"/>
        <v>0</v>
      </c>
      <c r="M179" s="258" t="str">
        <f t="shared" si="25"/>
        <v>N/A</v>
      </c>
      <c r="N179" s="258">
        <f t="shared" si="26"/>
        <v>0</v>
      </c>
      <c r="O179" s="16">
        <f t="shared" si="27"/>
        <v>0</v>
      </c>
      <c r="P179" s="16"/>
      <c r="Q179" s="15"/>
      <c r="R179" s="15"/>
      <c r="S179" s="15"/>
      <c r="T179" s="20"/>
      <c r="U179" s="15"/>
    </row>
    <row r="180" spans="4:21" ht="15.75" x14ac:dyDescent="0.25">
      <c r="D180" s="257">
        <v>18</v>
      </c>
      <c r="E180" s="15">
        <v>0</v>
      </c>
      <c r="F180" s="15">
        <v>2</v>
      </c>
      <c r="G180" s="15">
        <v>1</v>
      </c>
      <c r="H180" s="15"/>
      <c r="I180" s="15"/>
      <c r="J180" s="15"/>
      <c r="K180" s="57">
        <v>42849</v>
      </c>
      <c r="L180" s="16">
        <f t="shared" si="24"/>
        <v>1</v>
      </c>
      <c r="M180" s="258">
        <f t="shared" si="25"/>
        <v>1.5</v>
      </c>
      <c r="N180" s="258">
        <f t="shared" si="26"/>
        <v>2</v>
      </c>
      <c r="O180" s="16">
        <f t="shared" si="27"/>
        <v>2</v>
      </c>
      <c r="P180" s="15"/>
      <c r="Q180" s="16"/>
      <c r="R180" s="16"/>
      <c r="S180" s="16"/>
      <c r="T180" s="21"/>
      <c r="U180" s="16"/>
    </row>
    <row r="181" spans="4:21" ht="15.75" x14ac:dyDescent="0.25">
      <c r="D181" s="257">
        <v>19</v>
      </c>
      <c r="E181" s="15"/>
      <c r="F181" s="15"/>
      <c r="G181" s="15"/>
      <c r="H181" s="15"/>
      <c r="I181" s="15"/>
      <c r="J181" s="15"/>
      <c r="K181" s="57">
        <v>42836</v>
      </c>
      <c r="L181" s="16" t="str">
        <f t="shared" si="24"/>
        <v>N/A</v>
      </c>
      <c r="M181" s="258" t="str">
        <f t="shared" si="25"/>
        <v>N/A</v>
      </c>
      <c r="N181" s="258">
        <f t="shared" si="26"/>
        <v>0</v>
      </c>
      <c r="O181" s="16">
        <f t="shared" si="27"/>
        <v>0</v>
      </c>
      <c r="P181" s="16"/>
      <c r="Q181" s="15"/>
      <c r="R181" s="15"/>
      <c r="S181" s="15"/>
      <c r="T181" s="20"/>
      <c r="U181" s="15"/>
    </row>
    <row r="182" spans="4:21" ht="15.75" x14ac:dyDescent="0.25">
      <c r="D182" s="259">
        <v>20</v>
      </c>
      <c r="E182" s="15">
        <v>1</v>
      </c>
      <c r="F182" s="15">
        <v>0</v>
      </c>
      <c r="G182" s="15"/>
      <c r="H182" s="15"/>
      <c r="I182" s="15"/>
      <c r="J182" s="15"/>
      <c r="K182" s="57">
        <v>42844</v>
      </c>
      <c r="L182" s="16">
        <f t="shared" si="24"/>
        <v>0.5</v>
      </c>
      <c r="M182" s="258">
        <f t="shared" si="25"/>
        <v>1</v>
      </c>
      <c r="N182" s="258">
        <f t="shared" si="26"/>
        <v>1</v>
      </c>
      <c r="O182" s="16">
        <f t="shared" si="27"/>
        <v>1</v>
      </c>
      <c r="P182" s="15"/>
      <c r="Q182" s="16"/>
      <c r="R182" s="16"/>
      <c r="S182" s="16"/>
      <c r="T182" s="21"/>
      <c r="U182" s="16"/>
    </row>
    <row r="183" spans="4:21" ht="15.75" x14ac:dyDescent="0.25">
      <c r="D183" s="257">
        <v>21</v>
      </c>
      <c r="E183" s="15">
        <v>0</v>
      </c>
      <c r="F183" s="15">
        <v>0</v>
      </c>
      <c r="G183" s="60"/>
      <c r="H183" s="15"/>
      <c r="I183" s="15"/>
      <c r="J183" s="15"/>
      <c r="K183" s="57">
        <v>42849</v>
      </c>
      <c r="L183" s="16">
        <f t="shared" si="24"/>
        <v>0</v>
      </c>
      <c r="M183" s="258" t="str">
        <f t="shared" si="25"/>
        <v>N/A</v>
      </c>
      <c r="N183" s="258">
        <f t="shared" si="26"/>
        <v>0</v>
      </c>
      <c r="O183" s="16">
        <f t="shared" si="27"/>
        <v>0</v>
      </c>
      <c r="P183" s="16"/>
      <c r="Q183" s="15"/>
      <c r="R183" s="15"/>
      <c r="S183" s="15"/>
      <c r="T183" s="20"/>
      <c r="U183" s="15"/>
    </row>
    <row r="184" spans="4:21" ht="15.75" x14ac:dyDescent="0.25">
      <c r="D184" s="257">
        <v>22</v>
      </c>
      <c r="E184" s="15">
        <v>0</v>
      </c>
      <c r="F184" s="15"/>
      <c r="G184" s="15"/>
      <c r="H184" s="15"/>
      <c r="I184" s="15"/>
      <c r="J184" s="15"/>
      <c r="K184" s="57">
        <v>42842</v>
      </c>
      <c r="L184" s="16">
        <f t="shared" si="24"/>
        <v>0</v>
      </c>
      <c r="M184" s="258" t="str">
        <f t="shared" si="25"/>
        <v>N/A</v>
      </c>
      <c r="N184" s="258">
        <f t="shared" si="26"/>
        <v>0</v>
      </c>
      <c r="O184" s="16">
        <f t="shared" si="27"/>
        <v>0</v>
      </c>
      <c r="P184" s="15"/>
    </row>
    <row r="185" spans="4:21" ht="15.75" x14ac:dyDescent="0.25">
      <c r="D185" s="259">
        <v>23</v>
      </c>
      <c r="E185" s="15">
        <v>1</v>
      </c>
      <c r="F185" s="15"/>
      <c r="G185" s="15"/>
      <c r="H185" s="15"/>
      <c r="I185" s="15"/>
      <c r="J185" s="15"/>
      <c r="K185" s="57">
        <v>42842</v>
      </c>
      <c r="L185" s="16">
        <f t="shared" si="24"/>
        <v>1</v>
      </c>
      <c r="M185" s="258">
        <f t="shared" si="25"/>
        <v>1</v>
      </c>
      <c r="N185" s="258">
        <f t="shared" si="26"/>
        <v>1</v>
      </c>
      <c r="O185" s="16">
        <f t="shared" si="27"/>
        <v>1</v>
      </c>
      <c r="P185" s="16"/>
    </row>
    <row r="186" spans="4:21" ht="15.75" x14ac:dyDescent="0.25">
      <c r="D186" s="257">
        <v>24</v>
      </c>
      <c r="E186" s="15">
        <v>1</v>
      </c>
      <c r="F186" s="15">
        <v>1</v>
      </c>
      <c r="G186" s="15"/>
      <c r="H186" s="15"/>
      <c r="I186" s="15"/>
      <c r="J186" s="15"/>
      <c r="K186" s="57">
        <v>42846</v>
      </c>
      <c r="L186" s="16">
        <f t="shared" si="24"/>
        <v>1</v>
      </c>
      <c r="M186" s="258">
        <f t="shared" si="25"/>
        <v>1</v>
      </c>
      <c r="N186" s="258">
        <f t="shared" si="26"/>
        <v>1</v>
      </c>
      <c r="O186" s="16">
        <f t="shared" si="27"/>
        <v>2</v>
      </c>
      <c r="P186" s="15"/>
    </row>
    <row r="187" spans="4:21" ht="15.75" x14ac:dyDescent="0.25">
      <c r="D187" s="257">
        <v>25</v>
      </c>
      <c r="E187" s="15">
        <v>1</v>
      </c>
      <c r="F187" s="15"/>
      <c r="G187" s="15"/>
      <c r="H187" s="15"/>
      <c r="I187" s="15"/>
      <c r="J187" s="15"/>
      <c r="K187" s="57">
        <v>42843</v>
      </c>
      <c r="L187" s="16">
        <f t="shared" si="24"/>
        <v>1</v>
      </c>
      <c r="M187" s="258">
        <f t="shared" si="25"/>
        <v>1</v>
      </c>
      <c r="N187" s="258">
        <f t="shared" si="26"/>
        <v>1</v>
      </c>
      <c r="O187" s="16">
        <f t="shared" si="27"/>
        <v>1</v>
      </c>
      <c r="P187" s="16"/>
    </row>
    <row r="188" spans="4:21" ht="15.75" x14ac:dyDescent="0.25">
      <c r="D188" s="259">
        <v>26</v>
      </c>
      <c r="E188" s="15">
        <v>1</v>
      </c>
      <c r="F188" s="15">
        <v>2</v>
      </c>
      <c r="G188" s="15">
        <v>3</v>
      </c>
      <c r="H188" s="15"/>
      <c r="I188" s="15"/>
      <c r="J188" s="15"/>
      <c r="K188" s="57">
        <v>42850</v>
      </c>
      <c r="L188" s="16">
        <f t="shared" si="24"/>
        <v>2</v>
      </c>
      <c r="M188" s="258">
        <f t="shared" si="25"/>
        <v>2</v>
      </c>
      <c r="N188" s="258">
        <f t="shared" si="26"/>
        <v>3</v>
      </c>
      <c r="O188" s="16">
        <f t="shared" si="27"/>
        <v>3</v>
      </c>
      <c r="P188" s="15"/>
    </row>
    <row r="189" spans="4:21" ht="15.75" x14ac:dyDescent="0.25">
      <c r="D189" s="257">
        <v>27</v>
      </c>
      <c r="E189" s="15">
        <v>0</v>
      </c>
      <c r="F189" s="15"/>
      <c r="G189" s="15"/>
      <c r="H189" s="15"/>
      <c r="I189" s="15"/>
      <c r="J189" s="15"/>
      <c r="K189" s="57">
        <v>42839</v>
      </c>
      <c r="L189" s="16">
        <f t="shared" si="24"/>
        <v>0</v>
      </c>
      <c r="M189" s="258" t="str">
        <f t="shared" si="25"/>
        <v>N/A</v>
      </c>
      <c r="N189" s="258">
        <f t="shared" si="26"/>
        <v>0</v>
      </c>
      <c r="O189" s="16">
        <f t="shared" si="27"/>
        <v>0</v>
      </c>
      <c r="P189" s="16"/>
    </row>
    <row r="190" spans="4:21" ht="15.75" x14ac:dyDescent="0.25">
      <c r="D190" s="257">
        <v>28</v>
      </c>
      <c r="E190" s="15">
        <v>0</v>
      </c>
      <c r="F190" s="15">
        <v>0</v>
      </c>
      <c r="G190" s="15">
        <v>1</v>
      </c>
      <c r="H190" s="15"/>
      <c r="I190" s="15"/>
      <c r="J190" s="15"/>
      <c r="K190" s="57">
        <v>42849</v>
      </c>
      <c r="L190" s="16">
        <f t="shared" si="24"/>
        <v>0.33333333333333331</v>
      </c>
      <c r="M190" s="258">
        <f t="shared" si="25"/>
        <v>1</v>
      </c>
      <c r="N190" s="258">
        <f t="shared" si="26"/>
        <v>1</v>
      </c>
      <c r="O190" s="16">
        <f t="shared" si="27"/>
        <v>1</v>
      </c>
      <c r="P190" s="15"/>
    </row>
    <row r="191" spans="4:21" ht="15.75" x14ac:dyDescent="0.25">
      <c r="D191" s="259">
        <v>29</v>
      </c>
      <c r="E191" s="15">
        <v>0</v>
      </c>
      <c r="F191" s="15">
        <v>0</v>
      </c>
      <c r="G191" s="15">
        <v>3</v>
      </c>
      <c r="H191" s="15">
        <v>3</v>
      </c>
      <c r="I191" s="15"/>
      <c r="J191" s="15"/>
      <c r="K191" s="57">
        <v>42851</v>
      </c>
      <c r="L191" s="16">
        <f t="shared" si="24"/>
        <v>1.5</v>
      </c>
      <c r="M191" s="258">
        <f t="shared" si="25"/>
        <v>3</v>
      </c>
      <c r="N191" s="258">
        <f t="shared" si="26"/>
        <v>3</v>
      </c>
      <c r="O191" s="16">
        <f t="shared" si="27"/>
        <v>2</v>
      </c>
      <c r="P191" s="16"/>
    </row>
    <row r="192" spans="4:21" ht="15.75" x14ac:dyDescent="0.25">
      <c r="D192" s="257">
        <v>30</v>
      </c>
      <c r="E192" s="15">
        <v>0</v>
      </c>
      <c r="F192" s="15">
        <v>3</v>
      </c>
      <c r="G192" s="15"/>
      <c r="H192" s="15"/>
      <c r="I192" s="15"/>
      <c r="J192" s="15"/>
      <c r="K192" s="57">
        <v>42844</v>
      </c>
      <c r="L192" s="16">
        <f t="shared" si="24"/>
        <v>1.5</v>
      </c>
      <c r="M192" s="258">
        <f t="shared" si="25"/>
        <v>3</v>
      </c>
      <c r="N192" s="258">
        <f t="shared" si="26"/>
        <v>3</v>
      </c>
      <c r="O192" s="16">
        <f t="shared" si="27"/>
        <v>1</v>
      </c>
      <c r="P192" s="15"/>
    </row>
    <row r="193" spans="4:16" ht="15.75" x14ac:dyDescent="0.25">
      <c r="D193" s="257">
        <v>31</v>
      </c>
      <c r="E193" s="15">
        <v>0</v>
      </c>
      <c r="F193" s="15">
        <v>2</v>
      </c>
      <c r="G193" s="15">
        <v>4</v>
      </c>
      <c r="H193" s="15"/>
      <c r="I193" s="15"/>
      <c r="J193" s="15"/>
      <c r="K193" s="57">
        <v>42849</v>
      </c>
      <c r="L193" s="16">
        <f t="shared" si="24"/>
        <v>2</v>
      </c>
      <c r="M193" s="258">
        <f t="shared" si="25"/>
        <v>3</v>
      </c>
      <c r="N193" s="258">
        <f t="shared" si="26"/>
        <v>4</v>
      </c>
      <c r="O193" s="16">
        <f t="shared" si="27"/>
        <v>2</v>
      </c>
      <c r="P193" s="16"/>
    </row>
    <row r="194" spans="4:16" ht="15.75" x14ac:dyDescent="0.25">
      <c r="D194" s="259">
        <v>32</v>
      </c>
      <c r="E194" s="15">
        <v>0</v>
      </c>
      <c r="F194" s="15"/>
      <c r="G194" s="15"/>
      <c r="H194" s="15"/>
      <c r="I194" s="15"/>
      <c r="J194" s="15"/>
      <c r="K194" s="57">
        <v>42839</v>
      </c>
      <c r="L194" s="16">
        <f t="shared" si="24"/>
        <v>0</v>
      </c>
      <c r="M194" s="258" t="str">
        <f t="shared" si="25"/>
        <v>N/A</v>
      </c>
      <c r="N194" s="258">
        <f t="shared" si="26"/>
        <v>0</v>
      </c>
      <c r="O194" s="16">
        <f t="shared" si="27"/>
        <v>0</v>
      </c>
      <c r="P194" s="15"/>
    </row>
    <row r="195" spans="4:16" ht="15.75" x14ac:dyDescent="0.25">
      <c r="D195" s="257">
        <v>33</v>
      </c>
      <c r="E195" s="15">
        <v>1</v>
      </c>
      <c r="F195" s="15">
        <v>2</v>
      </c>
      <c r="G195" s="15">
        <v>0</v>
      </c>
      <c r="H195" s="15"/>
      <c r="I195" s="15"/>
      <c r="J195" s="15"/>
      <c r="K195" s="57">
        <v>42849</v>
      </c>
      <c r="L195" s="16">
        <f t="shared" si="24"/>
        <v>1</v>
      </c>
      <c r="M195" s="258">
        <f t="shared" si="25"/>
        <v>1.5</v>
      </c>
      <c r="N195" s="258">
        <f t="shared" si="26"/>
        <v>2</v>
      </c>
      <c r="O195" s="16">
        <f t="shared" si="27"/>
        <v>2</v>
      </c>
      <c r="P195" s="16"/>
    </row>
    <row r="196" spans="4:16" ht="15.75" x14ac:dyDescent="0.25">
      <c r="D196" s="257">
        <v>34</v>
      </c>
      <c r="E196" s="15">
        <v>0</v>
      </c>
      <c r="F196" s="15">
        <v>0</v>
      </c>
      <c r="G196" s="15"/>
      <c r="H196" s="15"/>
      <c r="I196" s="15"/>
      <c r="J196" s="15"/>
      <c r="K196" s="57">
        <v>42844</v>
      </c>
      <c r="L196" s="16">
        <f t="shared" si="24"/>
        <v>0</v>
      </c>
      <c r="M196" s="258" t="str">
        <f t="shared" si="25"/>
        <v>N/A</v>
      </c>
      <c r="N196" s="258">
        <f t="shared" si="26"/>
        <v>0</v>
      </c>
      <c r="O196" s="16">
        <f t="shared" si="27"/>
        <v>0</v>
      </c>
      <c r="P196" s="15"/>
    </row>
    <row r="197" spans="4:16" ht="15.75" x14ac:dyDescent="0.25">
      <c r="D197" s="259">
        <v>35</v>
      </c>
      <c r="E197" s="15">
        <v>0</v>
      </c>
      <c r="F197" s="15">
        <v>0</v>
      </c>
      <c r="G197" s="15"/>
      <c r="H197" s="15"/>
      <c r="I197" s="15"/>
      <c r="J197" s="15"/>
      <c r="K197" s="57">
        <v>42844</v>
      </c>
      <c r="L197" s="16">
        <f t="shared" si="24"/>
        <v>0</v>
      </c>
      <c r="M197" s="258" t="str">
        <f t="shared" si="25"/>
        <v>N/A</v>
      </c>
      <c r="N197" s="258">
        <f t="shared" si="26"/>
        <v>0</v>
      </c>
      <c r="O197" s="16">
        <f t="shared" si="27"/>
        <v>0</v>
      </c>
      <c r="P197" s="16"/>
    </row>
    <row r="198" spans="4:16" ht="15.75" x14ac:dyDescent="0.25">
      <c r="D198" s="257">
        <v>36</v>
      </c>
      <c r="E198" s="15"/>
      <c r="F198" s="15"/>
      <c r="G198" s="15"/>
      <c r="H198" s="15"/>
      <c r="I198" s="15"/>
      <c r="J198" s="15"/>
      <c r="K198" s="57">
        <v>42837</v>
      </c>
      <c r="L198" s="16" t="str">
        <f t="shared" si="24"/>
        <v>N/A</v>
      </c>
      <c r="M198" s="258" t="str">
        <f t="shared" si="25"/>
        <v>N/A</v>
      </c>
      <c r="N198" s="258">
        <f t="shared" si="26"/>
        <v>0</v>
      </c>
      <c r="O198" s="16">
        <f t="shared" si="27"/>
        <v>0</v>
      </c>
      <c r="P198" s="15"/>
    </row>
    <row r="199" spans="4:16" ht="15.75" x14ac:dyDescent="0.25">
      <c r="D199" s="257">
        <v>37</v>
      </c>
      <c r="E199" s="15">
        <v>1</v>
      </c>
      <c r="F199" s="15"/>
      <c r="G199" s="15"/>
      <c r="H199" s="15"/>
      <c r="I199" s="15"/>
      <c r="J199" s="15"/>
      <c r="K199" s="57">
        <v>42843</v>
      </c>
      <c r="L199" s="16">
        <f t="shared" si="24"/>
        <v>1</v>
      </c>
      <c r="M199" s="258">
        <f t="shared" si="25"/>
        <v>1</v>
      </c>
      <c r="N199" s="258">
        <f t="shared" si="26"/>
        <v>1</v>
      </c>
      <c r="O199" s="16">
        <f t="shared" si="27"/>
        <v>1</v>
      </c>
      <c r="P199" s="16"/>
    </row>
    <row r="200" spans="4:16" ht="15.75" x14ac:dyDescent="0.25">
      <c r="D200" s="259">
        <v>38</v>
      </c>
      <c r="E200" s="15">
        <v>1</v>
      </c>
      <c r="F200" s="15">
        <v>2</v>
      </c>
      <c r="G200" s="15">
        <v>3</v>
      </c>
      <c r="H200" s="15">
        <v>4</v>
      </c>
      <c r="I200" s="15">
        <v>3</v>
      </c>
      <c r="J200" s="15"/>
      <c r="K200" s="57">
        <v>42857</v>
      </c>
      <c r="L200" s="16">
        <f t="shared" si="24"/>
        <v>2.6</v>
      </c>
      <c r="M200" s="258">
        <f t="shared" si="25"/>
        <v>2.6</v>
      </c>
      <c r="N200" s="258">
        <f t="shared" si="26"/>
        <v>4</v>
      </c>
      <c r="O200" s="16">
        <f t="shared" si="27"/>
        <v>5</v>
      </c>
      <c r="P200" s="15"/>
    </row>
    <row r="201" spans="4:16" ht="15.75" x14ac:dyDescent="0.25">
      <c r="D201" s="257">
        <v>39</v>
      </c>
      <c r="E201" s="15"/>
      <c r="F201" s="15"/>
      <c r="G201" s="15"/>
      <c r="H201" s="15"/>
      <c r="I201" s="15"/>
      <c r="J201" s="15"/>
      <c r="K201" s="57">
        <v>42837</v>
      </c>
      <c r="L201" s="16" t="str">
        <f t="shared" si="24"/>
        <v>N/A</v>
      </c>
      <c r="M201" s="258" t="str">
        <f t="shared" si="25"/>
        <v>N/A</v>
      </c>
      <c r="N201" s="258">
        <f t="shared" si="26"/>
        <v>0</v>
      </c>
      <c r="O201" s="16">
        <f t="shared" si="27"/>
        <v>0</v>
      </c>
      <c r="P201" s="15"/>
    </row>
    <row r="202" spans="4:16" ht="16.5" thickBot="1" x14ac:dyDescent="0.3">
      <c r="D202" s="265">
        <v>40</v>
      </c>
      <c r="E202" s="246">
        <v>2</v>
      </c>
      <c r="F202" s="246"/>
      <c r="G202" s="246"/>
      <c r="H202" s="246"/>
      <c r="I202" s="246"/>
      <c r="J202" s="246"/>
      <c r="K202" s="247">
        <v>42839</v>
      </c>
      <c r="L202" s="50">
        <f t="shared" si="24"/>
        <v>2</v>
      </c>
      <c r="M202" s="266">
        <f t="shared" si="25"/>
        <v>2</v>
      </c>
      <c r="N202" s="258">
        <f t="shared" si="26"/>
        <v>2</v>
      </c>
      <c r="O202" s="16">
        <f t="shared" si="27"/>
        <v>1</v>
      </c>
      <c r="P202" s="16"/>
    </row>
    <row r="203" spans="4:16" ht="32.25" thickTop="1" x14ac:dyDescent="0.25">
      <c r="D203" s="260" t="s">
        <v>108</v>
      </c>
      <c r="E203" s="15">
        <f t="shared" ref="E203:J203" si="28">AVERAGE(E$163:E$202)</f>
        <v>0.48484848484848486</v>
      </c>
      <c r="F203" s="15">
        <f t="shared" si="28"/>
        <v>1.368421052631579</v>
      </c>
      <c r="G203" s="15">
        <f t="shared" si="28"/>
        <v>2.0833333333333335</v>
      </c>
      <c r="H203" s="15">
        <f t="shared" si="28"/>
        <v>3.3333333333333335</v>
      </c>
      <c r="I203" s="15">
        <f t="shared" si="28"/>
        <v>2</v>
      </c>
      <c r="J203" s="15">
        <f t="shared" si="28"/>
        <v>0</v>
      </c>
      <c r="K203" s="57" t="s">
        <v>113</v>
      </c>
      <c r="L203" s="15">
        <f>AVERAGE(E203:J203)</f>
        <v>1.5449893673577886</v>
      </c>
      <c r="M203" s="261"/>
      <c r="N203" s="251"/>
      <c r="O203" s="15"/>
      <c r="P203" s="15"/>
    </row>
    <row r="204" spans="4:16" ht="16.5" thickBot="1" x14ac:dyDescent="0.3">
      <c r="D204" s="262" t="s">
        <v>111</v>
      </c>
      <c r="E204" s="263">
        <f t="shared" ref="E204:J204" si="29">IFERROR(AVERAGEIF(E163:E202,"&gt;"&amp;0),"N/A")</f>
        <v>1.2307692307692308</v>
      </c>
      <c r="F204" s="263">
        <f t="shared" si="29"/>
        <v>2.1666666666666665</v>
      </c>
      <c r="G204" s="263">
        <f t="shared" si="29"/>
        <v>2.5</v>
      </c>
      <c r="H204" s="263">
        <f t="shared" si="29"/>
        <v>3.3333333333333335</v>
      </c>
      <c r="I204" s="263">
        <f t="shared" si="29"/>
        <v>2</v>
      </c>
      <c r="J204" s="263" t="str">
        <f t="shared" si="29"/>
        <v>N/A</v>
      </c>
      <c r="K204" s="377" t="s">
        <v>112</v>
      </c>
      <c r="L204" s="378"/>
      <c r="M204" s="264">
        <f>AVERAGE(M163:M202)</f>
        <v>1.9008333333333334</v>
      </c>
      <c r="N204" s="252"/>
      <c r="O204" s="16"/>
      <c r="P204" s="16"/>
    </row>
    <row r="205" spans="4:16" ht="15.75" x14ac:dyDescent="0.25">
      <c r="D205" s="20"/>
      <c r="E205" s="15"/>
      <c r="F205" s="15"/>
      <c r="G205" s="15"/>
      <c r="H205" s="15"/>
      <c r="I205" s="15"/>
      <c r="J205" s="15"/>
      <c r="K205" s="57"/>
      <c r="L205" s="15"/>
      <c r="M205" s="15"/>
      <c r="N205" s="15"/>
      <c r="O205" s="15"/>
      <c r="P205" s="15"/>
    </row>
    <row r="206" spans="4:16" ht="15.75" x14ac:dyDescent="0.25">
      <c r="D206" s="21"/>
      <c r="E206" s="16"/>
      <c r="F206" s="16"/>
      <c r="G206" s="16"/>
      <c r="H206" s="16"/>
      <c r="I206" s="16"/>
      <c r="J206" s="16"/>
      <c r="K206" s="58"/>
      <c r="L206" s="16"/>
      <c r="M206" s="16"/>
      <c r="N206" s="16"/>
      <c r="O206" s="16"/>
      <c r="P206" s="16"/>
    </row>
    <row r="207" spans="4:16" ht="15.75" x14ac:dyDescent="0.25">
      <c r="D207" s="21"/>
      <c r="E207" s="16"/>
      <c r="F207" s="16"/>
      <c r="G207" s="16"/>
      <c r="H207" s="16"/>
      <c r="I207" s="16"/>
      <c r="J207" s="16"/>
      <c r="K207" s="58"/>
      <c r="L207" s="16"/>
      <c r="M207" s="16"/>
      <c r="N207" s="16"/>
      <c r="O207" s="16"/>
      <c r="P207" s="16"/>
    </row>
    <row r="208" spans="4:16" ht="15.75" x14ac:dyDescent="0.25">
      <c r="D208" s="20"/>
      <c r="E208" s="15"/>
      <c r="F208" s="15"/>
      <c r="G208" s="15"/>
      <c r="H208" s="15"/>
      <c r="I208" s="15"/>
      <c r="J208" s="15"/>
      <c r="K208" s="57"/>
      <c r="L208" s="15"/>
      <c r="M208" s="15"/>
      <c r="N208" s="15"/>
      <c r="O208" s="15"/>
      <c r="P208" s="15"/>
    </row>
    <row r="209" spans="4:16" ht="15.75" x14ac:dyDescent="0.25">
      <c r="D209" s="21"/>
      <c r="E209" s="16"/>
      <c r="F209" s="16"/>
      <c r="G209" s="16"/>
      <c r="H209" s="16"/>
      <c r="I209" s="16"/>
      <c r="J209" s="16"/>
      <c r="K209" s="58"/>
      <c r="L209" s="16"/>
      <c r="M209" s="16"/>
      <c r="N209" s="16"/>
      <c r="O209" s="16"/>
      <c r="P209" s="16"/>
    </row>
    <row r="210" spans="4:16" ht="15.75" x14ac:dyDescent="0.25">
      <c r="D210" s="20"/>
      <c r="E210" s="15"/>
      <c r="F210" s="15"/>
      <c r="G210" s="15"/>
      <c r="H210" s="15"/>
      <c r="I210" s="15"/>
      <c r="J210" s="15"/>
      <c r="K210" s="57"/>
      <c r="L210" s="15"/>
      <c r="M210" s="15"/>
      <c r="N210" s="15"/>
      <c r="O210" s="15"/>
      <c r="P210" s="15"/>
    </row>
    <row r="211" spans="4:16" ht="15.75" x14ac:dyDescent="0.25">
      <c r="D211" s="21"/>
      <c r="E211" s="16"/>
      <c r="F211" s="16"/>
      <c r="G211" s="16"/>
      <c r="H211" s="16"/>
      <c r="I211" s="16"/>
      <c r="J211" s="16"/>
      <c r="K211" s="58"/>
      <c r="L211" s="16"/>
      <c r="M211" s="16"/>
      <c r="N211" s="16"/>
      <c r="O211" s="16"/>
      <c r="P211" s="16"/>
    </row>
    <row r="212" spans="4:16" ht="15.75" x14ac:dyDescent="0.25">
      <c r="D212" s="20"/>
      <c r="E212" s="15"/>
      <c r="F212" s="15"/>
      <c r="G212" s="15"/>
      <c r="H212" s="15"/>
      <c r="I212" s="15"/>
      <c r="J212" s="15"/>
      <c r="K212" s="57"/>
      <c r="L212" s="15"/>
      <c r="M212" s="15"/>
      <c r="N212" s="15"/>
      <c r="O212" s="15"/>
      <c r="P212" s="15"/>
    </row>
    <row r="213" spans="4:16" ht="15.75" x14ac:dyDescent="0.25">
      <c r="D213" s="21"/>
      <c r="E213" s="16"/>
      <c r="F213" s="16"/>
      <c r="G213" s="16"/>
      <c r="H213" s="16"/>
      <c r="I213" s="16"/>
      <c r="J213" s="16"/>
      <c r="K213" s="58"/>
      <c r="L213" s="16"/>
      <c r="M213" s="16"/>
      <c r="N213" s="16"/>
      <c r="O213" s="16"/>
      <c r="P213" s="16"/>
    </row>
    <row r="214" spans="4:16" ht="15.75" x14ac:dyDescent="0.25">
      <c r="D214" s="20"/>
      <c r="E214" s="15"/>
      <c r="F214" s="15"/>
      <c r="G214" s="15"/>
      <c r="H214" s="15"/>
      <c r="I214" s="15"/>
      <c r="J214" s="15"/>
      <c r="K214" s="57"/>
      <c r="L214" s="15"/>
      <c r="M214" s="15"/>
      <c r="N214" s="15"/>
      <c r="O214" s="15"/>
      <c r="P214" s="15"/>
    </row>
  </sheetData>
  <sortState ref="Y5:Y44">
    <sortCondition ref="Y5"/>
  </sortState>
  <mergeCells count="15">
    <mergeCell ref="N160:N161"/>
    <mergeCell ref="O160:O161"/>
    <mergeCell ref="K126:L126"/>
    <mergeCell ref="K204:L204"/>
    <mergeCell ref="I1:K1"/>
    <mergeCell ref="L160:L161"/>
    <mergeCell ref="M160:M161"/>
    <mergeCell ref="S3:W3"/>
    <mergeCell ref="A149:A153"/>
    <mergeCell ref="A154:A158"/>
    <mergeCell ref="B128:C128"/>
    <mergeCell ref="A129:A133"/>
    <mergeCell ref="A134:A138"/>
    <mergeCell ref="A139:A143"/>
    <mergeCell ref="A144:A148"/>
  </mergeCells>
  <conditionalFormatting sqref="D5:D124">
    <cfRule type="expression" dxfId="70" priority="1">
      <formula>AND($L5,$M5)</formula>
    </cfRule>
  </conditionalFormatting>
  <conditionalFormatting sqref="E5:J124 E163:J202">
    <cfRule type="expression" dxfId="69" priority="259">
      <formula>E$4:J$4&gt;$K5:$K202</formula>
    </cfRule>
    <cfRule type="expression" dxfId="68" priority="260">
      <formula>E$4:J$4=$K5:$K202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F4141"/>
  </sheetPr>
  <dimension ref="A1:ES179"/>
  <sheetViews>
    <sheetView workbookViewId="0"/>
  </sheetViews>
  <sheetFormatPr defaultRowHeight="15" x14ac:dyDescent="0.25"/>
  <cols>
    <col min="1" max="1" width="13.42578125" customWidth="1"/>
    <col min="2" max="2" width="14.140625" customWidth="1"/>
  </cols>
  <sheetData>
    <row r="1" spans="1:149" ht="36" x14ac:dyDescent="0.5">
      <c r="B1" s="1" t="s">
        <v>0</v>
      </c>
      <c r="C1" s="2"/>
      <c r="D1" s="2"/>
      <c r="E1" s="2"/>
      <c r="F1" s="2"/>
      <c r="G1" s="2"/>
      <c r="H1" s="2"/>
      <c r="I1" s="2"/>
      <c r="J1" s="2" t="b">
        <f>INDEX('Albopictus PCR'!$C$6:$M$202,MATCH(D6,'Albopictus PCR'!$C$5:$C$202,0),6)</f>
        <v>1</v>
      </c>
      <c r="K1" s="2" t="b">
        <f>INDEX('Albopictus PCR'!$C$6:$M$202,MATCH(9,'Albopictus PCR'!$C$6:$C$202,0),6)</f>
        <v>1</v>
      </c>
      <c r="L1" s="2" t="b">
        <f>INDEX('Albopictus PCR'!$C$6:$M$202,MATCH(F6,'Albopictus PCR'!$C$5:$C$202,0),6)</f>
        <v>1</v>
      </c>
      <c r="M1" s="2" t="b">
        <f>INDEX('Albopictus PCR'!$C$6:$M$202,MATCH(G6,'Albopictus PCR'!$C$5:$C$202,0),6)</f>
        <v>1</v>
      </c>
      <c r="N1" s="382" t="s">
        <v>8</v>
      </c>
      <c r="O1" s="383"/>
      <c r="P1" s="383"/>
      <c r="Q1" s="383"/>
      <c r="R1" s="383"/>
      <c r="S1" s="383"/>
      <c r="T1" s="383"/>
      <c r="U1" s="383"/>
      <c r="V1" s="2"/>
      <c r="W1" s="2"/>
      <c r="X1" s="2"/>
      <c r="Y1" s="2"/>
      <c r="Z1" s="2"/>
      <c r="AA1" s="2"/>
      <c r="AB1" s="2"/>
      <c r="AC1" s="2"/>
      <c r="AD1" s="189"/>
      <c r="AE1" s="3"/>
      <c r="AF1" s="3"/>
      <c r="AG1" s="3"/>
      <c r="AH1" s="3"/>
      <c r="AS1" t="s">
        <v>71</v>
      </c>
    </row>
    <row r="2" spans="1:149" x14ac:dyDescent="0.25">
      <c r="H2" s="358" t="s">
        <v>84</v>
      </c>
      <c r="I2" s="358"/>
    </row>
    <row r="3" spans="1:149" ht="15" customHeight="1" x14ac:dyDescent="0.25">
      <c r="B3" s="17"/>
      <c r="C3" s="13">
        <v>42835</v>
      </c>
      <c r="D3" s="13">
        <v>42836</v>
      </c>
      <c r="E3" s="13">
        <v>42837</v>
      </c>
      <c r="F3" s="155">
        <v>42838</v>
      </c>
      <c r="G3" s="13">
        <v>42839</v>
      </c>
      <c r="H3" s="191">
        <v>42840</v>
      </c>
      <c r="I3" s="191">
        <v>42841</v>
      </c>
      <c r="J3" s="13">
        <v>42842</v>
      </c>
      <c r="K3" s="155">
        <v>42843</v>
      </c>
      <c r="L3" s="13">
        <v>42844</v>
      </c>
      <c r="M3" s="13">
        <v>42845</v>
      </c>
      <c r="N3" s="155">
        <v>42846</v>
      </c>
      <c r="O3" s="191">
        <v>42847</v>
      </c>
      <c r="P3" s="191">
        <v>42848</v>
      </c>
      <c r="Q3" s="13">
        <v>42849</v>
      </c>
      <c r="R3" s="155">
        <v>42850</v>
      </c>
      <c r="S3" s="13">
        <v>42851</v>
      </c>
      <c r="T3" s="13">
        <v>42852</v>
      </c>
      <c r="U3" s="155">
        <v>42853</v>
      </c>
      <c r="V3" s="191">
        <v>42854</v>
      </c>
      <c r="W3" s="191">
        <v>42855</v>
      </c>
      <c r="X3" s="13">
        <v>42856</v>
      </c>
      <c r="Y3" s="155">
        <v>42857</v>
      </c>
      <c r="Z3" s="13">
        <v>42858</v>
      </c>
      <c r="AA3" s="13">
        <v>42859</v>
      </c>
      <c r="AB3" s="155">
        <v>42860</v>
      </c>
      <c r="AC3" s="191">
        <v>42861</v>
      </c>
      <c r="AD3" s="191">
        <v>42862</v>
      </c>
      <c r="AE3" s="13">
        <v>42863</v>
      </c>
      <c r="AF3" s="155">
        <v>42864</v>
      </c>
      <c r="AG3" s="13">
        <v>42865</v>
      </c>
      <c r="AH3" s="13">
        <v>42866</v>
      </c>
      <c r="AI3" s="155">
        <v>42867</v>
      </c>
      <c r="AJ3" s="191">
        <v>42868</v>
      </c>
      <c r="AK3" s="191">
        <v>42869</v>
      </c>
      <c r="AL3" s="13">
        <v>42870</v>
      </c>
      <c r="AM3" s="155">
        <v>42871</v>
      </c>
      <c r="AN3" s="13">
        <v>42872</v>
      </c>
      <c r="AO3" s="13">
        <v>42873</v>
      </c>
      <c r="AP3" s="13">
        <v>42874</v>
      </c>
      <c r="AQ3" s="6"/>
      <c r="AR3" s="6"/>
      <c r="AS3" s="6"/>
      <c r="AT3" s="6"/>
    </row>
    <row r="4" spans="1:149" ht="15" customHeight="1" x14ac:dyDescent="0.25">
      <c r="B4" s="121" t="s">
        <v>49</v>
      </c>
      <c r="C4" s="120">
        <v>0</v>
      </c>
      <c r="D4" s="120">
        <v>1</v>
      </c>
      <c r="E4" s="120">
        <v>2</v>
      </c>
      <c r="F4" s="120">
        <v>3</v>
      </c>
      <c r="G4" s="120">
        <v>4</v>
      </c>
      <c r="H4" s="120">
        <v>5</v>
      </c>
      <c r="I4" s="120">
        <v>6</v>
      </c>
      <c r="J4" s="120">
        <v>7</v>
      </c>
      <c r="K4" s="120">
        <v>8</v>
      </c>
      <c r="L4" s="120">
        <v>9</v>
      </c>
      <c r="M4" s="120">
        <v>10</v>
      </c>
      <c r="N4" s="120">
        <v>11</v>
      </c>
      <c r="O4" s="120">
        <v>12</v>
      </c>
      <c r="P4" s="120">
        <v>13</v>
      </c>
      <c r="Q4" s="120">
        <v>14</v>
      </c>
      <c r="R4" s="120">
        <v>15</v>
      </c>
      <c r="S4" s="120">
        <v>16</v>
      </c>
      <c r="T4" s="120">
        <v>17</v>
      </c>
      <c r="U4" s="120">
        <v>18</v>
      </c>
      <c r="V4" s="120">
        <v>19</v>
      </c>
      <c r="W4" s="120">
        <v>20</v>
      </c>
      <c r="X4" s="120">
        <v>21</v>
      </c>
      <c r="Y4" s="120">
        <v>22</v>
      </c>
      <c r="Z4" s="120">
        <v>23</v>
      </c>
      <c r="AA4" s="120">
        <v>24</v>
      </c>
      <c r="AB4" s="120">
        <v>25</v>
      </c>
      <c r="AC4" s="120">
        <v>26</v>
      </c>
      <c r="AD4" s="120">
        <v>27</v>
      </c>
      <c r="AE4" s="120">
        <v>28</v>
      </c>
      <c r="AF4" s="120">
        <v>29</v>
      </c>
      <c r="AG4" s="120">
        <v>30</v>
      </c>
      <c r="AH4" s="120">
        <v>31</v>
      </c>
      <c r="AI4" s="120">
        <v>32</v>
      </c>
      <c r="AJ4" s="120">
        <v>33</v>
      </c>
      <c r="AK4" s="120">
        <v>34</v>
      </c>
      <c r="AL4" s="120">
        <v>35</v>
      </c>
      <c r="AM4" s="120">
        <v>36</v>
      </c>
      <c r="AN4" s="120">
        <v>37</v>
      </c>
      <c r="AO4" s="120">
        <v>38</v>
      </c>
      <c r="AP4" s="120">
        <v>39</v>
      </c>
      <c r="AQ4" s="8"/>
      <c r="AR4" s="8"/>
      <c r="AS4" s="8"/>
      <c r="AT4" s="8"/>
    </row>
    <row r="5" spans="1:149" ht="15" customHeight="1" x14ac:dyDescent="0.25">
      <c r="B5" s="121" t="s">
        <v>73</v>
      </c>
      <c r="C5" s="120">
        <v>0</v>
      </c>
      <c r="D5" s="120">
        <v>1</v>
      </c>
      <c r="E5" s="120">
        <v>2</v>
      </c>
      <c r="F5" s="120">
        <v>0</v>
      </c>
      <c r="G5" s="120">
        <v>1</v>
      </c>
      <c r="H5" s="120">
        <v>2</v>
      </c>
      <c r="I5" s="120">
        <v>3</v>
      </c>
      <c r="J5" s="120">
        <v>4</v>
      </c>
      <c r="K5" s="120">
        <v>0</v>
      </c>
      <c r="L5" s="120">
        <v>1</v>
      </c>
      <c r="M5" s="120">
        <v>2</v>
      </c>
      <c r="N5" s="120">
        <v>0</v>
      </c>
      <c r="O5" s="120">
        <v>1</v>
      </c>
      <c r="P5" s="120">
        <v>2</v>
      </c>
      <c r="Q5" s="120">
        <v>3</v>
      </c>
      <c r="R5" s="120">
        <v>0</v>
      </c>
      <c r="S5" s="120">
        <v>1</v>
      </c>
      <c r="T5" s="120">
        <v>2</v>
      </c>
      <c r="U5" s="120">
        <v>0</v>
      </c>
      <c r="V5" s="120">
        <v>1</v>
      </c>
      <c r="W5" s="120">
        <v>2</v>
      </c>
      <c r="X5" s="120">
        <v>3</v>
      </c>
      <c r="Y5" s="120">
        <v>0</v>
      </c>
      <c r="Z5" s="120">
        <v>1</v>
      </c>
      <c r="AA5" s="120">
        <v>2</v>
      </c>
      <c r="AB5" s="120">
        <v>0</v>
      </c>
      <c r="AC5" s="120">
        <v>1</v>
      </c>
      <c r="AD5" s="120">
        <v>2</v>
      </c>
      <c r="AE5" s="120">
        <v>3</v>
      </c>
      <c r="AF5" s="120">
        <v>0</v>
      </c>
      <c r="AG5" s="120">
        <v>1</v>
      </c>
      <c r="AH5" s="120">
        <v>2</v>
      </c>
      <c r="AI5" s="120">
        <v>0</v>
      </c>
      <c r="AJ5" s="120">
        <v>1</v>
      </c>
      <c r="AK5" s="120">
        <v>2</v>
      </c>
      <c r="AL5" s="120">
        <v>3</v>
      </c>
      <c r="AM5" s="120">
        <v>0</v>
      </c>
      <c r="AN5" s="120">
        <v>1</v>
      </c>
      <c r="AO5" s="120">
        <v>2</v>
      </c>
      <c r="AP5" s="120">
        <v>3</v>
      </c>
      <c r="AQ5" s="8"/>
      <c r="AR5" s="8"/>
      <c r="AS5" s="8"/>
      <c r="AT5" s="8"/>
    </row>
    <row r="6" spans="1:149" ht="15.75" x14ac:dyDescent="0.25">
      <c r="B6" s="384" t="s">
        <v>5</v>
      </c>
      <c r="C6" s="16"/>
      <c r="D6" s="123">
        <v>3</v>
      </c>
      <c r="E6" s="123">
        <v>26</v>
      </c>
      <c r="F6" s="123">
        <v>4</v>
      </c>
      <c r="G6" s="123">
        <v>107</v>
      </c>
      <c r="H6" s="123"/>
      <c r="I6" s="123"/>
      <c r="J6" s="123">
        <v>1</v>
      </c>
      <c r="K6" s="123">
        <v>37</v>
      </c>
      <c r="L6" s="123">
        <v>51</v>
      </c>
      <c r="M6" s="123">
        <v>15</v>
      </c>
      <c r="N6" s="123">
        <v>9</v>
      </c>
      <c r="O6" s="123"/>
      <c r="P6" s="123"/>
      <c r="Q6" s="123">
        <v>5</v>
      </c>
      <c r="R6" s="123">
        <v>13</v>
      </c>
      <c r="S6" s="123">
        <v>8</v>
      </c>
      <c r="T6" s="123">
        <v>38</v>
      </c>
      <c r="U6" s="123">
        <v>7</v>
      </c>
      <c r="V6" s="123"/>
      <c r="W6" s="123"/>
      <c r="X6" s="123">
        <v>19</v>
      </c>
      <c r="Y6" s="123">
        <v>44</v>
      </c>
      <c r="Z6" s="123">
        <v>17</v>
      </c>
      <c r="AA6" s="123">
        <v>42</v>
      </c>
      <c r="AB6" s="123">
        <v>43</v>
      </c>
      <c r="AC6" s="123"/>
      <c r="AD6" s="123"/>
      <c r="AE6" s="123">
        <v>33</v>
      </c>
      <c r="AF6" s="123">
        <v>11</v>
      </c>
      <c r="AG6" s="123"/>
      <c r="AH6" s="123"/>
      <c r="AI6" s="123">
        <v>49</v>
      </c>
      <c r="AJ6" s="123"/>
      <c r="AK6" s="123"/>
      <c r="AL6" s="123"/>
      <c r="AM6" s="123">
        <v>40</v>
      </c>
      <c r="AN6" s="123">
        <v>2</v>
      </c>
      <c r="AO6" s="123">
        <v>57</v>
      </c>
      <c r="AP6" s="123">
        <v>16</v>
      </c>
      <c r="AQ6" s="10"/>
      <c r="AR6" s="10"/>
      <c r="AS6" s="10"/>
      <c r="AT6" s="10"/>
    </row>
    <row r="7" spans="1:149" s="55" customFormat="1" ht="15.75" x14ac:dyDescent="0.25">
      <c r="B7" s="384"/>
      <c r="C7" s="123"/>
      <c r="D7" s="123">
        <v>6</v>
      </c>
      <c r="E7" s="123">
        <v>106</v>
      </c>
      <c r="F7" s="123">
        <v>53</v>
      </c>
      <c r="G7" s="123"/>
      <c r="H7" s="123"/>
      <c r="I7" s="123"/>
      <c r="J7" s="123">
        <v>12</v>
      </c>
      <c r="K7" s="123"/>
      <c r="L7" s="123">
        <v>89</v>
      </c>
      <c r="M7" s="123">
        <v>25</v>
      </c>
      <c r="N7" s="123">
        <v>48</v>
      </c>
      <c r="O7" s="123"/>
      <c r="P7" s="123"/>
      <c r="Q7" s="123">
        <v>14</v>
      </c>
      <c r="R7" s="123">
        <v>46</v>
      </c>
      <c r="S7" s="123">
        <v>20</v>
      </c>
      <c r="T7" s="123">
        <v>55</v>
      </c>
      <c r="U7" s="123">
        <v>10</v>
      </c>
      <c r="V7" s="123"/>
      <c r="W7" s="123"/>
      <c r="X7" s="123">
        <v>23</v>
      </c>
      <c r="Y7" s="123">
        <v>94</v>
      </c>
      <c r="Z7" s="123">
        <v>22</v>
      </c>
      <c r="AA7" s="123">
        <v>56</v>
      </c>
      <c r="AB7" s="123"/>
      <c r="AC7" s="123"/>
      <c r="AD7" s="123"/>
      <c r="AE7" s="123">
        <v>34</v>
      </c>
      <c r="AF7" s="123">
        <v>27</v>
      </c>
      <c r="AG7" s="123"/>
      <c r="AH7" s="123"/>
      <c r="AI7" s="123"/>
      <c r="AJ7" s="123"/>
      <c r="AK7" s="123"/>
      <c r="AL7" s="123"/>
      <c r="AM7" s="123">
        <v>50</v>
      </c>
      <c r="AN7" s="123"/>
      <c r="AO7" s="123"/>
      <c r="AP7" s="123">
        <v>29</v>
      </c>
      <c r="AQ7" s="124"/>
      <c r="AR7" s="124"/>
      <c r="AS7" s="124"/>
      <c r="AT7" s="124"/>
      <c r="AV7" s="55" t="b">
        <f>AND(INDEX('Albopictus PCR'!$C$5:$M$202,MATCH(D7,'Albopictus PCR'!$C$5:$C$202,0),6),INDEX('Albopictus PCR'!$C$5:$M$202,MATCH(D7,'Albopictus PCR'!$C$5:$C$202,0),10)=TRUE)</f>
        <v>0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</row>
    <row r="8" spans="1:149" ht="15.75" x14ac:dyDescent="0.25">
      <c r="B8" s="384"/>
      <c r="C8" s="16"/>
      <c r="D8" s="123">
        <v>105</v>
      </c>
      <c r="E8" s="123">
        <v>110</v>
      </c>
      <c r="F8" s="123">
        <v>81</v>
      </c>
      <c r="G8" s="123"/>
      <c r="H8" s="123"/>
      <c r="I8" s="123"/>
      <c r="J8" s="123">
        <v>18</v>
      </c>
      <c r="K8" s="123"/>
      <c r="L8" s="123"/>
      <c r="M8" s="123"/>
      <c r="N8" s="123">
        <v>92</v>
      </c>
      <c r="O8" s="123"/>
      <c r="P8" s="123"/>
      <c r="Q8" s="123">
        <v>24</v>
      </c>
      <c r="R8" s="123">
        <v>102</v>
      </c>
      <c r="S8" s="123">
        <v>52</v>
      </c>
      <c r="T8" s="123">
        <v>60</v>
      </c>
      <c r="U8" s="123">
        <v>21</v>
      </c>
      <c r="V8" s="123"/>
      <c r="W8" s="123"/>
      <c r="X8" s="123">
        <v>31</v>
      </c>
      <c r="Y8" s="123"/>
      <c r="Z8" s="123"/>
      <c r="AA8" s="123">
        <v>88</v>
      </c>
      <c r="AB8" s="123"/>
      <c r="AC8" s="123"/>
      <c r="AD8" s="123"/>
      <c r="AE8" s="123">
        <v>39</v>
      </c>
      <c r="AF8" s="123">
        <v>108</v>
      </c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0"/>
      <c r="AR8" s="10"/>
      <c r="AS8" s="10"/>
      <c r="AT8" s="10"/>
    </row>
    <row r="9" spans="1:149" s="55" customFormat="1" ht="15.75" x14ac:dyDescent="0.25">
      <c r="A9"/>
      <c r="B9" s="384"/>
      <c r="C9" s="123"/>
      <c r="D9" s="123">
        <v>118</v>
      </c>
      <c r="E9" s="123"/>
      <c r="F9" s="123">
        <v>87</v>
      </c>
      <c r="G9" s="123"/>
      <c r="H9" s="123"/>
      <c r="I9" s="123"/>
      <c r="J9" s="123">
        <v>96</v>
      </c>
      <c r="K9" s="123"/>
      <c r="L9" s="123"/>
      <c r="M9" s="123"/>
      <c r="N9" s="123"/>
      <c r="O9" s="123"/>
      <c r="P9" s="123"/>
      <c r="Q9" s="123">
        <v>28</v>
      </c>
      <c r="R9" s="123"/>
      <c r="S9" s="123"/>
      <c r="T9" s="123">
        <v>91</v>
      </c>
      <c r="U9" s="123">
        <v>35</v>
      </c>
      <c r="V9" s="123"/>
      <c r="W9" s="123"/>
      <c r="X9" s="123">
        <v>36</v>
      </c>
      <c r="Y9" s="123"/>
      <c r="Z9" s="123"/>
      <c r="AA9" s="123"/>
      <c r="AB9" s="123"/>
      <c r="AC9" s="123"/>
      <c r="AD9" s="123"/>
      <c r="AE9" s="123">
        <v>47</v>
      </c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4"/>
      <c r="AR9" s="124"/>
      <c r="AS9" s="124"/>
      <c r="AT9" s="124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</row>
    <row r="10" spans="1:149" ht="15.75" x14ac:dyDescent="0.25">
      <c r="A10" s="55"/>
      <c r="B10" s="384"/>
      <c r="C10" s="16"/>
      <c r="D10" s="123"/>
      <c r="E10" s="123"/>
      <c r="F10" s="123"/>
      <c r="G10" s="123"/>
      <c r="H10" s="123"/>
      <c r="I10" s="123"/>
      <c r="J10" s="123">
        <v>113</v>
      </c>
      <c r="K10" s="123"/>
      <c r="L10" s="123"/>
      <c r="M10" s="123"/>
      <c r="N10" s="123"/>
      <c r="O10" s="123"/>
      <c r="P10" s="123"/>
      <c r="Q10" s="123">
        <v>30</v>
      </c>
      <c r="R10" s="123"/>
      <c r="S10" s="123"/>
      <c r="T10" s="123">
        <v>100</v>
      </c>
      <c r="U10" s="123">
        <v>58</v>
      </c>
      <c r="V10" s="123"/>
      <c r="W10" s="123"/>
      <c r="X10" s="123">
        <v>41</v>
      </c>
      <c r="Y10" s="123"/>
      <c r="Z10" s="123"/>
      <c r="AA10" s="123"/>
      <c r="AB10" s="123"/>
      <c r="AC10" s="123"/>
      <c r="AD10" s="123"/>
      <c r="AE10" s="123">
        <v>82</v>
      </c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0"/>
      <c r="AR10" s="10"/>
      <c r="AS10" s="10"/>
      <c r="AT10" s="10"/>
    </row>
    <row r="11" spans="1:149" s="55" customFormat="1" ht="15.75" x14ac:dyDescent="0.25">
      <c r="A11"/>
      <c r="B11" s="384"/>
      <c r="C11" s="123"/>
      <c r="D11" s="123"/>
      <c r="E11" s="123"/>
      <c r="F11" s="123"/>
      <c r="G11" s="123"/>
      <c r="H11" s="123"/>
      <c r="I11" s="123"/>
      <c r="J11" s="123">
        <v>114</v>
      </c>
      <c r="K11" s="123"/>
      <c r="L11" s="123"/>
      <c r="M11" s="123"/>
      <c r="N11" s="123"/>
      <c r="O11" s="123"/>
      <c r="P11" s="123"/>
      <c r="Q11" s="123">
        <v>32</v>
      </c>
      <c r="R11" s="123"/>
      <c r="S11" s="123"/>
      <c r="T11" s="123">
        <v>103</v>
      </c>
      <c r="U11" s="123">
        <v>59</v>
      </c>
      <c r="V11" s="123"/>
      <c r="W11" s="123"/>
      <c r="X11" s="123">
        <v>54</v>
      </c>
      <c r="Y11" s="123"/>
      <c r="Z11" s="123"/>
      <c r="AA11" s="123"/>
      <c r="AB11" s="123"/>
      <c r="AC11" s="123"/>
      <c r="AD11" s="123"/>
      <c r="AE11" s="123">
        <v>93</v>
      </c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4"/>
      <c r="AR11" s="124"/>
      <c r="AS11" s="124"/>
      <c r="AT11" s="124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</row>
    <row r="12" spans="1:149" ht="15.75" x14ac:dyDescent="0.25">
      <c r="B12" s="384"/>
      <c r="C12" s="16"/>
      <c r="D12" s="123"/>
      <c r="E12" s="123"/>
      <c r="F12" s="123"/>
      <c r="G12" s="123"/>
      <c r="H12" s="123"/>
      <c r="I12" s="123"/>
      <c r="J12" s="123">
        <v>115</v>
      </c>
      <c r="K12" s="123"/>
      <c r="L12" s="123"/>
      <c r="M12" s="123"/>
      <c r="N12" s="123"/>
      <c r="O12" s="123"/>
      <c r="P12" s="123"/>
      <c r="Q12" s="123">
        <v>45</v>
      </c>
      <c r="R12" s="123"/>
      <c r="S12" s="123"/>
      <c r="T12" s="123"/>
      <c r="U12" s="123">
        <v>85</v>
      </c>
      <c r="V12" s="123"/>
      <c r="W12" s="123"/>
      <c r="X12" s="123">
        <v>84</v>
      </c>
      <c r="Y12" s="123"/>
      <c r="Z12" s="123"/>
      <c r="AA12" s="123"/>
      <c r="AB12" s="123"/>
      <c r="AC12" s="123"/>
      <c r="AD12" s="123"/>
      <c r="AE12" s="123">
        <v>104</v>
      </c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0"/>
      <c r="AR12" s="10"/>
      <c r="AS12" s="10"/>
      <c r="AT12" s="10"/>
    </row>
    <row r="13" spans="1:149" s="55" customFormat="1" ht="15.75" x14ac:dyDescent="0.25">
      <c r="B13" s="384"/>
      <c r="C13" s="123"/>
      <c r="D13" s="123"/>
      <c r="E13" s="123"/>
      <c r="F13" s="123"/>
      <c r="G13" s="123"/>
      <c r="H13" s="123"/>
      <c r="I13" s="123"/>
      <c r="J13" s="123">
        <v>117</v>
      </c>
      <c r="K13" s="123"/>
      <c r="L13" s="123"/>
      <c r="M13" s="123"/>
      <c r="N13" s="123"/>
      <c r="O13" s="123"/>
      <c r="P13" s="123"/>
      <c r="Q13" s="123">
        <v>83</v>
      </c>
      <c r="R13" s="123"/>
      <c r="S13" s="123"/>
      <c r="T13" s="123"/>
      <c r="U13" s="123">
        <v>98</v>
      </c>
      <c r="V13" s="123"/>
      <c r="W13" s="123"/>
      <c r="X13" s="123">
        <v>86</v>
      </c>
      <c r="Y13" s="123"/>
      <c r="Z13" s="123"/>
      <c r="AA13" s="123"/>
      <c r="AB13" s="123"/>
      <c r="AC13" s="123"/>
      <c r="AD13" s="123"/>
      <c r="AE13" s="123">
        <v>112</v>
      </c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4"/>
      <c r="AR13" s="124"/>
      <c r="AS13" s="124"/>
      <c r="AT13" s="124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</row>
    <row r="14" spans="1:149" ht="15.75" x14ac:dyDescent="0.25">
      <c r="B14" s="384"/>
      <c r="C14" s="16"/>
      <c r="D14" s="123"/>
      <c r="E14" s="123"/>
      <c r="F14" s="123"/>
      <c r="G14" s="123"/>
      <c r="H14" s="123"/>
      <c r="I14" s="123"/>
      <c r="J14" s="123">
        <v>120</v>
      </c>
      <c r="K14" s="123"/>
      <c r="L14" s="123"/>
      <c r="M14" s="123"/>
      <c r="N14" s="123"/>
      <c r="O14" s="123"/>
      <c r="P14" s="123"/>
      <c r="Q14" s="123">
        <v>95</v>
      </c>
      <c r="R14" s="123"/>
      <c r="S14" s="123"/>
      <c r="T14" s="123"/>
      <c r="U14" s="123">
        <v>119</v>
      </c>
      <c r="V14" s="123"/>
      <c r="W14" s="123"/>
      <c r="X14" s="123">
        <v>90</v>
      </c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0"/>
      <c r="AR14" s="10"/>
      <c r="AS14" s="10"/>
      <c r="AT14" s="10"/>
    </row>
    <row r="15" spans="1:149" s="55" customFormat="1" ht="15.75" x14ac:dyDescent="0.25">
      <c r="A15"/>
      <c r="B15" s="384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>
        <v>97</v>
      </c>
      <c r="R15" s="123"/>
      <c r="S15" s="123"/>
      <c r="T15" s="123"/>
      <c r="U15" s="123"/>
      <c r="V15" s="123"/>
      <c r="W15" s="123"/>
      <c r="X15" s="123">
        <v>109</v>
      </c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4"/>
      <c r="AR15" s="124"/>
      <c r="AS15" s="124"/>
      <c r="AT15" s="124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</row>
    <row r="16" spans="1:149" ht="15.75" x14ac:dyDescent="0.25">
      <c r="A16" s="55"/>
      <c r="B16" s="384"/>
      <c r="C16" s="16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>
        <v>99</v>
      </c>
      <c r="R16" s="123"/>
      <c r="S16" s="123"/>
      <c r="T16" s="123"/>
      <c r="U16" s="123"/>
      <c r="V16" s="123"/>
      <c r="W16" s="123"/>
      <c r="X16" s="123">
        <v>111</v>
      </c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0"/>
      <c r="AR16" s="10"/>
      <c r="AS16" s="10"/>
      <c r="AT16" s="10"/>
    </row>
    <row r="17" spans="1:149" s="55" customFormat="1" ht="15.75" x14ac:dyDescent="0.25">
      <c r="A17"/>
      <c r="B17" s="384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>
        <v>101</v>
      </c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4"/>
      <c r="AR17" s="124"/>
      <c r="AS17" s="124"/>
      <c r="AT17" s="124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</row>
    <row r="18" spans="1:149" ht="15.75" x14ac:dyDescent="0.25">
      <c r="B18" s="384"/>
      <c r="C18" s="16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>
        <v>116</v>
      </c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0"/>
      <c r="AR18" s="10"/>
      <c r="AS18" s="10"/>
      <c r="AT18" s="10"/>
    </row>
    <row r="19" spans="1:149" ht="15.75" x14ac:dyDescent="0.25">
      <c r="A19" s="55"/>
      <c r="B19" s="384"/>
      <c r="C19" s="15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"/>
      <c r="AR19" s="12"/>
      <c r="AS19" s="12"/>
      <c r="AT19" s="12"/>
    </row>
    <row r="20" spans="1:149" ht="15.75" x14ac:dyDescent="0.25">
      <c r="B20" s="384"/>
      <c r="C20" s="16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0"/>
      <c r="AR20" s="10"/>
      <c r="AS20" s="10"/>
      <c r="AT20" s="10"/>
    </row>
    <row r="21" spans="1:149" ht="15.75" x14ac:dyDescent="0.25">
      <c r="B21" s="384"/>
      <c r="C21" s="15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"/>
      <c r="AR21" s="12"/>
      <c r="AS21" s="12"/>
      <c r="AT21" s="12"/>
    </row>
    <row r="22" spans="1:149" ht="15.75" x14ac:dyDescent="0.25">
      <c r="A22" s="55"/>
      <c r="B22" s="384"/>
      <c r="C22" s="16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0"/>
      <c r="AR22" s="10"/>
      <c r="AS22" s="10"/>
      <c r="AT22" s="10"/>
    </row>
    <row r="23" spans="1:149" ht="15.75" x14ac:dyDescent="0.25">
      <c r="B23" s="384"/>
      <c r="C23" s="15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"/>
      <c r="AR23" s="12"/>
      <c r="AS23" s="12"/>
      <c r="AT23" s="12"/>
    </row>
    <row r="24" spans="1:149" ht="15.75" x14ac:dyDescent="0.25">
      <c r="B24" s="384"/>
      <c r="C24" s="16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0"/>
      <c r="AR24" s="10"/>
      <c r="AS24" s="10"/>
      <c r="AT24" s="10"/>
    </row>
    <row r="25" spans="1:149" ht="15.75" x14ac:dyDescent="0.25">
      <c r="A25" s="55"/>
      <c r="B25" s="384"/>
      <c r="C25" s="15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"/>
      <c r="AR25" s="12"/>
      <c r="AS25" s="12"/>
      <c r="AT25" s="12"/>
    </row>
    <row r="26" spans="1:149" ht="15.75" x14ac:dyDescent="0.25">
      <c r="B26" s="384"/>
      <c r="C26" s="16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0"/>
      <c r="AR26" s="10"/>
      <c r="AS26" s="391" t="s">
        <v>75</v>
      </c>
      <c r="AT26" s="391"/>
      <c r="AU26" s="391"/>
      <c r="AV26" s="391"/>
    </row>
    <row r="27" spans="1:149" ht="32.25" thickBot="1" x14ac:dyDescent="0.3">
      <c r="B27" s="384"/>
      <c r="C27" s="15"/>
      <c r="D27" s="123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 t="s">
        <v>72</v>
      </c>
      <c r="AR27" s="12"/>
      <c r="AS27" s="12">
        <v>0</v>
      </c>
      <c r="AT27" s="12">
        <v>1</v>
      </c>
      <c r="AU27">
        <v>2</v>
      </c>
      <c r="AV27" s="53">
        <v>3</v>
      </c>
      <c r="AW27" s="53">
        <v>4</v>
      </c>
    </row>
    <row r="28" spans="1:149" ht="15.75" thickBot="1" x14ac:dyDescent="0.3">
      <c r="A28" s="392" t="s">
        <v>79</v>
      </c>
      <c r="B28" s="193" t="s">
        <v>82</v>
      </c>
      <c r="C28" s="194">
        <f>SUM(--(IFERROR(LOOKUP(C$6:C$18,Table7[],Table7[Positive]),"")=FALSE))</f>
        <v>0</v>
      </c>
      <c r="D28" s="194">
        <f t="array" ref="D28">SUM(--(IFERROR(LOOKUP(D$6:D$18,Table7[],Table7[Positive]),"")=FALSE))</f>
        <v>1</v>
      </c>
      <c r="E28" s="194">
        <f t="array" ref="E28">SUM(--(IFERROR(LOOKUP(E$6:E$18,Table7[],Table7[Positive]),"")=FALSE))</f>
        <v>2</v>
      </c>
      <c r="F28" s="194">
        <f t="array" ref="F28">SUM(--(IFERROR(LOOKUP(F$6:F$18,Table7[],Table7[Positive]),"")=FALSE))</f>
        <v>0</v>
      </c>
      <c r="G28" s="194">
        <f t="array" ref="G28">SUM(--(IFERROR(LOOKUP(G$6:G$18,Table7[],Table7[Positive]),"")=FALSE))</f>
        <v>0</v>
      </c>
      <c r="H28" s="194">
        <f t="array" ref="H28">SUM(--(IFERROR(LOOKUP(H$6:H$18,Table7[],Table7[Positive]),"")=FALSE))</f>
        <v>0</v>
      </c>
      <c r="I28" s="194">
        <f t="array" ref="I28">SUM(--(IFERROR(LOOKUP(I$6:I$18,Table7[],Table7[Positive]),"")=FALSE))</f>
        <v>0</v>
      </c>
      <c r="J28" s="194">
        <f t="array" ref="J28">SUM(--(IFERROR(LOOKUP(J$6:J$18,Table7[],Table7[Positive]),"")=FALSE))</f>
        <v>2</v>
      </c>
      <c r="K28" s="194">
        <f t="array" ref="K28">SUM(--(IFERROR(LOOKUP(K$6:K$18,Table7[],Table7[Positive]),"")=FALSE))</f>
        <v>0</v>
      </c>
      <c r="L28" s="194">
        <f t="array" ref="L28">SUM(--(IFERROR(LOOKUP(L$6:L$18,Table7[],Table7[Positive]),"")=FALSE))</f>
        <v>1</v>
      </c>
      <c r="M28" s="194">
        <f t="array" ref="M28">SUM(--(IFERROR(LOOKUP(M$6:M$18,Table7[],Table7[Positive]),"")=FALSE))</f>
        <v>0</v>
      </c>
      <c r="N28" s="194">
        <f t="array" ref="N28">SUM(--(IFERROR(LOOKUP(N$6:N$18,Table7[],Table7[Positive]),"")=FALSE))</f>
        <v>0</v>
      </c>
      <c r="O28" s="194">
        <f t="array" ref="O28">SUM(--(IFERROR(LOOKUP(O$6:O$18,Table7[],Table7[Positive]),"")=FALSE))</f>
        <v>0</v>
      </c>
      <c r="P28" s="194">
        <f t="array" ref="P28">SUM(--(IFERROR(LOOKUP(P$6:P$18,Table7[],Table7[Positive]),"")=FALSE))</f>
        <v>0</v>
      </c>
      <c r="Q28" s="194">
        <f t="array" ref="Q28">SUM(--(IFERROR(LOOKUP(Q$6:Q$18,Table7[],Table7[Positive]),"")=FALSE))</f>
        <v>0</v>
      </c>
      <c r="R28" s="194">
        <f t="array" ref="R28">SUM(--(IFERROR(LOOKUP(R$6:R$18,Table7[],Table7[Positive]),"")=FALSE))</f>
        <v>0</v>
      </c>
      <c r="S28" s="194">
        <f t="array" ref="S28">SUM(--(IFERROR(LOOKUP(S$6:S$18,Table7[],Table7[Positive]),"")=FALSE))</f>
        <v>0</v>
      </c>
      <c r="T28" s="194">
        <f t="array" ref="T28">SUM(--(IFERROR(LOOKUP(T$6:T$18,Table7[],Table7[Positive]),"")=FALSE))</f>
        <v>1</v>
      </c>
      <c r="U28" s="194">
        <f t="array" ref="U28">SUM(--(IFERROR(LOOKUP(U$6:U$18,Table7[],Table7[Positive]),"")=FALSE))</f>
        <v>2</v>
      </c>
      <c r="V28" s="194">
        <f t="array" ref="V28">SUM(--(IFERROR(LOOKUP(V$6:V$18,Table7[],Table7[Positive]),"")=FALSE))</f>
        <v>0</v>
      </c>
      <c r="W28" s="194">
        <f t="array" ref="W28">SUM(--(IFERROR(LOOKUP(W$6:W$18,Table7[],Table7[Positive]),"")=FALSE))</f>
        <v>0</v>
      </c>
      <c r="X28" s="194">
        <f t="array" ref="X28">SUM(--(IFERROR(LOOKUP(X$6:X$18,Table7[],Table7[Positive]),"")=FALSE))</f>
        <v>1</v>
      </c>
      <c r="Y28" s="194">
        <f t="array" ref="Y28">SUM(--(IFERROR(LOOKUP(Y$6:Y$18,Table7[],Table7[Positive]),"")=FALSE))</f>
        <v>0</v>
      </c>
      <c r="Z28" s="194">
        <f t="array" ref="Z28">SUM(--(IFERROR(LOOKUP(Z$6:Z$18,Table7[],Table7[Positive]),"")=FALSE))</f>
        <v>0</v>
      </c>
      <c r="AA28" s="194">
        <f t="array" ref="AA28">SUM(--(IFERROR(LOOKUP(AA$6:AA$18,Table7[],Table7[Positive]),"")=FALSE))</f>
        <v>0</v>
      </c>
      <c r="AB28" s="194">
        <f t="array" ref="AB28">SUM(--(IFERROR(LOOKUP(AB$6:AB$18,Table7[],Table7[Positive]),"")=FALSE))</f>
        <v>0</v>
      </c>
      <c r="AC28" s="194">
        <f t="array" ref="AC28">SUM(--(IFERROR(LOOKUP(AC$6:AC$18,Table7[],Table7[Positive]),"")=FALSE))</f>
        <v>0</v>
      </c>
      <c r="AD28" s="194">
        <f t="array" ref="AD28">SUM(--(IFERROR(LOOKUP(AD$6:AD$18,Table7[],Table7[Positive]),"")=FALSE))</f>
        <v>0</v>
      </c>
      <c r="AE28" s="194">
        <f t="array" ref="AE28">SUM(--(IFERROR(LOOKUP(AE$6:AE$18,Table7[],Table7[Positive]),"")=FALSE))</f>
        <v>0</v>
      </c>
      <c r="AF28" s="194">
        <f t="array" ref="AF28">SUM(--(IFERROR(LOOKUP(AF$6:AF$18,Table7[],Table7[Positive]),"")=FALSE))</f>
        <v>1</v>
      </c>
      <c r="AG28" s="194">
        <f t="array" ref="AG28">SUM(--(IFERROR(LOOKUP(AG$6:AG$18,Table7[],Table7[Positive]),"")=FALSE))</f>
        <v>0</v>
      </c>
      <c r="AH28" s="194">
        <f t="array" ref="AH28">SUM(--(IFERROR(LOOKUP(AH$6:AH$18,Table7[],Table7[Positive]),"")=FALSE))</f>
        <v>0</v>
      </c>
      <c r="AI28" s="194">
        <f t="array" ref="AI28">SUM(--(IFERROR(LOOKUP(AI$6:AI$18,Table7[],Table7[Positive]),"")=FALSE))</f>
        <v>0</v>
      </c>
      <c r="AJ28" s="194">
        <f t="array" ref="AJ28">SUM(--(IFERROR(LOOKUP(AJ$6:AJ$18,Table7[],Table7[Positive]),"")=FALSE))</f>
        <v>0</v>
      </c>
      <c r="AK28" s="194">
        <f t="array" ref="AK28">SUM(--(IFERROR(LOOKUP(AK$6:AK$18,Table7[],Table7[Positive]),"")=FALSE))</f>
        <v>0</v>
      </c>
      <c r="AL28" s="194">
        <f t="array" ref="AL28">SUM(--(IFERROR(LOOKUP(AL$6:AL$18,Table7[],Table7[Positive]),"")=FALSE))</f>
        <v>0</v>
      </c>
      <c r="AM28" s="194">
        <f t="array" ref="AM28">SUM(--(IFERROR(LOOKUP(AM$6:AM$18,Table7[],Table7[Positive]),"")=FALSE))</f>
        <v>0</v>
      </c>
      <c r="AN28" s="194">
        <f t="array" ref="AN28">SUM(--(IFERROR(LOOKUP(AN$6:AN$18,Table7[],Table7[Positive]),"")=FALSE))</f>
        <v>0</v>
      </c>
      <c r="AO28" s="194">
        <f t="array" ref="AO28">SUM(--(IFERROR(LOOKUP(AO$6:AO$18,Table7[],Table7[Positive]),"")=FALSE))</f>
        <v>1</v>
      </c>
      <c r="AP28" s="194">
        <f t="array" ref="AP28">SUM(--(IFERROR(LOOKUP(AP$6:AP$18,Table7[],Table7[Positive]),"")=FALSE))</f>
        <v>1</v>
      </c>
      <c r="AQ28" s="195">
        <f>SUM(C28:AP28)</f>
        <v>13</v>
      </c>
      <c r="AS28">
        <f>SUMIF($C$5:$AP$5,AS27,$C$28:$AP$28)</f>
        <v>3</v>
      </c>
      <c r="AT28">
        <f>SUMIF($C$5:$AP$5,AT27,$C$28:$AP$28)</f>
        <v>2</v>
      </c>
      <c r="AU28">
        <f>SUMIF($C$5:$AP$5,AU27,$C$28:$AP$28)</f>
        <v>4</v>
      </c>
      <c r="AV28">
        <f>SUMIF($C$5:$AP$5,AV27,$C$28:$AP$28)</f>
        <v>2</v>
      </c>
      <c r="AW28">
        <f>SUMIF($C$5:$AP$5,AW27,$C$28:$AP$28)</f>
        <v>2</v>
      </c>
    </row>
    <row r="29" spans="1:149" ht="32.25" customHeight="1" thickBot="1" x14ac:dyDescent="0.3">
      <c r="A29" s="393"/>
      <c r="B29" s="188" t="s">
        <v>83</v>
      </c>
      <c r="C29" s="135">
        <f t="array" ref="C29">COUNTIF(Table7[Positive],FALSE)</f>
        <v>13</v>
      </c>
      <c r="D29" s="135">
        <f>C29-D28</f>
        <v>12</v>
      </c>
      <c r="E29" s="135">
        <f t="shared" ref="E29:AP29" si="0">D29-E28</f>
        <v>10</v>
      </c>
      <c r="F29" s="135">
        <f t="shared" si="0"/>
        <v>10</v>
      </c>
      <c r="G29" s="135">
        <f t="shared" si="0"/>
        <v>10</v>
      </c>
      <c r="H29" s="135">
        <f t="shared" si="0"/>
        <v>10</v>
      </c>
      <c r="I29" s="135">
        <f t="shared" si="0"/>
        <v>10</v>
      </c>
      <c r="J29" s="135">
        <f t="shared" si="0"/>
        <v>8</v>
      </c>
      <c r="K29" s="135">
        <f t="shared" si="0"/>
        <v>8</v>
      </c>
      <c r="L29" s="135">
        <f t="shared" si="0"/>
        <v>7</v>
      </c>
      <c r="M29" s="135">
        <f t="shared" si="0"/>
        <v>7</v>
      </c>
      <c r="N29" s="135">
        <f t="shared" si="0"/>
        <v>7</v>
      </c>
      <c r="O29" s="135">
        <f t="shared" si="0"/>
        <v>7</v>
      </c>
      <c r="P29" s="135">
        <f t="shared" si="0"/>
        <v>7</v>
      </c>
      <c r="Q29" s="135">
        <f t="shared" si="0"/>
        <v>7</v>
      </c>
      <c r="R29" s="135">
        <f t="shared" si="0"/>
        <v>7</v>
      </c>
      <c r="S29" s="135">
        <f t="shared" si="0"/>
        <v>7</v>
      </c>
      <c r="T29" s="135">
        <f t="shared" si="0"/>
        <v>6</v>
      </c>
      <c r="U29" s="135">
        <f t="shared" si="0"/>
        <v>4</v>
      </c>
      <c r="V29" s="135">
        <f t="shared" si="0"/>
        <v>4</v>
      </c>
      <c r="W29" s="135">
        <f t="shared" si="0"/>
        <v>4</v>
      </c>
      <c r="X29" s="135">
        <f t="shared" si="0"/>
        <v>3</v>
      </c>
      <c r="Y29" s="135">
        <f t="shared" si="0"/>
        <v>3</v>
      </c>
      <c r="Z29" s="135">
        <f t="shared" si="0"/>
        <v>3</v>
      </c>
      <c r="AA29" s="135">
        <f t="shared" si="0"/>
        <v>3</v>
      </c>
      <c r="AB29" s="135">
        <f t="shared" si="0"/>
        <v>3</v>
      </c>
      <c r="AC29" s="135">
        <f t="shared" si="0"/>
        <v>3</v>
      </c>
      <c r="AD29" s="135">
        <f t="shared" si="0"/>
        <v>3</v>
      </c>
      <c r="AE29" s="135">
        <f t="shared" si="0"/>
        <v>3</v>
      </c>
      <c r="AF29" s="135">
        <f t="shared" si="0"/>
        <v>2</v>
      </c>
      <c r="AG29" s="135">
        <f t="shared" si="0"/>
        <v>2</v>
      </c>
      <c r="AH29" s="135">
        <f t="shared" si="0"/>
        <v>2</v>
      </c>
      <c r="AI29" s="135">
        <f t="shared" si="0"/>
        <v>2</v>
      </c>
      <c r="AJ29" s="135">
        <f t="shared" si="0"/>
        <v>2</v>
      </c>
      <c r="AK29" s="135">
        <f t="shared" si="0"/>
        <v>2</v>
      </c>
      <c r="AL29" s="135">
        <f t="shared" si="0"/>
        <v>2</v>
      </c>
      <c r="AM29" s="135">
        <f t="shared" si="0"/>
        <v>2</v>
      </c>
      <c r="AN29" s="135">
        <f t="shared" si="0"/>
        <v>2</v>
      </c>
      <c r="AO29" s="135">
        <f t="shared" si="0"/>
        <v>1</v>
      </c>
      <c r="AP29" s="135">
        <f t="shared" si="0"/>
        <v>0</v>
      </c>
      <c r="AQ29" s="195"/>
    </row>
    <row r="30" spans="1:149" ht="32.25" customHeight="1" thickBot="1" x14ac:dyDescent="0.3">
      <c r="A30" s="393"/>
      <c r="B30" s="190" t="s">
        <v>85</v>
      </c>
      <c r="C30" s="135">
        <v>0</v>
      </c>
      <c r="D30" s="135">
        <f>D28/C29%</f>
        <v>7.6923076923076916</v>
      </c>
      <c r="E30" s="135">
        <f t="shared" ref="E30:AO30" si="1">E28/D29%</f>
        <v>16.666666666666668</v>
      </c>
      <c r="F30" s="135">
        <f t="shared" si="1"/>
        <v>0</v>
      </c>
      <c r="G30" s="135">
        <f t="shared" si="1"/>
        <v>0</v>
      </c>
      <c r="H30" s="135">
        <f t="shared" si="1"/>
        <v>0</v>
      </c>
      <c r="I30" s="135">
        <f t="shared" si="1"/>
        <v>0</v>
      </c>
      <c r="J30" s="135">
        <f t="shared" si="1"/>
        <v>20</v>
      </c>
      <c r="K30" s="135">
        <f t="shared" si="1"/>
        <v>0</v>
      </c>
      <c r="L30" s="135">
        <f t="shared" si="1"/>
        <v>12.5</v>
      </c>
      <c r="M30" s="135">
        <f t="shared" si="1"/>
        <v>0</v>
      </c>
      <c r="N30" s="135">
        <f t="shared" si="1"/>
        <v>0</v>
      </c>
      <c r="O30" s="135">
        <f t="shared" si="1"/>
        <v>0</v>
      </c>
      <c r="P30" s="135">
        <f t="shared" si="1"/>
        <v>0</v>
      </c>
      <c r="Q30" s="135">
        <f t="shared" si="1"/>
        <v>0</v>
      </c>
      <c r="R30" s="135">
        <f t="shared" si="1"/>
        <v>0</v>
      </c>
      <c r="S30" s="135">
        <f t="shared" si="1"/>
        <v>0</v>
      </c>
      <c r="T30" s="135">
        <f t="shared" si="1"/>
        <v>14.285714285714285</v>
      </c>
      <c r="U30" s="135">
        <f t="shared" si="1"/>
        <v>33.333333333333336</v>
      </c>
      <c r="V30" s="135">
        <f t="shared" si="1"/>
        <v>0</v>
      </c>
      <c r="W30" s="135">
        <f t="shared" si="1"/>
        <v>0</v>
      </c>
      <c r="X30" s="135">
        <f t="shared" si="1"/>
        <v>25</v>
      </c>
      <c r="Y30" s="135">
        <f t="shared" si="1"/>
        <v>0</v>
      </c>
      <c r="Z30" s="135">
        <f t="shared" si="1"/>
        <v>0</v>
      </c>
      <c r="AA30" s="135">
        <f t="shared" si="1"/>
        <v>0</v>
      </c>
      <c r="AB30" s="135">
        <f t="shared" si="1"/>
        <v>0</v>
      </c>
      <c r="AC30" s="135">
        <f t="shared" si="1"/>
        <v>0</v>
      </c>
      <c r="AD30" s="135">
        <f t="shared" si="1"/>
        <v>0</v>
      </c>
      <c r="AE30" s="135">
        <f t="shared" si="1"/>
        <v>0</v>
      </c>
      <c r="AF30" s="135">
        <f t="shared" si="1"/>
        <v>33.333333333333336</v>
      </c>
      <c r="AG30" s="135">
        <f t="shared" si="1"/>
        <v>0</v>
      </c>
      <c r="AH30" s="135">
        <f t="shared" si="1"/>
        <v>0</v>
      </c>
      <c r="AI30" s="135">
        <f t="shared" si="1"/>
        <v>0</v>
      </c>
      <c r="AJ30" s="135">
        <f t="shared" si="1"/>
        <v>0</v>
      </c>
      <c r="AK30" s="135">
        <f t="shared" si="1"/>
        <v>0</v>
      </c>
      <c r="AL30" s="135">
        <f t="shared" si="1"/>
        <v>0</v>
      </c>
      <c r="AM30" s="135">
        <f t="shared" si="1"/>
        <v>0</v>
      </c>
      <c r="AN30" s="135">
        <f t="shared" si="1"/>
        <v>0</v>
      </c>
      <c r="AO30" s="135">
        <f t="shared" si="1"/>
        <v>50</v>
      </c>
      <c r="AP30" s="135">
        <f>AP28/AO29%</f>
        <v>100</v>
      </c>
      <c r="AQ30" s="195"/>
    </row>
    <row r="31" spans="1:149" ht="30.75" thickBot="1" x14ac:dyDescent="0.3">
      <c r="A31" s="394"/>
      <c r="B31" s="196" t="s">
        <v>86</v>
      </c>
      <c r="C31" s="197">
        <v>0</v>
      </c>
      <c r="D31" s="197">
        <f>D28/$C$29%</f>
        <v>7.6923076923076916</v>
      </c>
      <c r="E31" s="197">
        <f t="shared" ref="E31:AP31" si="2">E28/$C$29%</f>
        <v>15.384615384615383</v>
      </c>
      <c r="F31" s="197">
        <f t="shared" si="2"/>
        <v>0</v>
      </c>
      <c r="G31" s="197">
        <f t="shared" si="2"/>
        <v>0</v>
      </c>
      <c r="H31" s="197">
        <f t="shared" si="2"/>
        <v>0</v>
      </c>
      <c r="I31" s="197">
        <f t="shared" si="2"/>
        <v>0</v>
      </c>
      <c r="J31" s="197">
        <f t="shared" si="2"/>
        <v>15.384615384615383</v>
      </c>
      <c r="K31" s="197">
        <f t="shared" si="2"/>
        <v>0</v>
      </c>
      <c r="L31" s="197">
        <f t="shared" si="2"/>
        <v>7.6923076923076916</v>
      </c>
      <c r="M31" s="197">
        <f t="shared" si="2"/>
        <v>0</v>
      </c>
      <c r="N31" s="197">
        <f t="shared" si="2"/>
        <v>0</v>
      </c>
      <c r="O31" s="197">
        <f t="shared" si="2"/>
        <v>0</v>
      </c>
      <c r="P31" s="197">
        <f t="shared" si="2"/>
        <v>0</v>
      </c>
      <c r="Q31" s="197">
        <f t="shared" si="2"/>
        <v>0</v>
      </c>
      <c r="R31" s="197">
        <f t="shared" si="2"/>
        <v>0</v>
      </c>
      <c r="S31" s="197">
        <f t="shared" si="2"/>
        <v>0</v>
      </c>
      <c r="T31" s="197">
        <f t="shared" si="2"/>
        <v>7.6923076923076916</v>
      </c>
      <c r="U31" s="197">
        <f t="shared" si="2"/>
        <v>15.384615384615383</v>
      </c>
      <c r="V31" s="197">
        <f t="shared" si="2"/>
        <v>0</v>
      </c>
      <c r="W31" s="197">
        <f t="shared" si="2"/>
        <v>0</v>
      </c>
      <c r="X31" s="197">
        <f t="shared" si="2"/>
        <v>7.6923076923076916</v>
      </c>
      <c r="Y31" s="197">
        <f t="shared" si="2"/>
        <v>0</v>
      </c>
      <c r="Z31" s="197">
        <f t="shared" si="2"/>
        <v>0</v>
      </c>
      <c r="AA31" s="197">
        <f t="shared" si="2"/>
        <v>0</v>
      </c>
      <c r="AB31" s="197">
        <f t="shared" si="2"/>
        <v>0</v>
      </c>
      <c r="AC31" s="197">
        <f t="shared" si="2"/>
        <v>0</v>
      </c>
      <c r="AD31" s="197">
        <f t="shared" si="2"/>
        <v>0</v>
      </c>
      <c r="AE31" s="197">
        <f t="shared" si="2"/>
        <v>0</v>
      </c>
      <c r="AF31" s="197">
        <f t="shared" si="2"/>
        <v>7.6923076923076916</v>
      </c>
      <c r="AG31" s="197">
        <f t="shared" si="2"/>
        <v>0</v>
      </c>
      <c r="AH31" s="197">
        <f t="shared" si="2"/>
        <v>0</v>
      </c>
      <c r="AI31" s="197">
        <f t="shared" si="2"/>
        <v>0</v>
      </c>
      <c r="AJ31" s="197">
        <f t="shared" si="2"/>
        <v>0</v>
      </c>
      <c r="AK31" s="197">
        <f t="shared" si="2"/>
        <v>0</v>
      </c>
      <c r="AL31" s="197">
        <f t="shared" si="2"/>
        <v>0</v>
      </c>
      <c r="AM31" s="197">
        <f t="shared" si="2"/>
        <v>0</v>
      </c>
      <c r="AN31" s="197">
        <f t="shared" si="2"/>
        <v>0</v>
      </c>
      <c r="AO31" s="197">
        <f t="shared" si="2"/>
        <v>7.6923076923076916</v>
      </c>
      <c r="AP31" s="197">
        <f t="shared" si="2"/>
        <v>7.6923076923076916</v>
      </c>
      <c r="AQ31" s="195">
        <f>SUM(C31:AP31)</f>
        <v>100</v>
      </c>
    </row>
    <row r="32" spans="1:149" ht="15.75" thickBot="1" x14ac:dyDescent="0.3">
      <c r="A32" s="385" t="s">
        <v>54</v>
      </c>
      <c r="B32" s="193" t="s">
        <v>82</v>
      </c>
      <c r="C32" s="194">
        <v>0</v>
      </c>
      <c r="D32" s="194">
        <f t="array" ref="D32">SUM(--(IFERROR(LOOKUP(D$6:D$18,Table7[],Table7[Positive]),"")=TRUE))</f>
        <v>3</v>
      </c>
      <c r="E32" s="194">
        <f t="array" ref="E32">SUM(--(IFERROR(LOOKUP(E$6:E$18,Table7[],Table7[Positive]),"")=TRUE))</f>
        <v>1</v>
      </c>
      <c r="F32" s="194">
        <f t="array" ref="F32">SUM(--(IFERROR(LOOKUP(F$6:F$18,Table7[],Table7[Positive]),"")=TRUE))</f>
        <v>4</v>
      </c>
      <c r="G32" s="194">
        <f t="array" ref="G32">SUM(--(IFERROR(LOOKUP(G$6:G$18,Table7[],Table7[Positive]),"")=TRUE))</f>
        <v>1</v>
      </c>
      <c r="H32" s="194">
        <f t="array" ref="H32">SUM(--(IFERROR(LOOKUP(H$6:H$18,Table7[],Table7[Positive]),"")=TRUE))</f>
        <v>0</v>
      </c>
      <c r="I32" s="194">
        <f t="array" ref="I32">SUM(--(IFERROR(LOOKUP(I$6:I$18,Table7[],Table7[Positive]),"")=TRUE))</f>
        <v>0</v>
      </c>
      <c r="J32" s="194">
        <f t="array" ref="J32">SUM(--(IFERROR(LOOKUP(J$6:J$18,Table7[],Table7[Positive]),"")=TRUE))</f>
        <v>7</v>
      </c>
      <c r="K32" s="194">
        <f t="array" ref="K32">SUM(--(IFERROR(LOOKUP(K$6:K$18,Table7[],Table7[Positive]),"")=TRUE))</f>
        <v>1</v>
      </c>
      <c r="L32" s="194">
        <f t="array" ref="L32">SUM(--(IFERROR(LOOKUP(L$6:L$18,Table7[],Table7[Positive]),"")=TRUE))</f>
        <v>1</v>
      </c>
      <c r="M32" s="194">
        <f t="array" ref="M32">SUM(--(IFERROR(LOOKUP(M$6:M$18,Table7[],Table7[Positive]),"")=TRUE))</f>
        <v>2</v>
      </c>
      <c r="N32" s="194">
        <f t="array" ref="N32">SUM(--(IFERROR(LOOKUP(N$6:N$18,Table7[],Table7[Positive]),"")=TRUE))</f>
        <v>3</v>
      </c>
      <c r="O32" s="194">
        <f t="array" ref="O32">SUM(--(IFERROR(LOOKUP(O$6:O$18,Table7[],Table7[Positive]),"")=TRUE))</f>
        <v>0</v>
      </c>
      <c r="P32" s="194">
        <f t="array" ref="P32">SUM(--(IFERROR(LOOKUP(P$6:P$18,Table7[],Table7[Positive]),"")=TRUE))</f>
        <v>0</v>
      </c>
      <c r="Q32" s="194">
        <f t="array" ref="Q32">SUM(--(IFERROR(LOOKUP(Q$6:Q$18,Table7[],Table7[Positive]),"")=TRUE))</f>
        <v>13</v>
      </c>
      <c r="R32" s="194">
        <f t="array" ref="R32">SUM(--(IFERROR(LOOKUP(R$6:R$18,Table7[],Table7[Positive]),"")=TRUE))</f>
        <v>3</v>
      </c>
      <c r="S32" s="194">
        <f t="array" ref="S32">SUM(--(IFERROR(LOOKUP(S$6:S$18,Table7[],Table7[Positive]),"")=TRUE))</f>
        <v>3</v>
      </c>
      <c r="T32" s="194">
        <f t="array" ref="T32">SUM(--(IFERROR(LOOKUP(T$6:T$18,Table7[],Table7[Positive]),"")=TRUE))</f>
        <v>5</v>
      </c>
      <c r="U32" s="194">
        <f t="array" ref="U32">SUM(--(IFERROR(LOOKUP(U$6:U$18,Table7[],Table7[Positive]),"")=TRUE))</f>
        <v>7</v>
      </c>
      <c r="V32" s="194">
        <f t="array" ref="V32">SUM(--(IFERROR(LOOKUP(V$6:V$18,Table7[],Table7[Positive]),"")=TRUE))</f>
        <v>0</v>
      </c>
      <c r="W32" s="194">
        <f t="array" ref="W32">SUM(--(IFERROR(LOOKUP(W$6:W$18,Table7[],Table7[Positive]),"")=TRUE))</f>
        <v>0</v>
      </c>
      <c r="X32" s="194">
        <f t="array" ref="X32">SUM(--(IFERROR(LOOKUP(X$6:X$18,Table7[],Table7[Positive]),"")=TRUE))</f>
        <v>10</v>
      </c>
      <c r="Y32" s="194">
        <f t="array" ref="Y32">SUM(--(IFERROR(LOOKUP(Y$6:Y$18,Table7[],Table7[Positive]),"")=TRUE))</f>
        <v>2</v>
      </c>
      <c r="Z32" s="194">
        <f t="array" ref="Z32">SUM(--(IFERROR(LOOKUP(Z$6:Z$18,Table7[],Table7[Positive]),"")=TRUE))</f>
        <v>2</v>
      </c>
      <c r="AA32" s="194">
        <f t="array" ref="AA32">SUM(--(IFERROR(LOOKUP(AA$6:AA$18,Table7[],Table7[Positive]),"")=TRUE))</f>
        <v>3</v>
      </c>
      <c r="AB32" s="194">
        <f t="array" ref="AB32">SUM(--(IFERROR(LOOKUP(AB$6:AB$18,Table7[],Table7[Positive]),"")=TRUE))</f>
        <v>1</v>
      </c>
      <c r="AC32" s="194">
        <f t="array" ref="AC32">SUM(--(IFERROR(LOOKUP(AC$6:AC$18,Table7[],Table7[Positive]),"")=TRUE))</f>
        <v>0</v>
      </c>
      <c r="AD32" s="194">
        <f t="array" ref="AD32">SUM(--(IFERROR(LOOKUP(AD$6:AD$18,Table7[],Table7[Positive]),"")=TRUE))</f>
        <v>0</v>
      </c>
      <c r="AE32" s="194">
        <f t="array" ref="AE32">SUM(--(IFERROR(LOOKUP(AE$6:AE$18,Table7[],Table7[Positive]),"")=TRUE))</f>
        <v>8</v>
      </c>
      <c r="AF32" s="194">
        <f t="array" ref="AF32">SUM(--(IFERROR(LOOKUP(AF$6:AF$18,Table7[],Table7[Positive]),"")=TRUE))</f>
        <v>2</v>
      </c>
      <c r="AG32" s="194">
        <f t="array" ref="AG32">SUM(--(IFERROR(LOOKUP(AG$6:AG$18,Table7[],Table7[Positive]),"")=TRUE))</f>
        <v>0</v>
      </c>
      <c r="AH32" s="194">
        <f t="array" ref="AH32">SUM(--(IFERROR(LOOKUP(AH$6:AH$18,Table7[],Table7[Positive]),"")=TRUE))</f>
        <v>0</v>
      </c>
      <c r="AI32" s="194">
        <f t="array" ref="AI32">SUM(--(IFERROR(LOOKUP(AI$6:AI$18,Table7[],Table7[Positive]),"")=TRUE))</f>
        <v>1</v>
      </c>
      <c r="AJ32" s="194">
        <f t="array" ref="AJ32">SUM(--(IFERROR(LOOKUP(AJ$6:AJ$18,Table7[],Table7[Positive]),"")=TRUE))</f>
        <v>0</v>
      </c>
      <c r="AK32" s="194">
        <f t="array" ref="AK32">SUM(--(IFERROR(LOOKUP(AK$6:AK$18,Table7[],Table7[Positive]),"")=TRUE))</f>
        <v>0</v>
      </c>
      <c r="AL32" s="194">
        <f t="array" ref="AL32">SUM(--(IFERROR(LOOKUP(AL$6:AL$18,Table7[],Table7[Positive]),"")=TRUE))</f>
        <v>0</v>
      </c>
      <c r="AM32" s="194">
        <f t="array" ref="AM32">SUM(--(IFERROR(LOOKUP(AM$6:AM$18,Table7[],Table7[Positive]),"")=TRUE))</f>
        <v>2</v>
      </c>
      <c r="AN32" s="194">
        <f t="array" ref="AN32">SUM(--(IFERROR(LOOKUP(AN$6:AN$18,Table7[],Table7[Positive]),"")=TRUE))</f>
        <v>1</v>
      </c>
      <c r="AO32" s="194">
        <f t="array" ref="AO32">SUM(--(IFERROR(LOOKUP(AO$6:AO$18,Table7[],Table7[Positive]),"")=TRUE))</f>
        <v>0</v>
      </c>
      <c r="AP32" s="194">
        <f t="array" ref="AP32">SUM(--(IFERROR(LOOKUP(AP$6:AP$18,Table7[],Table7[Positive]),"")=TRUE))</f>
        <v>1</v>
      </c>
      <c r="AQ32" s="195">
        <f>SUM(C32:AP32)</f>
        <v>87</v>
      </c>
    </row>
    <row r="33" spans="1:43" ht="27" customHeight="1" thickBot="1" x14ac:dyDescent="0.3">
      <c r="A33" s="386"/>
      <c r="B33" s="188" t="s">
        <v>83</v>
      </c>
      <c r="C33" s="135">
        <f t="array" ref="C33">COUNTIF(Table7[Positive],TRUE)-1</f>
        <v>87</v>
      </c>
      <c r="D33" s="135">
        <f t="shared" ref="D33:AP33" si="3">C33-D32</f>
        <v>84</v>
      </c>
      <c r="E33" s="135">
        <f t="shared" si="3"/>
        <v>83</v>
      </c>
      <c r="F33" s="135">
        <f t="shared" si="3"/>
        <v>79</v>
      </c>
      <c r="G33" s="135">
        <f t="shared" si="3"/>
        <v>78</v>
      </c>
      <c r="H33" s="135">
        <f t="shared" si="3"/>
        <v>78</v>
      </c>
      <c r="I33" s="135">
        <f t="shared" si="3"/>
        <v>78</v>
      </c>
      <c r="J33" s="135">
        <f t="shared" si="3"/>
        <v>71</v>
      </c>
      <c r="K33" s="135">
        <f t="shared" si="3"/>
        <v>70</v>
      </c>
      <c r="L33" s="135">
        <f t="shared" si="3"/>
        <v>69</v>
      </c>
      <c r="M33" s="135">
        <f t="shared" si="3"/>
        <v>67</v>
      </c>
      <c r="N33" s="135">
        <f t="shared" si="3"/>
        <v>64</v>
      </c>
      <c r="O33" s="135">
        <f t="shared" si="3"/>
        <v>64</v>
      </c>
      <c r="P33" s="135">
        <f t="shared" si="3"/>
        <v>64</v>
      </c>
      <c r="Q33" s="135">
        <f t="shared" si="3"/>
        <v>51</v>
      </c>
      <c r="R33" s="135">
        <f t="shared" si="3"/>
        <v>48</v>
      </c>
      <c r="S33" s="135">
        <f t="shared" si="3"/>
        <v>45</v>
      </c>
      <c r="T33" s="135">
        <f t="shared" si="3"/>
        <v>40</v>
      </c>
      <c r="U33" s="135">
        <f t="shared" si="3"/>
        <v>33</v>
      </c>
      <c r="V33" s="135">
        <f t="shared" si="3"/>
        <v>33</v>
      </c>
      <c r="W33" s="135">
        <f t="shared" si="3"/>
        <v>33</v>
      </c>
      <c r="X33" s="135">
        <f t="shared" si="3"/>
        <v>23</v>
      </c>
      <c r="Y33" s="135">
        <f t="shared" si="3"/>
        <v>21</v>
      </c>
      <c r="Z33" s="135">
        <f t="shared" si="3"/>
        <v>19</v>
      </c>
      <c r="AA33" s="135">
        <f t="shared" si="3"/>
        <v>16</v>
      </c>
      <c r="AB33" s="135">
        <f t="shared" si="3"/>
        <v>15</v>
      </c>
      <c r="AC33" s="135">
        <f t="shared" si="3"/>
        <v>15</v>
      </c>
      <c r="AD33" s="135">
        <f t="shared" si="3"/>
        <v>15</v>
      </c>
      <c r="AE33" s="135">
        <f t="shared" si="3"/>
        <v>7</v>
      </c>
      <c r="AF33" s="135">
        <f t="shared" si="3"/>
        <v>5</v>
      </c>
      <c r="AG33" s="135">
        <f t="shared" si="3"/>
        <v>5</v>
      </c>
      <c r="AH33" s="135">
        <f t="shared" si="3"/>
        <v>5</v>
      </c>
      <c r="AI33" s="135">
        <f t="shared" si="3"/>
        <v>4</v>
      </c>
      <c r="AJ33" s="135">
        <f t="shared" si="3"/>
        <v>4</v>
      </c>
      <c r="AK33" s="135">
        <f t="shared" si="3"/>
        <v>4</v>
      </c>
      <c r="AL33" s="135">
        <f t="shared" si="3"/>
        <v>4</v>
      </c>
      <c r="AM33" s="135">
        <f t="shared" si="3"/>
        <v>2</v>
      </c>
      <c r="AN33" s="135">
        <f t="shared" si="3"/>
        <v>1</v>
      </c>
      <c r="AO33" s="135">
        <f t="shared" si="3"/>
        <v>1</v>
      </c>
      <c r="AP33" s="135">
        <f t="shared" si="3"/>
        <v>0</v>
      </c>
      <c r="AQ33" s="195"/>
    </row>
    <row r="34" spans="1:43" ht="30.75" thickBot="1" x14ac:dyDescent="0.3">
      <c r="A34" s="386"/>
      <c r="B34" s="190" t="s">
        <v>85</v>
      </c>
      <c r="C34" s="135">
        <v>0</v>
      </c>
      <c r="D34" s="135">
        <f>D32/C33%</f>
        <v>3.4482758620689657</v>
      </c>
      <c r="E34" s="135">
        <f t="shared" ref="E34:AP34" si="4">E32/D33%</f>
        <v>1.1904761904761905</v>
      </c>
      <c r="F34" s="135">
        <f t="shared" si="4"/>
        <v>4.8192771084337354</v>
      </c>
      <c r="G34" s="135">
        <f t="shared" si="4"/>
        <v>1.2658227848101264</v>
      </c>
      <c r="H34" s="135">
        <f t="shared" si="4"/>
        <v>0</v>
      </c>
      <c r="I34" s="135">
        <f t="shared" si="4"/>
        <v>0</v>
      </c>
      <c r="J34" s="135">
        <f t="shared" si="4"/>
        <v>8.9743589743589745</v>
      </c>
      <c r="K34" s="135">
        <f t="shared" si="4"/>
        <v>1.4084507042253522</v>
      </c>
      <c r="L34" s="135">
        <f t="shared" si="4"/>
        <v>1.4285714285714286</v>
      </c>
      <c r="M34" s="135">
        <f t="shared" si="4"/>
        <v>2.8985507246376816</v>
      </c>
      <c r="N34" s="135">
        <f t="shared" si="4"/>
        <v>4.4776119402985071</v>
      </c>
      <c r="O34" s="135">
        <f t="shared" si="4"/>
        <v>0</v>
      </c>
      <c r="P34" s="135">
        <f t="shared" si="4"/>
        <v>0</v>
      </c>
      <c r="Q34" s="135">
        <f t="shared" si="4"/>
        <v>20.3125</v>
      </c>
      <c r="R34" s="135">
        <f t="shared" si="4"/>
        <v>5.8823529411764701</v>
      </c>
      <c r="S34" s="135">
        <f t="shared" si="4"/>
        <v>6.25</v>
      </c>
      <c r="T34" s="135">
        <f t="shared" si="4"/>
        <v>11.111111111111111</v>
      </c>
      <c r="U34" s="135">
        <f t="shared" si="4"/>
        <v>17.5</v>
      </c>
      <c r="V34" s="135">
        <f t="shared" si="4"/>
        <v>0</v>
      </c>
      <c r="W34" s="135">
        <f t="shared" si="4"/>
        <v>0</v>
      </c>
      <c r="X34" s="135">
        <f t="shared" si="4"/>
        <v>30.303030303030301</v>
      </c>
      <c r="Y34" s="135">
        <f t="shared" si="4"/>
        <v>8.695652173913043</v>
      </c>
      <c r="Z34" s="135">
        <f t="shared" si="4"/>
        <v>9.5238095238095237</v>
      </c>
      <c r="AA34" s="135">
        <f t="shared" si="4"/>
        <v>15.789473684210526</v>
      </c>
      <c r="AB34" s="135">
        <f t="shared" si="4"/>
        <v>6.25</v>
      </c>
      <c r="AC34" s="135">
        <f t="shared" si="4"/>
        <v>0</v>
      </c>
      <c r="AD34" s="135">
        <f t="shared" si="4"/>
        <v>0</v>
      </c>
      <c r="AE34" s="135">
        <f t="shared" si="4"/>
        <v>53.333333333333336</v>
      </c>
      <c r="AF34" s="135">
        <f t="shared" si="4"/>
        <v>28.571428571428569</v>
      </c>
      <c r="AG34" s="135">
        <f t="shared" si="4"/>
        <v>0</v>
      </c>
      <c r="AH34" s="135">
        <f t="shared" si="4"/>
        <v>0</v>
      </c>
      <c r="AI34" s="135">
        <f t="shared" si="4"/>
        <v>20</v>
      </c>
      <c r="AJ34" s="135">
        <f t="shared" si="4"/>
        <v>0</v>
      </c>
      <c r="AK34" s="135">
        <f t="shared" si="4"/>
        <v>0</v>
      </c>
      <c r="AL34" s="135">
        <f t="shared" si="4"/>
        <v>0</v>
      </c>
      <c r="AM34" s="135">
        <f t="shared" si="4"/>
        <v>50</v>
      </c>
      <c r="AN34" s="135">
        <f t="shared" si="4"/>
        <v>50</v>
      </c>
      <c r="AO34" s="135">
        <f t="shared" si="4"/>
        <v>0</v>
      </c>
      <c r="AP34" s="135">
        <f t="shared" si="4"/>
        <v>100</v>
      </c>
      <c r="AQ34" s="195"/>
    </row>
    <row r="35" spans="1:43" ht="32.25" customHeight="1" thickBot="1" x14ac:dyDescent="0.3">
      <c r="A35" s="387"/>
      <c r="B35" s="196" t="s">
        <v>86</v>
      </c>
      <c r="C35" s="198">
        <v>0</v>
      </c>
      <c r="D35" s="197">
        <f>D32/$C$33%</f>
        <v>3.4482758620689657</v>
      </c>
      <c r="E35" s="197">
        <f t="shared" ref="E35:AP35" si="5">E32/$C$33%</f>
        <v>1.1494252873563218</v>
      </c>
      <c r="F35" s="197">
        <f t="shared" si="5"/>
        <v>4.5977011494252871</v>
      </c>
      <c r="G35" s="197">
        <f t="shared" si="5"/>
        <v>1.1494252873563218</v>
      </c>
      <c r="H35" s="197">
        <f t="shared" si="5"/>
        <v>0</v>
      </c>
      <c r="I35" s="197">
        <f t="shared" si="5"/>
        <v>0</v>
      </c>
      <c r="J35" s="197">
        <f t="shared" si="5"/>
        <v>8.0459770114942533</v>
      </c>
      <c r="K35" s="197">
        <f t="shared" si="5"/>
        <v>1.1494252873563218</v>
      </c>
      <c r="L35" s="197">
        <f t="shared" si="5"/>
        <v>1.1494252873563218</v>
      </c>
      <c r="M35" s="197">
        <f t="shared" si="5"/>
        <v>2.2988505747126435</v>
      </c>
      <c r="N35" s="197">
        <f t="shared" si="5"/>
        <v>3.4482758620689657</v>
      </c>
      <c r="O35" s="197">
        <f t="shared" si="5"/>
        <v>0</v>
      </c>
      <c r="P35" s="197">
        <f t="shared" si="5"/>
        <v>0</v>
      </c>
      <c r="Q35" s="197">
        <f t="shared" si="5"/>
        <v>14.942528735632184</v>
      </c>
      <c r="R35" s="197">
        <f t="shared" si="5"/>
        <v>3.4482758620689657</v>
      </c>
      <c r="S35" s="197">
        <f t="shared" si="5"/>
        <v>3.4482758620689657</v>
      </c>
      <c r="T35" s="197">
        <f t="shared" si="5"/>
        <v>5.7471264367816088</v>
      </c>
      <c r="U35" s="197">
        <f t="shared" si="5"/>
        <v>8.0459770114942533</v>
      </c>
      <c r="V35" s="197">
        <f t="shared" si="5"/>
        <v>0</v>
      </c>
      <c r="W35" s="197">
        <f t="shared" si="5"/>
        <v>0</v>
      </c>
      <c r="X35" s="197">
        <f t="shared" si="5"/>
        <v>11.494252873563218</v>
      </c>
      <c r="Y35" s="197">
        <f t="shared" si="5"/>
        <v>2.2988505747126435</v>
      </c>
      <c r="Z35" s="197">
        <f t="shared" si="5"/>
        <v>2.2988505747126435</v>
      </c>
      <c r="AA35" s="197">
        <f t="shared" si="5"/>
        <v>3.4482758620689657</v>
      </c>
      <c r="AB35" s="197">
        <f t="shared" si="5"/>
        <v>1.1494252873563218</v>
      </c>
      <c r="AC35" s="197">
        <f t="shared" si="5"/>
        <v>0</v>
      </c>
      <c r="AD35" s="197">
        <f t="shared" si="5"/>
        <v>0</v>
      </c>
      <c r="AE35" s="197">
        <f t="shared" si="5"/>
        <v>9.1954022988505741</v>
      </c>
      <c r="AF35" s="197">
        <f t="shared" si="5"/>
        <v>2.2988505747126435</v>
      </c>
      <c r="AG35" s="197">
        <f t="shared" si="5"/>
        <v>0</v>
      </c>
      <c r="AH35" s="197">
        <f t="shared" si="5"/>
        <v>0</v>
      </c>
      <c r="AI35" s="197">
        <f t="shared" si="5"/>
        <v>1.1494252873563218</v>
      </c>
      <c r="AJ35" s="197">
        <f t="shared" si="5"/>
        <v>0</v>
      </c>
      <c r="AK35" s="197">
        <f t="shared" si="5"/>
        <v>0</v>
      </c>
      <c r="AL35" s="197">
        <f t="shared" si="5"/>
        <v>0</v>
      </c>
      <c r="AM35" s="197">
        <f t="shared" si="5"/>
        <v>2.2988505747126435</v>
      </c>
      <c r="AN35" s="197">
        <f t="shared" si="5"/>
        <v>1.1494252873563218</v>
      </c>
      <c r="AO35" s="197">
        <f t="shared" si="5"/>
        <v>0</v>
      </c>
      <c r="AP35" s="197">
        <f t="shared" si="5"/>
        <v>1.1494252873563218</v>
      </c>
      <c r="AQ35" s="195">
        <f>SUM(C35:AP35)</f>
        <v>100.00000000000001</v>
      </c>
    </row>
    <row r="36" spans="1:43" ht="32.25" customHeight="1" thickBot="1" x14ac:dyDescent="0.3">
      <c r="A36" s="385" t="s">
        <v>88</v>
      </c>
      <c r="B36" s="193" t="s">
        <v>82</v>
      </c>
      <c r="C36" s="216">
        <v>0</v>
      </c>
      <c r="D36" s="134">
        <f>SUMPRODUCT(--(IFERROR(LOOKUP(D$6:D$18,Table7[],Table7[Positive]),"")=TRUE),--(IFERROR(LOOKUP(D$6:D$18,Table7[],Table7[Disseminated]),"")=FALSE))</f>
        <v>0</v>
      </c>
      <c r="E36" s="134">
        <f t="array" ref="E36">SUMPRODUCT(--(IFERROR(LOOKUP(E$6:E$18,Table7[],Table7[Positive]),"")=TRUE),--(IFERROR(LOOKUP(E$6:E$18,Table7[],Table7[Disseminated]),"")=FALSE))</f>
        <v>0</v>
      </c>
      <c r="F36" s="134">
        <f t="array" ref="F36">SUMPRODUCT(--(IFERROR(LOOKUP(F$6:F$18,Table7[],Table7[Positive]),"")=TRUE),--(IFERROR(LOOKUP(F$6:F$18,Table7[],Table7[Disseminated]),"")=FALSE))</f>
        <v>0</v>
      </c>
      <c r="G36" s="134">
        <f t="array" ref="G36">SUMPRODUCT(--(IFERROR(LOOKUP(G$6:G$18,Table7[],Table7[Positive]),"")=TRUE),--(IFERROR(LOOKUP(G$6:G$18,Table7[],Table7[Disseminated]),"")=FALSE))</f>
        <v>1</v>
      </c>
      <c r="H36" s="134">
        <f t="array" ref="H36">SUMPRODUCT(--(IFERROR(LOOKUP(H$6:H$18,Table7[],Table7[Positive]),"")=TRUE),--(IFERROR(LOOKUP(H$6:H$18,Table7[],Table7[Disseminated]),"")=FALSE))</f>
        <v>0</v>
      </c>
      <c r="I36" s="134">
        <f t="array" ref="I36">SUMPRODUCT(--(IFERROR(LOOKUP(I$6:I$18,Table7[],Table7[Positive]),"")=TRUE),--(IFERROR(LOOKUP(I$6:I$18,Table7[],Table7[Disseminated]),"")=FALSE))</f>
        <v>0</v>
      </c>
      <c r="J36" s="134">
        <f t="array" ref="J36">SUMPRODUCT(--(IFERROR(LOOKUP(J$6:J$18,Table7[],Table7[Positive]),"")=TRUE),--(IFERROR(LOOKUP(J$6:J$18,Table7[],Table7[Disseminated]),"")=FALSE))</f>
        <v>3</v>
      </c>
      <c r="K36" s="134">
        <f t="array" ref="K36">SUMPRODUCT(--(IFERROR(LOOKUP(K$6:K$18,Table7[],Table7[Positive]),"")=TRUE),--(IFERROR(LOOKUP(K$6:K$18,Table7[],Table7[Disseminated]),"")=FALSE))</f>
        <v>0</v>
      </c>
      <c r="L36" s="134">
        <f t="array" ref="L36">SUMPRODUCT(--(IFERROR(LOOKUP(L$6:L$18,Table7[],Table7[Positive]),"")=TRUE),--(IFERROR(LOOKUP(L$6:L$18,Table7[],Table7[Disseminated]),"")=FALSE))</f>
        <v>0</v>
      </c>
      <c r="M36" s="134">
        <f t="array" ref="M36">SUMPRODUCT(--(IFERROR(LOOKUP(M$6:M$18,Table7[],Table7[Positive]),"")=TRUE),--(IFERROR(LOOKUP(M$6:M$18,Table7[],Table7[Disseminated]),"")=FALSE))</f>
        <v>0</v>
      </c>
      <c r="N36" s="134">
        <f t="array" ref="N36">SUMPRODUCT(--(IFERROR(LOOKUP(N$6:N$18,Table7[],Table7[Positive]),"")=TRUE),--(IFERROR(LOOKUP(N$6:N$18,Table7[],Table7[Disseminated]),"")=FALSE))</f>
        <v>0</v>
      </c>
      <c r="O36" s="134">
        <f t="array" ref="O36">SUMPRODUCT(--(IFERROR(LOOKUP(O$6:O$18,Table7[],Table7[Positive]),"")=TRUE),--(IFERROR(LOOKUP(O$6:O$18,Table7[],Table7[Disseminated]),"")=FALSE))</f>
        <v>0</v>
      </c>
      <c r="P36" s="134">
        <f t="array" ref="P36">SUMPRODUCT(--(IFERROR(LOOKUP(P$6:P$18,Table7[],Table7[Positive]),"")=TRUE),--(IFERROR(LOOKUP(P$6:P$18,Table7[],Table7[Disseminated]),"")=FALSE))</f>
        <v>0</v>
      </c>
      <c r="Q36" s="134">
        <f t="array" ref="Q36">SUMPRODUCT(--(IFERROR(LOOKUP(Q$6:Q$18,Table7[],Table7[Positive]),"")=TRUE),--(IFERROR(LOOKUP(Q$6:Q$18,Table7[],Table7[Disseminated]),"")=FALSE))</f>
        <v>1</v>
      </c>
      <c r="R36" s="134">
        <f t="array" ref="R36">SUMPRODUCT(--(IFERROR(LOOKUP(R$6:R$18,Table7[],Table7[Positive]),"")=TRUE),--(IFERROR(LOOKUP(R$6:R$18,Table7[],Table7[Disseminated]),"")=FALSE))</f>
        <v>1</v>
      </c>
      <c r="S36" s="134">
        <f t="array" ref="S36">SUMPRODUCT(--(IFERROR(LOOKUP(S$6:S$18,Table7[],Table7[Positive]),"")=TRUE),--(IFERROR(LOOKUP(S$6:S$18,Table7[],Table7[Disseminated]),"")=FALSE))</f>
        <v>0</v>
      </c>
      <c r="T36" s="134">
        <f t="array" ref="T36">SUMPRODUCT(--(IFERROR(LOOKUP(T$6:T$18,Table7[],Table7[Positive]),"")=TRUE),--(IFERROR(LOOKUP(T$6:T$18,Table7[],Table7[Disseminated]),"")=FALSE))</f>
        <v>0</v>
      </c>
      <c r="U36" s="134">
        <f t="array" ref="U36">SUMPRODUCT(--(IFERROR(LOOKUP(U$6:U$18,Table7[],Table7[Positive]),"")=TRUE),--(IFERROR(LOOKUP(U$6:U$18,Table7[],Table7[Disseminated]),"")=FALSE))</f>
        <v>0</v>
      </c>
      <c r="V36" s="134">
        <f t="array" ref="V36">SUMPRODUCT(--(IFERROR(LOOKUP(V$6:V$18,Table7[],Table7[Positive]),"")=TRUE),--(IFERROR(LOOKUP(V$6:V$18,Table7[],Table7[Disseminated]),"")=FALSE))</f>
        <v>0</v>
      </c>
      <c r="W36" s="134">
        <f t="array" ref="W36">SUMPRODUCT(--(IFERROR(LOOKUP(W$6:W$18,Table7[],Table7[Positive]),"")=TRUE),--(IFERROR(LOOKUP(W$6:W$18,Table7[],Table7[Disseminated]),"")=FALSE))</f>
        <v>0</v>
      </c>
      <c r="X36" s="134">
        <f t="array" ref="X36">SUMPRODUCT(--(IFERROR(LOOKUP(X$6:X$18,Table7[],Table7[Positive]),"")=TRUE),--(IFERROR(LOOKUP(X$6:X$18,Table7[],Table7[Disseminated]),"")=FALSE))</f>
        <v>2</v>
      </c>
      <c r="Y36" s="134">
        <f t="array" ref="Y36">SUMPRODUCT(--(IFERROR(LOOKUP(Y$6:Y$18,Table7[],Table7[Positive]),"")=TRUE),--(IFERROR(LOOKUP(Y$6:Y$18,Table7[],Table7[Disseminated]),"")=FALSE))</f>
        <v>0</v>
      </c>
      <c r="Z36" s="134">
        <f t="array" ref="Z36">SUMPRODUCT(--(IFERROR(LOOKUP(Z$6:Z$18,Table7[],Table7[Positive]),"")=TRUE),--(IFERROR(LOOKUP(Z$6:Z$18,Table7[],Table7[Disseminated]),"")=FALSE))</f>
        <v>0</v>
      </c>
      <c r="AA36" s="134">
        <f t="array" ref="AA36">SUMPRODUCT(--(IFERROR(LOOKUP(AA$6:AA$18,Table7[],Table7[Positive]),"")=TRUE),--(IFERROR(LOOKUP(AA$6:AA$18,Table7[],Table7[Disseminated]),"")=FALSE))</f>
        <v>0</v>
      </c>
      <c r="AB36" s="134">
        <f t="array" ref="AB36">SUMPRODUCT(--(IFERROR(LOOKUP(AB$6:AB$18,Table7[],Table7[Positive]),"")=TRUE),--(IFERROR(LOOKUP(AB$6:AB$18,Table7[],Table7[Disseminated]),"")=FALSE))</f>
        <v>0</v>
      </c>
      <c r="AC36" s="134">
        <f t="array" ref="AC36">SUMPRODUCT(--(IFERROR(LOOKUP(AC$6:AC$18,Table7[],Table7[Positive]),"")=TRUE),--(IFERROR(LOOKUP(AC$6:AC$18,Table7[],Table7[Disseminated]),"")=FALSE))</f>
        <v>0</v>
      </c>
      <c r="AD36" s="134">
        <f t="array" ref="AD36">SUMPRODUCT(--(IFERROR(LOOKUP(AD$6:AD$18,Table7[],Table7[Positive]),"")=TRUE),--(IFERROR(LOOKUP(AD$6:AD$18,Table7[],Table7[Disseminated]),"")=FALSE))</f>
        <v>0</v>
      </c>
      <c r="AE36" s="217">
        <f t="array" ref="AE36">SUMPRODUCT(--(IFERROR(LOOKUP(AE$6:AE$18,Table7[],Table7[Positive]),"")=TRUE),--(IFERROR(LOOKUP(AE$6:AE$18,Table7[],Table7[Disseminated]),"")=FALSE))</f>
        <v>1</v>
      </c>
      <c r="AF36" s="128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95">
        <f>SUM(C36:AP36)</f>
        <v>9</v>
      </c>
    </row>
    <row r="37" spans="1:43" ht="32.25" customHeight="1" thickBot="1" x14ac:dyDescent="0.3">
      <c r="A37" s="386"/>
      <c r="B37" s="188" t="s">
        <v>83</v>
      </c>
      <c r="C37" s="216">
        <v>9</v>
      </c>
      <c r="D37" s="134">
        <f>C37-D36</f>
        <v>9</v>
      </c>
      <c r="E37" s="134">
        <f t="shared" ref="E37:AE37" si="6">D37-E36</f>
        <v>9</v>
      </c>
      <c r="F37" s="134">
        <f t="shared" si="6"/>
        <v>9</v>
      </c>
      <c r="G37" s="134">
        <f t="shared" si="6"/>
        <v>8</v>
      </c>
      <c r="H37" s="134">
        <f t="shared" si="6"/>
        <v>8</v>
      </c>
      <c r="I37" s="134">
        <f t="shared" si="6"/>
        <v>8</v>
      </c>
      <c r="J37" s="134">
        <f t="shared" si="6"/>
        <v>5</v>
      </c>
      <c r="K37" s="134">
        <f t="shared" si="6"/>
        <v>5</v>
      </c>
      <c r="L37" s="134">
        <f t="shared" si="6"/>
        <v>5</v>
      </c>
      <c r="M37" s="134">
        <f t="shared" si="6"/>
        <v>5</v>
      </c>
      <c r="N37" s="134">
        <f t="shared" si="6"/>
        <v>5</v>
      </c>
      <c r="O37" s="134">
        <f t="shared" si="6"/>
        <v>5</v>
      </c>
      <c r="P37" s="134">
        <f t="shared" si="6"/>
        <v>5</v>
      </c>
      <c r="Q37" s="134">
        <f t="shared" si="6"/>
        <v>4</v>
      </c>
      <c r="R37" s="134">
        <f t="shared" si="6"/>
        <v>3</v>
      </c>
      <c r="S37" s="134">
        <f t="shared" si="6"/>
        <v>3</v>
      </c>
      <c r="T37" s="134">
        <f t="shared" si="6"/>
        <v>3</v>
      </c>
      <c r="U37" s="134">
        <f t="shared" si="6"/>
        <v>3</v>
      </c>
      <c r="V37" s="134">
        <f t="shared" si="6"/>
        <v>3</v>
      </c>
      <c r="W37" s="134">
        <f t="shared" si="6"/>
        <v>3</v>
      </c>
      <c r="X37" s="134">
        <f t="shared" si="6"/>
        <v>1</v>
      </c>
      <c r="Y37" s="134">
        <f t="shared" si="6"/>
        <v>1</v>
      </c>
      <c r="Z37" s="134">
        <f t="shared" si="6"/>
        <v>1</v>
      </c>
      <c r="AA37" s="134">
        <f t="shared" si="6"/>
        <v>1</v>
      </c>
      <c r="AB37" s="134">
        <f t="shared" si="6"/>
        <v>1</v>
      </c>
      <c r="AC37" s="134">
        <f t="shared" si="6"/>
        <v>1</v>
      </c>
      <c r="AD37" s="134">
        <f t="shared" si="6"/>
        <v>1</v>
      </c>
      <c r="AE37" s="218">
        <f t="shared" si="6"/>
        <v>0</v>
      </c>
      <c r="AF37" s="128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95"/>
    </row>
    <row r="38" spans="1:43" ht="32.25" customHeight="1" thickBot="1" x14ac:dyDescent="0.3">
      <c r="A38" s="386"/>
      <c r="B38" s="190" t="s">
        <v>85</v>
      </c>
      <c r="C38" s="216">
        <v>0</v>
      </c>
      <c r="D38" s="134">
        <f>IFERROR(D36/C37%,0)</f>
        <v>0</v>
      </c>
      <c r="E38" s="134">
        <f t="shared" ref="E38:AE38" si="7">IFERROR(E36/D37%,0)</f>
        <v>0</v>
      </c>
      <c r="F38" s="134">
        <f t="shared" si="7"/>
        <v>0</v>
      </c>
      <c r="G38" s="134">
        <f t="shared" si="7"/>
        <v>11.111111111111111</v>
      </c>
      <c r="H38" s="134">
        <f t="shared" si="7"/>
        <v>0</v>
      </c>
      <c r="I38" s="134">
        <f t="shared" si="7"/>
        <v>0</v>
      </c>
      <c r="J38" s="134">
        <f t="shared" si="7"/>
        <v>37.5</v>
      </c>
      <c r="K38" s="134">
        <f t="shared" si="7"/>
        <v>0</v>
      </c>
      <c r="L38" s="134">
        <f t="shared" si="7"/>
        <v>0</v>
      </c>
      <c r="M38" s="134">
        <f t="shared" si="7"/>
        <v>0</v>
      </c>
      <c r="N38" s="134">
        <f t="shared" si="7"/>
        <v>0</v>
      </c>
      <c r="O38" s="134">
        <f t="shared" si="7"/>
        <v>0</v>
      </c>
      <c r="P38" s="134">
        <f t="shared" si="7"/>
        <v>0</v>
      </c>
      <c r="Q38" s="134">
        <f t="shared" si="7"/>
        <v>20</v>
      </c>
      <c r="R38" s="134">
        <f t="shared" si="7"/>
        <v>25</v>
      </c>
      <c r="S38" s="134">
        <f t="shared" si="7"/>
        <v>0</v>
      </c>
      <c r="T38" s="134">
        <f t="shared" si="7"/>
        <v>0</v>
      </c>
      <c r="U38" s="134">
        <f t="shared" si="7"/>
        <v>0</v>
      </c>
      <c r="V38" s="134">
        <f t="shared" si="7"/>
        <v>0</v>
      </c>
      <c r="W38" s="134">
        <f t="shared" si="7"/>
        <v>0</v>
      </c>
      <c r="X38" s="134">
        <f t="shared" si="7"/>
        <v>66.666666666666671</v>
      </c>
      <c r="Y38" s="134">
        <f t="shared" si="7"/>
        <v>0</v>
      </c>
      <c r="Z38" s="134">
        <f t="shared" si="7"/>
        <v>0</v>
      </c>
      <c r="AA38" s="134">
        <f t="shared" si="7"/>
        <v>0</v>
      </c>
      <c r="AB38" s="134">
        <f t="shared" si="7"/>
        <v>0</v>
      </c>
      <c r="AC38" s="134">
        <f t="shared" si="7"/>
        <v>0</v>
      </c>
      <c r="AD38" s="134">
        <f t="shared" si="7"/>
        <v>0</v>
      </c>
      <c r="AE38" s="218">
        <f t="shared" si="7"/>
        <v>100</v>
      </c>
      <c r="AF38" s="128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95"/>
    </row>
    <row r="39" spans="1:43" ht="32.25" customHeight="1" thickBot="1" x14ac:dyDescent="0.3">
      <c r="A39" s="387"/>
      <c r="B39" s="196" t="s">
        <v>86</v>
      </c>
      <c r="C39" s="216">
        <v>0</v>
      </c>
      <c r="D39" s="134">
        <f>D36/$C$37%</f>
        <v>0</v>
      </c>
      <c r="E39" s="134">
        <f t="shared" ref="E39:AE39" si="8">E36/$C$37%</f>
        <v>0</v>
      </c>
      <c r="F39" s="134">
        <f t="shared" si="8"/>
        <v>0</v>
      </c>
      <c r="G39" s="134">
        <f t="shared" si="8"/>
        <v>11.111111111111111</v>
      </c>
      <c r="H39" s="134">
        <f t="shared" si="8"/>
        <v>0</v>
      </c>
      <c r="I39" s="134">
        <f t="shared" si="8"/>
        <v>0</v>
      </c>
      <c r="J39" s="134">
        <f t="shared" si="8"/>
        <v>33.333333333333336</v>
      </c>
      <c r="K39" s="134">
        <f t="shared" si="8"/>
        <v>0</v>
      </c>
      <c r="L39" s="134">
        <f t="shared" si="8"/>
        <v>0</v>
      </c>
      <c r="M39" s="134">
        <f t="shared" si="8"/>
        <v>0</v>
      </c>
      <c r="N39" s="134">
        <f t="shared" si="8"/>
        <v>0</v>
      </c>
      <c r="O39" s="134">
        <f t="shared" si="8"/>
        <v>0</v>
      </c>
      <c r="P39" s="134">
        <f t="shared" si="8"/>
        <v>0</v>
      </c>
      <c r="Q39" s="134">
        <f t="shared" si="8"/>
        <v>11.111111111111111</v>
      </c>
      <c r="R39" s="134">
        <f t="shared" si="8"/>
        <v>11.111111111111111</v>
      </c>
      <c r="S39" s="134">
        <f t="shared" si="8"/>
        <v>0</v>
      </c>
      <c r="T39" s="134">
        <f t="shared" si="8"/>
        <v>0</v>
      </c>
      <c r="U39" s="134">
        <f t="shared" si="8"/>
        <v>0</v>
      </c>
      <c r="V39" s="134">
        <f t="shared" si="8"/>
        <v>0</v>
      </c>
      <c r="W39" s="134">
        <f t="shared" si="8"/>
        <v>0</v>
      </c>
      <c r="X39" s="134">
        <f t="shared" si="8"/>
        <v>22.222222222222221</v>
      </c>
      <c r="Y39" s="134">
        <f t="shared" si="8"/>
        <v>0</v>
      </c>
      <c r="Z39" s="134">
        <f t="shared" si="8"/>
        <v>0</v>
      </c>
      <c r="AA39" s="134">
        <f t="shared" si="8"/>
        <v>0</v>
      </c>
      <c r="AB39" s="134">
        <f t="shared" si="8"/>
        <v>0</v>
      </c>
      <c r="AC39" s="134">
        <f t="shared" si="8"/>
        <v>0</v>
      </c>
      <c r="AD39" s="134">
        <f t="shared" si="8"/>
        <v>0</v>
      </c>
      <c r="AE39" s="219">
        <f t="shared" si="8"/>
        <v>11.111111111111111</v>
      </c>
      <c r="AF39" s="128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95">
        <f>SUM(C39:AP39)</f>
        <v>100</v>
      </c>
    </row>
    <row r="40" spans="1:43" ht="15" customHeight="1" thickBot="1" x14ac:dyDescent="0.3">
      <c r="A40" s="385" t="s">
        <v>81</v>
      </c>
      <c r="B40" s="193" t="s">
        <v>82</v>
      </c>
      <c r="C40" s="199">
        <v>0</v>
      </c>
      <c r="D40" s="194">
        <f t="array" ref="D40">SUM(--(IFERROR(LOOKUP(D$6:D$18,Table7[],Table7[Disseminated]),"")=TRUE))</f>
        <v>0</v>
      </c>
      <c r="E40" s="194">
        <f t="array" ref="E40">SUM(--(IFERROR(LOOKUP(E$6:E$18,Table7[],Table7[Disseminated]),"")=TRUE))</f>
        <v>0</v>
      </c>
      <c r="F40" s="194">
        <f t="array" ref="F40">SUM(--(IFERROR(LOOKUP(F$6:F$18,Table7[],Table7[Disseminated]),"")=TRUE))</f>
        <v>0</v>
      </c>
      <c r="G40" s="194">
        <f t="array" ref="G40">SUM(--(IFERROR(LOOKUP(G$6:G$18,Table7[],Table7[Disseminated]),"")=TRUE))</f>
        <v>0</v>
      </c>
      <c r="H40" s="194">
        <f t="array" ref="H40">SUM(--(IFERROR(LOOKUP(H$6:H$18,Table7[],Table7[Disseminated]),"")=TRUE))</f>
        <v>0</v>
      </c>
      <c r="I40" s="194">
        <f t="array" ref="I40">SUM(--(IFERROR(LOOKUP(I$6:I$18,Table7[],Table7[Disseminated]),"")=TRUE))</f>
        <v>0</v>
      </c>
      <c r="J40" s="194">
        <f t="array" ref="J40">SUM(--(IFERROR(LOOKUP(J$6:J$18,Table7[],Table7[Disseminated]),"")=TRUE))</f>
        <v>4</v>
      </c>
      <c r="K40" s="194">
        <f t="array" ref="K40">SUM(--(IFERROR(LOOKUP(K$6:K$18,Table7[],Table7[Disseminated]),"")=TRUE))</f>
        <v>1</v>
      </c>
      <c r="L40" s="194">
        <f t="array" ref="L40">SUM(--(IFERROR(LOOKUP(L$6:L$18,Table7[],Table7[Disseminated]),"")=TRUE))</f>
        <v>1</v>
      </c>
      <c r="M40" s="194">
        <f t="array" ref="M40">SUM(--(IFERROR(LOOKUP(M$6:M$18,Table7[],Table7[Disseminated]),"")=TRUE))</f>
        <v>2</v>
      </c>
      <c r="N40" s="194">
        <f t="array" ref="N40">SUM(--(IFERROR(LOOKUP(N$6:N$18,Table7[],Table7[Disseminated]),"")=TRUE))</f>
        <v>3</v>
      </c>
      <c r="O40" s="194">
        <f t="array" ref="O40">SUM(--(IFERROR(LOOKUP(O$6:O$18,Table7[],Table7[Disseminated]),"")=TRUE))</f>
        <v>0</v>
      </c>
      <c r="P40" s="194">
        <f t="array" ref="P40">SUM(--(IFERROR(LOOKUP(P$6:P$18,Table7[],Table7[Disseminated]),"")=TRUE))</f>
        <v>0</v>
      </c>
      <c r="Q40" s="194">
        <f t="array" ref="Q40">SUM(--(IFERROR(LOOKUP(Q$6:Q$18,Table7[],Table7[Disseminated]),"")=TRUE))</f>
        <v>12</v>
      </c>
      <c r="R40" s="194">
        <f t="array" ref="R40">SUM(--(IFERROR(LOOKUP(R$6:R$18,Table7[],Table7[Disseminated]),"")=TRUE))</f>
        <v>2</v>
      </c>
      <c r="S40" s="194">
        <f t="array" ref="S40">SUM(--(IFERROR(LOOKUP(S$6:S$18,Table7[],Table7[Disseminated]),"")=TRUE))</f>
        <v>3</v>
      </c>
      <c r="T40" s="194">
        <f t="array" ref="T40">SUM(--(IFERROR(LOOKUP(T$6:T$18,Table7[],Table7[Disseminated]),"")=TRUE))</f>
        <v>5</v>
      </c>
      <c r="U40" s="194">
        <f t="array" ref="U40">SUM(--(IFERROR(LOOKUP(U$6:U$18,Table7[],Table7[Disseminated]),"")=TRUE))</f>
        <v>7</v>
      </c>
      <c r="V40" s="194">
        <f t="array" ref="V40">SUM(--(IFERROR(LOOKUP(V$6:V$18,Table7[],Table7[Disseminated]),"")=TRUE))</f>
        <v>0</v>
      </c>
      <c r="W40" s="194">
        <f t="array" ref="W40">SUM(--(IFERROR(LOOKUP(W$6:W$18,Table7[],Table7[Disseminated]),"")=TRUE))</f>
        <v>0</v>
      </c>
      <c r="X40" s="194">
        <f t="array" ref="X40">SUM(--(IFERROR(LOOKUP(X$6:X$18,Table7[],Table7[Disseminated]),"")=TRUE))</f>
        <v>8</v>
      </c>
      <c r="Y40" s="194">
        <f t="array" ref="Y40">SUM(--(IFERROR(LOOKUP(Y$6:Y$18,Table7[],Table7[Disseminated]),"")=TRUE))</f>
        <v>2</v>
      </c>
      <c r="Z40" s="194">
        <f t="array" ref="Z40">SUM(--(IFERROR(LOOKUP(Z$6:Z$18,Table7[],Table7[Disseminated]),"")=TRUE))</f>
        <v>2</v>
      </c>
      <c r="AA40" s="194">
        <f t="array" ref="AA40">SUM(--(IFERROR(LOOKUP(AA$6:AA$18,Table7[],Table7[Disseminated]),"")=TRUE))</f>
        <v>3</v>
      </c>
      <c r="AB40" s="194">
        <f t="array" ref="AB40">SUM(--(IFERROR(LOOKUP(AB$6:AB$18,Table7[],Table7[Disseminated]),"")=TRUE))</f>
        <v>1</v>
      </c>
      <c r="AC40" s="194">
        <f t="array" ref="AC40">SUM(--(IFERROR(LOOKUP(AC$6:AC$18,Table7[],Table7[Disseminated]),"")=TRUE))</f>
        <v>0</v>
      </c>
      <c r="AD40" s="194">
        <f t="array" ref="AD40">SUM(--(IFERROR(LOOKUP(AD$6:AD$18,Table7[],Table7[Disseminated]),"")=TRUE))</f>
        <v>0</v>
      </c>
      <c r="AE40" s="194">
        <f t="array" ref="AE40">SUM(--(IFERROR(LOOKUP(AE$6:AE$18,Table7[],Table7[Disseminated]),"")=TRUE))</f>
        <v>7</v>
      </c>
      <c r="AF40" s="194">
        <f t="array" ref="AF40">SUM(--(IFERROR(LOOKUP(AF$6:AF$18,Table7[],Table7[Disseminated]),"")=TRUE))</f>
        <v>2</v>
      </c>
      <c r="AG40" s="194">
        <f t="array" ref="AG40">SUM(--(IFERROR(LOOKUP(AG$6:AG$18,Table7[],Table7[Disseminated]),"")=TRUE))</f>
        <v>0</v>
      </c>
      <c r="AH40" s="194">
        <f t="array" ref="AH40">SUM(--(IFERROR(LOOKUP(AH$6:AH$18,Table7[],Table7[Disseminated]),"")=TRUE))</f>
        <v>0</v>
      </c>
      <c r="AI40" s="194">
        <f t="array" ref="AI40">SUM(--(IFERROR(LOOKUP(AI$6:AI$18,Table7[],Table7[Disseminated]),"")=TRUE))</f>
        <v>1</v>
      </c>
      <c r="AJ40" s="194">
        <f t="array" ref="AJ40">SUM(--(IFERROR(LOOKUP(AJ$6:AJ$18,Table7[],Table7[Disseminated]),"")=TRUE))</f>
        <v>0</v>
      </c>
      <c r="AK40" s="194">
        <f t="array" ref="AK40">SUM(--(IFERROR(LOOKUP(AK$6:AK$18,Table7[],Table7[Disseminated]),"")=TRUE))</f>
        <v>0</v>
      </c>
      <c r="AL40" s="194">
        <f t="array" ref="AL40">SUM(--(IFERROR(LOOKUP(AL$6:AL$18,Table7[],Table7[Disseminated]),"")=TRUE))</f>
        <v>0</v>
      </c>
      <c r="AM40" s="194">
        <f t="array" ref="AM40">SUM(--(IFERROR(LOOKUP(AM$6:AM$18,Table7[],Table7[Disseminated]),"")=TRUE))</f>
        <v>2</v>
      </c>
      <c r="AN40" s="194">
        <f t="array" ref="AN40">SUM(--(IFERROR(LOOKUP(AN$6:AN$18,Table7[],Table7[Disseminated]),"")=TRUE))</f>
        <v>1</v>
      </c>
      <c r="AO40" s="194">
        <f t="array" ref="AO40">SUM(--(IFERROR(LOOKUP(AO$6:AO$18,Table7[],Table7[Disseminated]),"")=TRUE))</f>
        <v>0</v>
      </c>
      <c r="AP40" s="194">
        <f t="array" ref="AP40">SUM(--(IFERROR(LOOKUP(AP$6:AP$18,Table7[],Table7[Disseminated]),"")=TRUE))</f>
        <v>1</v>
      </c>
      <c r="AQ40" s="195">
        <f>SUM(C40:AP40)</f>
        <v>70</v>
      </c>
    </row>
    <row r="41" spans="1:43" ht="15" customHeight="1" thickBot="1" x14ac:dyDescent="0.3">
      <c r="A41" s="386"/>
      <c r="B41" s="188" t="s">
        <v>83</v>
      </c>
      <c r="C41" s="135">
        <f>COUNTIF(Table7[Disseminated],TRUE)</f>
        <v>70</v>
      </c>
      <c r="D41" s="135">
        <f t="shared" ref="D41:AP41" si="9">C41-D40</f>
        <v>70</v>
      </c>
      <c r="E41" s="135">
        <f t="shared" si="9"/>
        <v>70</v>
      </c>
      <c r="F41" s="135">
        <f t="shared" si="9"/>
        <v>70</v>
      </c>
      <c r="G41" s="135">
        <f t="shared" si="9"/>
        <v>70</v>
      </c>
      <c r="H41" s="135">
        <f t="shared" si="9"/>
        <v>70</v>
      </c>
      <c r="I41" s="135">
        <f t="shared" si="9"/>
        <v>70</v>
      </c>
      <c r="J41" s="135">
        <f t="shared" si="9"/>
        <v>66</v>
      </c>
      <c r="K41" s="135">
        <f t="shared" si="9"/>
        <v>65</v>
      </c>
      <c r="L41" s="135">
        <f t="shared" si="9"/>
        <v>64</v>
      </c>
      <c r="M41" s="135">
        <f t="shared" si="9"/>
        <v>62</v>
      </c>
      <c r="N41" s="135">
        <f t="shared" si="9"/>
        <v>59</v>
      </c>
      <c r="O41" s="135">
        <f t="shared" si="9"/>
        <v>59</v>
      </c>
      <c r="P41" s="135">
        <f t="shared" si="9"/>
        <v>59</v>
      </c>
      <c r="Q41" s="135">
        <f t="shared" si="9"/>
        <v>47</v>
      </c>
      <c r="R41" s="135">
        <f t="shared" si="9"/>
        <v>45</v>
      </c>
      <c r="S41" s="135">
        <f t="shared" si="9"/>
        <v>42</v>
      </c>
      <c r="T41" s="135">
        <f t="shared" si="9"/>
        <v>37</v>
      </c>
      <c r="U41" s="135">
        <f t="shared" si="9"/>
        <v>30</v>
      </c>
      <c r="V41" s="135">
        <f t="shared" si="9"/>
        <v>30</v>
      </c>
      <c r="W41" s="135">
        <f t="shared" si="9"/>
        <v>30</v>
      </c>
      <c r="X41" s="135">
        <f t="shared" si="9"/>
        <v>22</v>
      </c>
      <c r="Y41" s="135">
        <f t="shared" si="9"/>
        <v>20</v>
      </c>
      <c r="Z41" s="135">
        <f t="shared" si="9"/>
        <v>18</v>
      </c>
      <c r="AA41" s="135">
        <f t="shared" si="9"/>
        <v>15</v>
      </c>
      <c r="AB41" s="135">
        <f t="shared" si="9"/>
        <v>14</v>
      </c>
      <c r="AC41" s="135">
        <f t="shared" si="9"/>
        <v>14</v>
      </c>
      <c r="AD41" s="135">
        <f t="shared" si="9"/>
        <v>14</v>
      </c>
      <c r="AE41" s="135">
        <f t="shared" si="9"/>
        <v>7</v>
      </c>
      <c r="AF41" s="135">
        <f t="shared" si="9"/>
        <v>5</v>
      </c>
      <c r="AG41" s="135">
        <f t="shared" si="9"/>
        <v>5</v>
      </c>
      <c r="AH41" s="135">
        <f t="shared" si="9"/>
        <v>5</v>
      </c>
      <c r="AI41" s="135">
        <f t="shared" si="9"/>
        <v>4</v>
      </c>
      <c r="AJ41" s="135">
        <f t="shared" si="9"/>
        <v>4</v>
      </c>
      <c r="AK41" s="135">
        <f t="shared" si="9"/>
        <v>4</v>
      </c>
      <c r="AL41" s="135">
        <f t="shared" si="9"/>
        <v>4</v>
      </c>
      <c r="AM41" s="135">
        <f t="shared" si="9"/>
        <v>2</v>
      </c>
      <c r="AN41" s="135">
        <f t="shared" si="9"/>
        <v>1</v>
      </c>
      <c r="AO41" s="135">
        <f t="shared" si="9"/>
        <v>1</v>
      </c>
      <c r="AP41" s="135">
        <f t="shared" si="9"/>
        <v>0</v>
      </c>
      <c r="AQ41" s="195"/>
    </row>
    <row r="42" spans="1:43" ht="30.75" thickBot="1" x14ac:dyDescent="0.3">
      <c r="A42" s="386"/>
      <c r="B42" s="190" t="s">
        <v>85</v>
      </c>
      <c r="C42" s="135">
        <v>0</v>
      </c>
      <c r="D42" s="135">
        <f t="shared" ref="D42:AP42" si="10">D40/C41%</f>
        <v>0</v>
      </c>
      <c r="E42" s="135">
        <f t="shared" si="10"/>
        <v>0</v>
      </c>
      <c r="F42" s="135">
        <f t="shared" si="10"/>
        <v>0</v>
      </c>
      <c r="G42" s="135">
        <f t="shared" si="10"/>
        <v>0</v>
      </c>
      <c r="H42" s="135">
        <f t="shared" si="10"/>
        <v>0</v>
      </c>
      <c r="I42" s="135">
        <f t="shared" si="10"/>
        <v>0</v>
      </c>
      <c r="J42" s="135">
        <f t="shared" si="10"/>
        <v>5.7142857142857144</v>
      </c>
      <c r="K42" s="135">
        <f t="shared" si="10"/>
        <v>1.5151515151515151</v>
      </c>
      <c r="L42" s="135">
        <f t="shared" si="10"/>
        <v>1.5384615384615383</v>
      </c>
      <c r="M42" s="135">
        <f t="shared" si="10"/>
        <v>3.125</v>
      </c>
      <c r="N42" s="135">
        <f t="shared" si="10"/>
        <v>4.838709677419355</v>
      </c>
      <c r="O42" s="135">
        <f t="shared" si="10"/>
        <v>0</v>
      </c>
      <c r="P42" s="135">
        <f t="shared" si="10"/>
        <v>0</v>
      </c>
      <c r="Q42" s="135">
        <f t="shared" si="10"/>
        <v>20.33898305084746</v>
      </c>
      <c r="R42" s="135">
        <f t="shared" si="10"/>
        <v>4.2553191489361701</v>
      </c>
      <c r="S42" s="135">
        <f t="shared" si="10"/>
        <v>6.6666666666666661</v>
      </c>
      <c r="T42" s="135">
        <f t="shared" si="10"/>
        <v>11.904761904761905</v>
      </c>
      <c r="U42" s="135">
        <f t="shared" si="10"/>
        <v>18.918918918918919</v>
      </c>
      <c r="V42" s="135">
        <f t="shared" si="10"/>
        <v>0</v>
      </c>
      <c r="W42" s="135">
        <f t="shared" si="10"/>
        <v>0</v>
      </c>
      <c r="X42" s="135">
        <f t="shared" si="10"/>
        <v>26.666666666666668</v>
      </c>
      <c r="Y42" s="135">
        <f t="shared" si="10"/>
        <v>9.0909090909090917</v>
      </c>
      <c r="Z42" s="135">
        <f t="shared" si="10"/>
        <v>10</v>
      </c>
      <c r="AA42" s="135">
        <f t="shared" si="10"/>
        <v>16.666666666666668</v>
      </c>
      <c r="AB42" s="135">
        <f t="shared" si="10"/>
        <v>6.666666666666667</v>
      </c>
      <c r="AC42" s="135">
        <f t="shared" si="10"/>
        <v>0</v>
      </c>
      <c r="AD42" s="135">
        <f t="shared" si="10"/>
        <v>0</v>
      </c>
      <c r="AE42" s="135">
        <f t="shared" si="10"/>
        <v>49.999999999999993</v>
      </c>
      <c r="AF42" s="135">
        <f t="shared" si="10"/>
        <v>28.571428571428569</v>
      </c>
      <c r="AG42" s="135">
        <f t="shared" si="10"/>
        <v>0</v>
      </c>
      <c r="AH42" s="135">
        <f t="shared" si="10"/>
        <v>0</v>
      </c>
      <c r="AI42" s="135">
        <f t="shared" si="10"/>
        <v>20</v>
      </c>
      <c r="AJ42" s="135">
        <f t="shared" si="10"/>
        <v>0</v>
      </c>
      <c r="AK42" s="135">
        <f t="shared" si="10"/>
        <v>0</v>
      </c>
      <c r="AL42" s="135">
        <f t="shared" si="10"/>
        <v>0</v>
      </c>
      <c r="AM42" s="135">
        <f t="shared" si="10"/>
        <v>50</v>
      </c>
      <c r="AN42" s="135">
        <f t="shared" si="10"/>
        <v>50</v>
      </c>
      <c r="AO42" s="135">
        <f t="shared" si="10"/>
        <v>0</v>
      </c>
      <c r="AP42" s="135">
        <f t="shared" si="10"/>
        <v>100</v>
      </c>
      <c r="AQ42" s="195"/>
    </row>
    <row r="43" spans="1:43" ht="30.75" thickBot="1" x14ac:dyDescent="0.3">
      <c r="A43" s="387"/>
      <c r="B43" s="196" t="s">
        <v>86</v>
      </c>
      <c r="C43" s="197">
        <f>C40/$C$41%</f>
        <v>0</v>
      </c>
      <c r="D43" s="197">
        <f t="shared" ref="D43:AP43" si="11">D40/$C$41%</f>
        <v>0</v>
      </c>
      <c r="E43" s="197">
        <f t="shared" si="11"/>
        <v>0</v>
      </c>
      <c r="F43" s="197">
        <f t="shared" si="11"/>
        <v>0</v>
      </c>
      <c r="G43" s="197">
        <f t="shared" si="11"/>
        <v>0</v>
      </c>
      <c r="H43" s="197">
        <f t="shared" si="11"/>
        <v>0</v>
      </c>
      <c r="I43" s="197">
        <f t="shared" si="11"/>
        <v>0</v>
      </c>
      <c r="J43" s="197">
        <f t="shared" si="11"/>
        <v>5.7142857142857144</v>
      </c>
      <c r="K43" s="197">
        <f t="shared" si="11"/>
        <v>1.4285714285714286</v>
      </c>
      <c r="L43" s="197">
        <f t="shared" si="11"/>
        <v>1.4285714285714286</v>
      </c>
      <c r="M43" s="197">
        <f t="shared" si="11"/>
        <v>2.8571428571428572</v>
      </c>
      <c r="N43" s="197">
        <f t="shared" si="11"/>
        <v>4.2857142857142856</v>
      </c>
      <c r="O43" s="197">
        <f t="shared" si="11"/>
        <v>0</v>
      </c>
      <c r="P43" s="197">
        <f t="shared" si="11"/>
        <v>0</v>
      </c>
      <c r="Q43" s="197">
        <f t="shared" si="11"/>
        <v>17.142857142857142</v>
      </c>
      <c r="R43" s="197">
        <f t="shared" si="11"/>
        <v>2.8571428571428572</v>
      </c>
      <c r="S43" s="197">
        <f t="shared" si="11"/>
        <v>4.2857142857142856</v>
      </c>
      <c r="T43" s="197">
        <f t="shared" si="11"/>
        <v>7.1428571428571432</v>
      </c>
      <c r="U43" s="197">
        <f t="shared" si="11"/>
        <v>10</v>
      </c>
      <c r="V43" s="197">
        <f t="shared" si="11"/>
        <v>0</v>
      </c>
      <c r="W43" s="197">
        <f t="shared" si="11"/>
        <v>0</v>
      </c>
      <c r="X43" s="197">
        <f t="shared" si="11"/>
        <v>11.428571428571429</v>
      </c>
      <c r="Y43" s="197">
        <f t="shared" si="11"/>
        <v>2.8571428571428572</v>
      </c>
      <c r="Z43" s="197">
        <f t="shared" si="11"/>
        <v>2.8571428571428572</v>
      </c>
      <c r="AA43" s="197">
        <f t="shared" si="11"/>
        <v>4.2857142857142856</v>
      </c>
      <c r="AB43" s="197">
        <f t="shared" si="11"/>
        <v>1.4285714285714286</v>
      </c>
      <c r="AC43" s="197">
        <f t="shared" si="11"/>
        <v>0</v>
      </c>
      <c r="AD43" s="197">
        <f t="shared" si="11"/>
        <v>0</v>
      </c>
      <c r="AE43" s="197">
        <f t="shared" si="11"/>
        <v>10</v>
      </c>
      <c r="AF43" s="197">
        <f t="shared" si="11"/>
        <v>2.8571428571428572</v>
      </c>
      <c r="AG43" s="197">
        <f t="shared" si="11"/>
        <v>0</v>
      </c>
      <c r="AH43" s="197">
        <f t="shared" si="11"/>
        <v>0</v>
      </c>
      <c r="AI43" s="197">
        <f t="shared" si="11"/>
        <v>1.4285714285714286</v>
      </c>
      <c r="AJ43" s="197">
        <f t="shared" si="11"/>
        <v>0</v>
      </c>
      <c r="AK43" s="197">
        <f t="shared" si="11"/>
        <v>0</v>
      </c>
      <c r="AL43" s="197">
        <f t="shared" si="11"/>
        <v>0</v>
      </c>
      <c r="AM43" s="197">
        <f t="shared" si="11"/>
        <v>2.8571428571428572</v>
      </c>
      <c r="AN43" s="197">
        <f t="shared" si="11"/>
        <v>1.4285714285714286</v>
      </c>
      <c r="AO43" s="197">
        <f t="shared" si="11"/>
        <v>0</v>
      </c>
      <c r="AP43" s="197">
        <f t="shared" si="11"/>
        <v>1.4285714285714286</v>
      </c>
      <c r="AQ43" s="195">
        <f>SUM(C43:AP43)</f>
        <v>100.00000000000003</v>
      </c>
    </row>
    <row r="44" spans="1:43" ht="15.75" thickBot="1" x14ac:dyDescent="0.3">
      <c r="A44" s="385" t="s">
        <v>6</v>
      </c>
      <c r="B44" s="193" t="s">
        <v>82</v>
      </c>
      <c r="C44" s="199">
        <f>COUNT(C$57:C$73)</f>
        <v>0</v>
      </c>
      <c r="D44" s="199">
        <f t="shared" ref="D44:AF44" si="12">COUNT(D$57:D$73)</f>
        <v>0</v>
      </c>
      <c r="E44" s="199">
        <f t="shared" si="12"/>
        <v>0</v>
      </c>
      <c r="F44" s="199">
        <f t="shared" si="12"/>
        <v>0</v>
      </c>
      <c r="G44" s="199">
        <f t="shared" si="12"/>
        <v>1</v>
      </c>
      <c r="H44" s="199">
        <f t="shared" si="12"/>
        <v>0</v>
      </c>
      <c r="I44" s="199">
        <f t="shared" si="12"/>
        <v>0</v>
      </c>
      <c r="J44" s="199">
        <f t="shared" si="12"/>
        <v>17</v>
      </c>
      <c r="K44" s="199">
        <f t="shared" si="12"/>
        <v>1</v>
      </c>
      <c r="L44" s="199">
        <f t="shared" si="12"/>
        <v>0</v>
      </c>
      <c r="M44" s="199">
        <f t="shared" si="12"/>
        <v>0</v>
      </c>
      <c r="N44" s="199">
        <f t="shared" si="12"/>
        <v>0</v>
      </c>
      <c r="O44" s="199">
        <f t="shared" si="12"/>
        <v>0</v>
      </c>
      <c r="P44" s="199">
        <f t="shared" si="12"/>
        <v>0</v>
      </c>
      <c r="Q44" s="199">
        <f t="shared" si="12"/>
        <v>3</v>
      </c>
      <c r="R44" s="199">
        <f t="shared" si="12"/>
        <v>3</v>
      </c>
      <c r="S44" s="199">
        <f t="shared" si="12"/>
        <v>1</v>
      </c>
      <c r="T44" s="199">
        <f t="shared" si="12"/>
        <v>3</v>
      </c>
      <c r="U44" s="199">
        <f t="shared" si="12"/>
        <v>2</v>
      </c>
      <c r="V44" s="199">
        <f t="shared" si="12"/>
        <v>0</v>
      </c>
      <c r="W44" s="199">
        <f t="shared" si="12"/>
        <v>0</v>
      </c>
      <c r="X44" s="199">
        <f t="shared" si="12"/>
        <v>3</v>
      </c>
      <c r="Y44" s="199">
        <f t="shared" si="12"/>
        <v>1</v>
      </c>
      <c r="Z44" s="199">
        <f t="shared" si="12"/>
        <v>1</v>
      </c>
      <c r="AA44" s="199">
        <f t="shared" si="12"/>
        <v>0</v>
      </c>
      <c r="AB44" s="199">
        <f t="shared" si="12"/>
        <v>1</v>
      </c>
      <c r="AC44" s="199">
        <f t="shared" si="12"/>
        <v>0</v>
      </c>
      <c r="AD44" s="199">
        <f t="shared" si="12"/>
        <v>0</v>
      </c>
      <c r="AE44" s="199">
        <f t="shared" si="12"/>
        <v>2</v>
      </c>
      <c r="AF44" s="223">
        <f t="shared" si="12"/>
        <v>1</v>
      </c>
      <c r="AG44" s="220"/>
      <c r="AH44" s="199"/>
      <c r="AI44" s="199"/>
      <c r="AJ44" s="199"/>
      <c r="AK44" s="199"/>
      <c r="AL44" s="199"/>
      <c r="AM44" s="199"/>
      <c r="AN44" s="199"/>
      <c r="AO44" s="199"/>
      <c r="AP44" s="199"/>
      <c r="AQ44" s="195">
        <f>SUM(C44:AP44)</f>
        <v>40</v>
      </c>
    </row>
    <row r="45" spans="1:43" ht="15.75" thickBot="1" x14ac:dyDescent="0.3">
      <c r="A45" s="386"/>
      <c r="B45" s="188" t="s">
        <v>83</v>
      </c>
      <c r="C45" s="135">
        <f>COUNT(C57:AP73)</f>
        <v>40</v>
      </c>
      <c r="D45" s="135">
        <f>C45-D44</f>
        <v>40</v>
      </c>
      <c r="E45" s="135">
        <f t="shared" ref="E45:AF45" si="13">D45-E44</f>
        <v>40</v>
      </c>
      <c r="F45" s="135">
        <f t="shared" si="13"/>
        <v>40</v>
      </c>
      <c r="G45" s="135">
        <f t="shared" si="13"/>
        <v>39</v>
      </c>
      <c r="H45" s="135">
        <f t="shared" si="13"/>
        <v>39</v>
      </c>
      <c r="I45" s="135">
        <f t="shared" si="13"/>
        <v>39</v>
      </c>
      <c r="J45" s="135">
        <f t="shared" si="13"/>
        <v>22</v>
      </c>
      <c r="K45" s="135">
        <f t="shared" si="13"/>
        <v>21</v>
      </c>
      <c r="L45" s="135">
        <f t="shared" si="13"/>
        <v>21</v>
      </c>
      <c r="M45" s="135">
        <f t="shared" si="13"/>
        <v>21</v>
      </c>
      <c r="N45" s="135">
        <f t="shared" si="13"/>
        <v>21</v>
      </c>
      <c r="O45" s="135">
        <f t="shared" si="13"/>
        <v>21</v>
      </c>
      <c r="P45" s="135">
        <f t="shared" si="13"/>
        <v>21</v>
      </c>
      <c r="Q45" s="135">
        <f t="shared" si="13"/>
        <v>18</v>
      </c>
      <c r="R45" s="135">
        <f t="shared" si="13"/>
        <v>15</v>
      </c>
      <c r="S45" s="135">
        <f t="shared" si="13"/>
        <v>14</v>
      </c>
      <c r="T45" s="135">
        <f t="shared" si="13"/>
        <v>11</v>
      </c>
      <c r="U45" s="135">
        <f t="shared" si="13"/>
        <v>9</v>
      </c>
      <c r="V45" s="135">
        <f t="shared" si="13"/>
        <v>9</v>
      </c>
      <c r="W45" s="135">
        <f t="shared" si="13"/>
        <v>9</v>
      </c>
      <c r="X45" s="135">
        <f t="shared" si="13"/>
        <v>6</v>
      </c>
      <c r="Y45" s="135">
        <f t="shared" si="13"/>
        <v>5</v>
      </c>
      <c r="Z45" s="135">
        <f t="shared" si="13"/>
        <v>4</v>
      </c>
      <c r="AA45" s="135">
        <f t="shared" si="13"/>
        <v>4</v>
      </c>
      <c r="AB45" s="135">
        <f t="shared" si="13"/>
        <v>3</v>
      </c>
      <c r="AC45" s="135">
        <f t="shared" si="13"/>
        <v>3</v>
      </c>
      <c r="AD45" s="135">
        <f t="shared" si="13"/>
        <v>3</v>
      </c>
      <c r="AE45" s="135">
        <f t="shared" si="13"/>
        <v>1</v>
      </c>
      <c r="AF45" s="224">
        <f t="shared" si="13"/>
        <v>0</v>
      </c>
      <c r="AG45" s="221"/>
      <c r="AH45" s="135"/>
      <c r="AI45" s="135"/>
      <c r="AJ45" s="135"/>
      <c r="AK45" s="135"/>
      <c r="AL45" s="135"/>
      <c r="AM45" s="135"/>
      <c r="AN45" s="135"/>
      <c r="AO45" s="135"/>
      <c r="AP45" s="135"/>
      <c r="AQ45" s="195"/>
    </row>
    <row r="46" spans="1:43" ht="30.75" thickBot="1" x14ac:dyDescent="0.3">
      <c r="A46" s="386"/>
      <c r="B46" s="190" t="s">
        <v>85</v>
      </c>
      <c r="C46" s="135">
        <v>0</v>
      </c>
      <c r="D46" s="135">
        <f>D44/C45%</f>
        <v>0</v>
      </c>
      <c r="E46" s="135">
        <f t="shared" ref="E46:AF46" si="14">E44/D45%</f>
        <v>0</v>
      </c>
      <c r="F46" s="135">
        <f t="shared" si="14"/>
        <v>0</v>
      </c>
      <c r="G46" s="135">
        <f t="shared" si="14"/>
        <v>2.5</v>
      </c>
      <c r="H46" s="135">
        <f t="shared" si="14"/>
        <v>0</v>
      </c>
      <c r="I46" s="135">
        <f t="shared" si="14"/>
        <v>0</v>
      </c>
      <c r="J46" s="135">
        <f t="shared" si="14"/>
        <v>43.589743589743591</v>
      </c>
      <c r="K46" s="135">
        <f t="shared" si="14"/>
        <v>4.5454545454545459</v>
      </c>
      <c r="L46" s="135">
        <f t="shared" si="14"/>
        <v>0</v>
      </c>
      <c r="M46" s="135">
        <f t="shared" si="14"/>
        <v>0</v>
      </c>
      <c r="N46" s="135">
        <f t="shared" si="14"/>
        <v>0</v>
      </c>
      <c r="O46" s="135">
        <f t="shared" si="14"/>
        <v>0</v>
      </c>
      <c r="P46" s="135">
        <f t="shared" si="14"/>
        <v>0</v>
      </c>
      <c r="Q46" s="135">
        <f t="shared" si="14"/>
        <v>14.285714285714286</v>
      </c>
      <c r="R46" s="135">
        <f t="shared" si="14"/>
        <v>16.666666666666668</v>
      </c>
      <c r="S46" s="135">
        <f t="shared" si="14"/>
        <v>6.666666666666667</v>
      </c>
      <c r="T46" s="135">
        <f t="shared" si="14"/>
        <v>21.428571428571427</v>
      </c>
      <c r="U46" s="135">
        <f t="shared" si="14"/>
        <v>18.181818181818183</v>
      </c>
      <c r="V46" s="135">
        <f t="shared" si="14"/>
        <v>0</v>
      </c>
      <c r="W46" s="135">
        <f t="shared" si="14"/>
        <v>0</v>
      </c>
      <c r="X46" s="135">
        <f t="shared" si="14"/>
        <v>33.333333333333336</v>
      </c>
      <c r="Y46" s="135">
        <f t="shared" si="14"/>
        <v>16.666666666666668</v>
      </c>
      <c r="Z46" s="135">
        <f t="shared" si="14"/>
        <v>20</v>
      </c>
      <c r="AA46" s="135">
        <f t="shared" si="14"/>
        <v>0</v>
      </c>
      <c r="AB46" s="135">
        <f t="shared" si="14"/>
        <v>25</v>
      </c>
      <c r="AC46" s="135">
        <f t="shared" si="14"/>
        <v>0</v>
      </c>
      <c r="AD46" s="135">
        <f t="shared" si="14"/>
        <v>0</v>
      </c>
      <c r="AE46" s="135">
        <f t="shared" si="14"/>
        <v>66.666666666666671</v>
      </c>
      <c r="AF46" s="224">
        <f t="shared" si="14"/>
        <v>100</v>
      </c>
      <c r="AG46" s="221"/>
      <c r="AH46" s="135"/>
      <c r="AI46" s="135"/>
      <c r="AJ46" s="135"/>
      <c r="AK46" s="135"/>
      <c r="AL46" s="135"/>
      <c r="AM46" s="135"/>
      <c r="AN46" s="135"/>
      <c r="AO46" s="135"/>
      <c r="AP46" s="135"/>
      <c r="AQ46" s="195"/>
    </row>
    <row r="47" spans="1:43" ht="30.75" thickBot="1" x14ac:dyDescent="0.3">
      <c r="A47" s="387"/>
      <c r="B47" s="196" t="s">
        <v>86</v>
      </c>
      <c r="C47" s="197">
        <f>C44/$C$45%</f>
        <v>0</v>
      </c>
      <c r="D47" s="197">
        <f t="shared" ref="D47:AF47" si="15">D44/$C$45%</f>
        <v>0</v>
      </c>
      <c r="E47" s="197">
        <f t="shared" si="15"/>
        <v>0</v>
      </c>
      <c r="F47" s="197">
        <f t="shared" si="15"/>
        <v>0</v>
      </c>
      <c r="G47" s="197">
        <f t="shared" si="15"/>
        <v>2.5</v>
      </c>
      <c r="H47" s="197">
        <f t="shared" si="15"/>
        <v>0</v>
      </c>
      <c r="I47" s="197">
        <f t="shared" si="15"/>
        <v>0</v>
      </c>
      <c r="J47" s="197">
        <f t="shared" si="15"/>
        <v>42.5</v>
      </c>
      <c r="K47" s="197">
        <f t="shared" si="15"/>
        <v>2.5</v>
      </c>
      <c r="L47" s="197">
        <f t="shared" si="15"/>
        <v>0</v>
      </c>
      <c r="M47" s="197">
        <f t="shared" si="15"/>
        <v>0</v>
      </c>
      <c r="N47" s="197">
        <f t="shared" si="15"/>
        <v>0</v>
      </c>
      <c r="O47" s="197">
        <f t="shared" si="15"/>
        <v>0</v>
      </c>
      <c r="P47" s="197">
        <f t="shared" si="15"/>
        <v>0</v>
      </c>
      <c r="Q47" s="197">
        <f t="shared" si="15"/>
        <v>7.5</v>
      </c>
      <c r="R47" s="197">
        <f t="shared" si="15"/>
        <v>7.5</v>
      </c>
      <c r="S47" s="197">
        <f t="shared" si="15"/>
        <v>2.5</v>
      </c>
      <c r="T47" s="197">
        <f t="shared" si="15"/>
        <v>7.5</v>
      </c>
      <c r="U47" s="197">
        <f t="shared" si="15"/>
        <v>5</v>
      </c>
      <c r="V47" s="197">
        <f t="shared" si="15"/>
        <v>0</v>
      </c>
      <c r="W47" s="197">
        <f t="shared" si="15"/>
        <v>0</v>
      </c>
      <c r="X47" s="197">
        <f t="shared" si="15"/>
        <v>7.5</v>
      </c>
      <c r="Y47" s="197">
        <f t="shared" si="15"/>
        <v>2.5</v>
      </c>
      <c r="Z47" s="197">
        <f t="shared" si="15"/>
        <v>2.5</v>
      </c>
      <c r="AA47" s="197">
        <f t="shared" si="15"/>
        <v>0</v>
      </c>
      <c r="AB47" s="197">
        <f t="shared" si="15"/>
        <v>2.5</v>
      </c>
      <c r="AC47" s="197">
        <f t="shared" si="15"/>
        <v>0</v>
      </c>
      <c r="AD47" s="197">
        <f t="shared" si="15"/>
        <v>0</v>
      </c>
      <c r="AE47" s="197">
        <f t="shared" si="15"/>
        <v>5</v>
      </c>
      <c r="AF47" s="225">
        <f t="shared" si="15"/>
        <v>2.5</v>
      </c>
      <c r="AG47" s="222"/>
      <c r="AH47" s="197"/>
      <c r="AI47" s="197"/>
      <c r="AJ47" s="197"/>
      <c r="AK47" s="197"/>
      <c r="AL47" s="197"/>
      <c r="AM47" s="197"/>
      <c r="AN47" s="197"/>
      <c r="AO47" s="197"/>
      <c r="AP47" s="197"/>
      <c r="AQ47" s="195">
        <f>SUM(C47:AP47)</f>
        <v>100</v>
      </c>
    </row>
    <row r="48" spans="1:43" ht="15.75" thickBot="1" x14ac:dyDescent="0.3">
      <c r="A48" s="385" t="s">
        <v>87</v>
      </c>
      <c r="B48" s="193" t="s">
        <v>82</v>
      </c>
      <c r="C48" s="194">
        <f t="shared" ref="C48:AP48" si="16">COUNT(C6:C27)</f>
        <v>0</v>
      </c>
      <c r="D48" s="194">
        <f t="shared" si="16"/>
        <v>4</v>
      </c>
      <c r="E48" s="194">
        <f t="shared" si="16"/>
        <v>3</v>
      </c>
      <c r="F48" s="194">
        <f t="shared" si="16"/>
        <v>4</v>
      </c>
      <c r="G48" s="194">
        <f t="shared" si="16"/>
        <v>1</v>
      </c>
      <c r="H48" s="194">
        <f t="shared" si="16"/>
        <v>0</v>
      </c>
      <c r="I48" s="194">
        <f t="shared" si="16"/>
        <v>0</v>
      </c>
      <c r="J48" s="194">
        <f t="shared" si="16"/>
        <v>9</v>
      </c>
      <c r="K48" s="194">
        <f t="shared" si="16"/>
        <v>1</v>
      </c>
      <c r="L48" s="194">
        <f t="shared" si="16"/>
        <v>2</v>
      </c>
      <c r="M48" s="194">
        <f t="shared" si="16"/>
        <v>2</v>
      </c>
      <c r="N48" s="194">
        <f t="shared" si="16"/>
        <v>3</v>
      </c>
      <c r="O48" s="194">
        <f t="shared" si="16"/>
        <v>0</v>
      </c>
      <c r="P48" s="194">
        <f t="shared" si="16"/>
        <v>0</v>
      </c>
      <c r="Q48" s="194">
        <f t="shared" si="16"/>
        <v>13</v>
      </c>
      <c r="R48" s="194">
        <f t="shared" si="16"/>
        <v>3</v>
      </c>
      <c r="S48" s="194">
        <f t="shared" si="16"/>
        <v>3</v>
      </c>
      <c r="T48" s="194">
        <f t="shared" si="16"/>
        <v>6</v>
      </c>
      <c r="U48" s="194">
        <f t="shared" si="16"/>
        <v>9</v>
      </c>
      <c r="V48" s="194">
        <f t="shared" si="16"/>
        <v>0</v>
      </c>
      <c r="W48" s="194">
        <f t="shared" si="16"/>
        <v>0</v>
      </c>
      <c r="X48" s="194">
        <f t="shared" si="16"/>
        <v>11</v>
      </c>
      <c r="Y48" s="194">
        <f t="shared" si="16"/>
        <v>2</v>
      </c>
      <c r="Z48" s="194">
        <f t="shared" si="16"/>
        <v>2</v>
      </c>
      <c r="AA48" s="194">
        <f t="shared" si="16"/>
        <v>3</v>
      </c>
      <c r="AB48" s="194">
        <f t="shared" si="16"/>
        <v>1</v>
      </c>
      <c r="AC48" s="194">
        <f t="shared" si="16"/>
        <v>0</v>
      </c>
      <c r="AD48" s="194">
        <f t="shared" si="16"/>
        <v>0</v>
      </c>
      <c r="AE48" s="194">
        <f t="shared" si="16"/>
        <v>8</v>
      </c>
      <c r="AF48" s="194">
        <f t="shared" si="16"/>
        <v>3</v>
      </c>
      <c r="AG48" s="194">
        <f t="shared" si="16"/>
        <v>0</v>
      </c>
      <c r="AH48" s="194">
        <f t="shared" si="16"/>
        <v>0</v>
      </c>
      <c r="AI48" s="194">
        <f t="shared" si="16"/>
        <v>1</v>
      </c>
      <c r="AJ48" s="194">
        <f t="shared" si="16"/>
        <v>0</v>
      </c>
      <c r="AK48" s="194">
        <f t="shared" si="16"/>
        <v>0</v>
      </c>
      <c r="AL48" s="194">
        <f t="shared" si="16"/>
        <v>0</v>
      </c>
      <c r="AM48" s="194">
        <f t="shared" si="16"/>
        <v>2</v>
      </c>
      <c r="AN48" s="194">
        <f t="shared" si="16"/>
        <v>1</v>
      </c>
      <c r="AO48" s="194">
        <f t="shared" si="16"/>
        <v>1</v>
      </c>
      <c r="AP48" s="194">
        <f t="shared" si="16"/>
        <v>2</v>
      </c>
      <c r="AQ48" s="195">
        <f>SUM(C48:AP48)</f>
        <v>100</v>
      </c>
    </row>
    <row r="49" spans="1:91" ht="15.75" thickBot="1" x14ac:dyDescent="0.3">
      <c r="A49" s="386"/>
      <c r="B49" s="188" t="s">
        <v>83</v>
      </c>
      <c r="C49" s="135">
        <v>100</v>
      </c>
      <c r="D49" s="135">
        <f>C49-D48</f>
        <v>96</v>
      </c>
      <c r="E49" s="135">
        <f t="shared" ref="E49:AP49" si="17">D49-E48</f>
        <v>93</v>
      </c>
      <c r="F49" s="135">
        <f t="shared" si="17"/>
        <v>89</v>
      </c>
      <c r="G49" s="135">
        <f t="shared" si="17"/>
        <v>88</v>
      </c>
      <c r="H49" s="135">
        <f t="shared" si="17"/>
        <v>88</v>
      </c>
      <c r="I49" s="135">
        <f t="shared" si="17"/>
        <v>88</v>
      </c>
      <c r="J49" s="135">
        <f t="shared" si="17"/>
        <v>79</v>
      </c>
      <c r="K49" s="135">
        <f t="shared" si="17"/>
        <v>78</v>
      </c>
      <c r="L49" s="135">
        <f t="shared" si="17"/>
        <v>76</v>
      </c>
      <c r="M49" s="135">
        <f t="shared" si="17"/>
        <v>74</v>
      </c>
      <c r="N49" s="135">
        <f t="shared" si="17"/>
        <v>71</v>
      </c>
      <c r="O49" s="135">
        <f t="shared" si="17"/>
        <v>71</v>
      </c>
      <c r="P49" s="135">
        <f t="shared" si="17"/>
        <v>71</v>
      </c>
      <c r="Q49" s="135">
        <f t="shared" si="17"/>
        <v>58</v>
      </c>
      <c r="R49" s="135">
        <f t="shared" si="17"/>
        <v>55</v>
      </c>
      <c r="S49" s="135">
        <f t="shared" si="17"/>
        <v>52</v>
      </c>
      <c r="T49" s="135">
        <f t="shared" si="17"/>
        <v>46</v>
      </c>
      <c r="U49" s="135">
        <f t="shared" si="17"/>
        <v>37</v>
      </c>
      <c r="V49" s="135">
        <f t="shared" si="17"/>
        <v>37</v>
      </c>
      <c r="W49" s="135">
        <f t="shared" si="17"/>
        <v>37</v>
      </c>
      <c r="X49" s="135">
        <f t="shared" si="17"/>
        <v>26</v>
      </c>
      <c r="Y49" s="135">
        <f t="shared" si="17"/>
        <v>24</v>
      </c>
      <c r="Z49" s="135">
        <f t="shared" si="17"/>
        <v>22</v>
      </c>
      <c r="AA49" s="135">
        <f t="shared" si="17"/>
        <v>19</v>
      </c>
      <c r="AB49" s="135">
        <f t="shared" si="17"/>
        <v>18</v>
      </c>
      <c r="AC49" s="135">
        <f t="shared" si="17"/>
        <v>18</v>
      </c>
      <c r="AD49" s="135">
        <f t="shared" si="17"/>
        <v>18</v>
      </c>
      <c r="AE49" s="135">
        <f t="shared" si="17"/>
        <v>10</v>
      </c>
      <c r="AF49" s="135">
        <f t="shared" si="17"/>
        <v>7</v>
      </c>
      <c r="AG49" s="135">
        <f t="shared" si="17"/>
        <v>7</v>
      </c>
      <c r="AH49" s="135">
        <f t="shared" si="17"/>
        <v>7</v>
      </c>
      <c r="AI49" s="135">
        <f t="shared" si="17"/>
        <v>6</v>
      </c>
      <c r="AJ49" s="135">
        <f t="shared" si="17"/>
        <v>6</v>
      </c>
      <c r="AK49" s="135">
        <f t="shared" si="17"/>
        <v>6</v>
      </c>
      <c r="AL49" s="135">
        <f t="shared" si="17"/>
        <v>6</v>
      </c>
      <c r="AM49" s="135">
        <f t="shared" si="17"/>
        <v>4</v>
      </c>
      <c r="AN49" s="135">
        <f t="shared" si="17"/>
        <v>3</v>
      </c>
      <c r="AO49" s="135">
        <f t="shared" si="17"/>
        <v>2</v>
      </c>
      <c r="AP49" s="135">
        <f t="shared" si="17"/>
        <v>0</v>
      </c>
      <c r="AQ49" s="195"/>
    </row>
    <row r="50" spans="1:91" ht="30.75" thickBot="1" x14ac:dyDescent="0.3">
      <c r="A50" s="386"/>
      <c r="B50" s="190" t="s">
        <v>85</v>
      </c>
      <c r="C50" s="135">
        <v>0</v>
      </c>
      <c r="D50" s="135">
        <f>D48/C49%</f>
        <v>4</v>
      </c>
      <c r="E50" s="135">
        <f t="shared" ref="E50:AP50" si="18">E48/D49%</f>
        <v>3.125</v>
      </c>
      <c r="F50" s="135">
        <f t="shared" si="18"/>
        <v>4.301075268817204</v>
      </c>
      <c r="G50" s="135">
        <f t="shared" si="18"/>
        <v>1.1235955056179776</v>
      </c>
      <c r="H50" s="135">
        <f t="shared" si="18"/>
        <v>0</v>
      </c>
      <c r="I50" s="135">
        <f t="shared" si="18"/>
        <v>0</v>
      </c>
      <c r="J50" s="135">
        <f>J48/I49%</f>
        <v>10.227272727272727</v>
      </c>
      <c r="K50" s="135">
        <f t="shared" si="18"/>
        <v>1.2658227848101264</v>
      </c>
      <c r="L50" s="135">
        <f t="shared" si="18"/>
        <v>2.5641025641025639</v>
      </c>
      <c r="M50" s="135">
        <f t="shared" si="18"/>
        <v>2.6315789473684212</v>
      </c>
      <c r="N50" s="135">
        <f t="shared" si="18"/>
        <v>4.0540540540540544</v>
      </c>
      <c r="O50" s="135">
        <f t="shared" si="18"/>
        <v>0</v>
      </c>
      <c r="P50" s="135">
        <f t="shared" si="18"/>
        <v>0</v>
      </c>
      <c r="Q50" s="135">
        <f t="shared" si="18"/>
        <v>18.30985915492958</v>
      </c>
      <c r="R50" s="135">
        <f t="shared" si="18"/>
        <v>5.1724137931034484</v>
      </c>
      <c r="S50" s="135">
        <f t="shared" si="18"/>
        <v>5.4545454545454541</v>
      </c>
      <c r="T50" s="135">
        <f t="shared" si="18"/>
        <v>11.538461538461538</v>
      </c>
      <c r="U50" s="135">
        <f t="shared" si="18"/>
        <v>19.565217391304348</v>
      </c>
      <c r="V50" s="135">
        <f t="shared" si="18"/>
        <v>0</v>
      </c>
      <c r="W50" s="135">
        <f t="shared" si="18"/>
        <v>0</v>
      </c>
      <c r="X50" s="135">
        <f t="shared" si="18"/>
        <v>29.72972972972973</v>
      </c>
      <c r="Y50" s="135">
        <f t="shared" si="18"/>
        <v>7.6923076923076916</v>
      </c>
      <c r="Z50" s="135">
        <f t="shared" si="18"/>
        <v>8.3333333333333339</v>
      </c>
      <c r="AA50" s="135">
        <f t="shared" si="18"/>
        <v>13.636363636363637</v>
      </c>
      <c r="AB50" s="135">
        <f t="shared" si="18"/>
        <v>5.2631578947368425</v>
      </c>
      <c r="AC50" s="135">
        <f t="shared" si="18"/>
        <v>0</v>
      </c>
      <c r="AD50" s="135">
        <f t="shared" si="18"/>
        <v>0</v>
      </c>
      <c r="AE50" s="135">
        <f t="shared" si="18"/>
        <v>44.444444444444443</v>
      </c>
      <c r="AF50" s="135">
        <f t="shared" si="18"/>
        <v>30</v>
      </c>
      <c r="AG50" s="135">
        <f t="shared" si="18"/>
        <v>0</v>
      </c>
      <c r="AH50" s="135">
        <f t="shared" si="18"/>
        <v>0</v>
      </c>
      <c r="AI50" s="135">
        <f t="shared" si="18"/>
        <v>14.285714285714285</v>
      </c>
      <c r="AJ50" s="135">
        <f t="shared" si="18"/>
        <v>0</v>
      </c>
      <c r="AK50" s="135">
        <f t="shared" si="18"/>
        <v>0</v>
      </c>
      <c r="AL50" s="135">
        <f t="shared" si="18"/>
        <v>0</v>
      </c>
      <c r="AM50" s="135">
        <f t="shared" si="18"/>
        <v>33.333333333333336</v>
      </c>
      <c r="AN50" s="135">
        <f t="shared" si="18"/>
        <v>25</v>
      </c>
      <c r="AO50" s="135">
        <f t="shared" si="18"/>
        <v>33.333333333333336</v>
      </c>
      <c r="AP50" s="135">
        <f t="shared" si="18"/>
        <v>100</v>
      </c>
      <c r="AQ50" s="195"/>
    </row>
    <row r="51" spans="1:91" ht="30.75" thickBot="1" x14ac:dyDescent="0.3">
      <c r="A51" s="387"/>
      <c r="B51" s="196" t="s">
        <v>86</v>
      </c>
      <c r="C51" s="197">
        <f>C48/$C$49%</f>
        <v>0</v>
      </c>
      <c r="D51" s="197">
        <f t="shared" ref="D51:AP51" si="19">D48/$C$49%</f>
        <v>4</v>
      </c>
      <c r="E51" s="197">
        <f t="shared" si="19"/>
        <v>3</v>
      </c>
      <c r="F51" s="197">
        <f t="shared" si="19"/>
        <v>4</v>
      </c>
      <c r="G51" s="197">
        <f t="shared" si="19"/>
        <v>1</v>
      </c>
      <c r="H51" s="197">
        <f t="shared" si="19"/>
        <v>0</v>
      </c>
      <c r="I51" s="197">
        <f t="shared" si="19"/>
        <v>0</v>
      </c>
      <c r="J51" s="197">
        <f t="shared" si="19"/>
        <v>9</v>
      </c>
      <c r="K51" s="197">
        <f t="shared" si="19"/>
        <v>1</v>
      </c>
      <c r="L51" s="197">
        <f t="shared" si="19"/>
        <v>2</v>
      </c>
      <c r="M51" s="197">
        <f t="shared" si="19"/>
        <v>2</v>
      </c>
      <c r="N51" s="197">
        <f t="shared" si="19"/>
        <v>3</v>
      </c>
      <c r="O51" s="197">
        <f t="shared" si="19"/>
        <v>0</v>
      </c>
      <c r="P51" s="197">
        <f t="shared" si="19"/>
        <v>0</v>
      </c>
      <c r="Q51" s="197">
        <f t="shared" si="19"/>
        <v>13</v>
      </c>
      <c r="R51" s="197">
        <f t="shared" si="19"/>
        <v>3</v>
      </c>
      <c r="S51" s="197">
        <f t="shared" si="19"/>
        <v>3</v>
      </c>
      <c r="T51" s="197">
        <f t="shared" si="19"/>
        <v>6</v>
      </c>
      <c r="U51" s="197">
        <f t="shared" si="19"/>
        <v>9</v>
      </c>
      <c r="V51" s="197">
        <f t="shared" si="19"/>
        <v>0</v>
      </c>
      <c r="W51" s="197">
        <f t="shared" si="19"/>
        <v>0</v>
      </c>
      <c r="X51" s="197">
        <f t="shared" si="19"/>
        <v>11</v>
      </c>
      <c r="Y51" s="197">
        <f t="shared" si="19"/>
        <v>2</v>
      </c>
      <c r="Z51" s="197">
        <f t="shared" si="19"/>
        <v>2</v>
      </c>
      <c r="AA51" s="197">
        <f t="shared" si="19"/>
        <v>3</v>
      </c>
      <c r="AB51" s="197">
        <f t="shared" si="19"/>
        <v>1</v>
      </c>
      <c r="AC51" s="197">
        <f t="shared" si="19"/>
        <v>0</v>
      </c>
      <c r="AD51" s="197">
        <f t="shared" si="19"/>
        <v>0</v>
      </c>
      <c r="AE51" s="197">
        <f t="shared" si="19"/>
        <v>8</v>
      </c>
      <c r="AF51" s="197">
        <f t="shared" si="19"/>
        <v>3</v>
      </c>
      <c r="AG51" s="197">
        <f t="shared" si="19"/>
        <v>0</v>
      </c>
      <c r="AH51" s="197">
        <f t="shared" si="19"/>
        <v>0</v>
      </c>
      <c r="AI51" s="197">
        <f t="shared" si="19"/>
        <v>1</v>
      </c>
      <c r="AJ51" s="197">
        <f t="shared" si="19"/>
        <v>0</v>
      </c>
      <c r="AK51" s="197">
        <f t="shared" si="19"/>
        <v>0</v>
      </c>
      <c r="AL51" s="197">
        <f t="shared" si="19"/>
        <v>0</v>
      </c>
      <c r="AM51" s="197">
        <f t="shared" si="19"/>
        <v>2</v>
      </c>
      <c r="AN51" s="197">
        <f t="shared" si="19"/>
        <v>1</v>
      </c>
      <c r="AO51" s="197">
        <f t="shared" si="19"/>
        <v>1</v>
      </c>
      <c r="AP51" s="197">
        <f t="shared" si="19"/>
        <v>2</v>
      </c>
      <c r="AQ51" s="195">
        <f>SUM(C51:AP51)</f>
        <v>100</v>
      </c>
    </row>
    <row r="52" spans="1:91" s="43" customFormat="1" ht="15.75" x14ac:dyDescent="0.25">
      <c r="A52"/>
      <c r="B52" s="187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53"/>
      <c r="AS52" s="53"/>
      <c r="AT52" s="53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ht="15.75" x14ac:dyDescent="0.25">
      <c r="B53" s="187"/>
      <c r="AR53" s="12"/>
      <c r="AS53" s="12"/>
      <c r="AT53" s="12"/>
    </row>
    <row r="54" spans="1:91" ht="15.75" x14ac:dyDescent="0.25">
      <c r="B54" s="187"/>
      <c r="AR54" s="10"/>
      <c r="AS54" s="10"/>
      <c r="AT54" s="10"/>
    </row>
    <row r="55" spans="1:91" ht="15.75" x14ac:dyDescent="0.25">
      <c r="B55" s="187"/>
      <c r="AR55" s="12"/>
      <c r="AS55" s="12"/>
      <c r="AT55" s="12"/>
    </row>
    <row r="56" spans="1:91" ht="16.5" thickBot="1" x14ac:dyDescent="0.3">
      <c r="B56" s="18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53"/>
      <c r="AR56" s="10"/>
      <c r="AS56" s="10"/>
      <c r="AT56" s="10"/>
    </row>
    <row r="57" spans="1:91" ht="16.5" thickTop="1" x14ac:dyDescent="0.25">
      <c r="A57" s="43"/>
      <c r="B57" s="388" t="s">
        <v>6</v>
      </c>
      <c r="C57" s="19"/>
      <c r="D57" s="19"/>
      <c r="E57" s="19"/>
      <c r="F57" s="19"/>
      <c r="G57" s="19">
        <v>18</v>
      </c>
      <c r="H57" s="19"/>
      <c r="I57" s="19"/>
      <c r="J57" s="19">
        <v>1</v>
      </c>
      <c r="K57" s="19">
        <v>26</v>
      </c>
      <c r="L57" s="19"/>
      <c r="M57" s="19"/>
      <c r="N57" s="19"/>
      <c r="O57" s="19"/>
      <c r="P57" s="19"/>
      <c r="Q57" s="19">
        <v>25</v>
      </c>
      <c r="R57" s="19">
        <v>29</v>
      </c>
      <c r="S57" s="19">
        <v>22</v>
      </c>
      <c r="T57" s="19">
        <v>31</v>
      </c>
      <c r="U57" s="19">
        <v>6</v>
      </c>
      <c r="V57" s="19"/>
      <c r="W57" s="19"/>
      <c r="X57" s="19">
        <v>24</v>
      </c>
      <c r="Y57" s="159">
        <v>30</v>
      </c>
      <c r="Z57" s="19">
        <v>14</v>
      </c>
      <c r="AA57" s="19"/>
      <c r="AB57" s="19">
        <v>16</v>
      </c>
      <c r="AC57" s="19"/>
      <c r="AD57" s="19"/>
      <c r="AE57" s="19">
        <v>20</v>
      </c>
      <c r="AF57" s="19">
        <v>8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2"/>
      <c r="AR57" s="12"/>
      <c r="AS57" s="12"/>
      <c r="AT57" s="12"/>
    </row>
    <row r="58" spans="1:91" ht="15.75" x14ac:dyDescent="0.25">
      <c r="B58" s="389"/>
      <c r="C58" s="15"/>
      <c r="D58" s="15"/>
      <c r="E58" s="15"/>
      <c r="F58" s="15"/>
      <c r="G58" s="15"/>
      <c r="H58" s="15"/>
      <c r="I58" s="15"/>
      <c r="J58" s="15">
        <v>2</v>
      </c>
      <c r="K58" s="15"/>
      <c r="L58" s="15"/>
      <c r="M58" s="15"/>
      <c r="N58" s="15"/>
      <c r="O58" s="15"/>
      <c r="P58" s="15"/>
      <c r="Q58" s="15">
        <v>34</v>
      </c>
      <c r="R58" s="15">
        <v>33</v>
      </c>
      <c r="S58" s="15"/>
      <c r="T58" s="15">
        <v>32</v>
      </c>
      <c r="U58" s="15">
        <v>27</v>
      </c>
      <c r="V58" s="15"/>
      <c r="W58" s="15"/>
      <c r="X58" s="15">
        <v>35</v>
      </c>
      <c r="Y58" s="15"/>
      <c r="Z58" s="15"/>
      <c r="AA58" s="15"/>
      <c r="AB58" s="15"/>
      <c r="AC58" s="15"/>
      <c r="AD58" s="15"/>
      <c r="AE58" s="15">
        <v>38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0"/>
      <c r="AR58" s="10"/>
      <c r="AS58" s="10"/>
      <c r="AT58" s="10"/>
    </row>
    <row r="59" spans="1:91" ht="15.75" x14ac:dyDescent="0.25">
      <c r="B59" s="389"/>
      <c r="C59" s="16"/>
      <c r="D59" s="16"/>
      <c r="E59" s="16"/>
      <c r="F59" s="16"/>
      <c r="G59" s="16"/>
      <c r="H59" s="16"/>
      <c r="I59" s="16"/>
      <c r="J59" s="16">
        <v>3</v>
      </c>
      <c r="K59" s="16"/>
      <c r="L59" s="16"/>
      <c r="M59" s="16"/>
      <c r="N59" s="16"/>
      <c r="O59" s="16"/>
      <c r="P59" s="16"/>
      <c r="Q59" s="16">
        <v>36</v>
      </c>
      <c r="R59" s="16">
        <v>39</v>
      </c>
      <c r="S59" s="16"/>
      <c r="T59" s="16">
        <v>40</v>
      </c>
      <c r="U59" s="16"/>
      <c r="V59" s="16"/>
      <c r="W59" s="16"/>
      <c r="X59" s="16">
        <v>37</v>
      </c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2"/>
      <c r="AR59" s="12"/>
      <c r="AS59" s="12"/>
      <c r="AT59" s="12"/>
    </row>
    <row r="60" spans="1:91" ht="15.75" x14ac:dyDescent="0.25">
      <c r="B60" s="389"/>
      <c r="C60" s="15"/>
      <c r="D60" s="15"/>
      <c r="E60" s="15"/>
      <c r="F60" s="15"/>
      <c r="G60" s="15"/>
      <c r="H60" s="15"/>
      <c r="I60" s="15"/>
      <c r="J60" s="15">
        <v>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0"/>
      <c r="AR60" s="10"/>
      <c r="AS60" s="10"/>
      <c r="AT60" s="10"/>
    </row>
    <row r="61" spans="1:91" ht="15.75" x14ac:dyDescent="0.25">
      <c r="B61" s="389"/>
      <c r="C61" s="16"/>
      <c r="D61" s="16"/>
      <c r="E61" s="16"/>
      <c r="F61" s="16"/>
      <c r="G61" s="16"/>
      <c r="H61" s="16"/>
      <c r="I61" s="16"/>
      <c r="J61" s="16">
        <v>5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2"/>
      <c r="AR61" s="12"/>
      <c r="AS61" s="12"/>
      <c r="AT61" s="12"/>
    </row>
    <row r="62" spans="1:91" ht="15.75" x14ac:dyDescent="0.25">
      <c r="B62" s="389"/>
      <c r="C62" s="15"/>
      <c r="D62" s="15"/>
      <c r="E62" s="15"/>
      <c r="F62" s="15"/>
      <c r="G62" s="15"/>
      <c r="H62" s="15"/>
      <c r="I62" s="15"/>
      <c r="J62" s="15">
        <v>7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0"/>
      <c r="AR62" s="10"/>
      <c r="AS62" s="10"/>
      <c r="AT62" s="10"/>
    </row>
    <row r="63" spans="1:91" ht="15.75" x14ac:dyDescent="0.25">
      <c r="B63" s="389"/>
      <c r="C63" s="16"/>
      <c r="D63" s="16"/>
      <c r="E63" s="16"/>
      <c r="F63" s="16"/>
      <c r="G63" s="16"/>
      <c r="H63" s="16"/>
      <c r="I63" s="16"/>
      <c r="J63" s="16">
        <v>9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2"/>
      <c r="AR63" s="12"/>
      <c r="AS63" s="12"/>
      <c r="AT63" s="12"/>
    </row>
    <row r="64" spans="1:91" ht="15.75" x14ac:dyDescent="0.25">
      <c r="B64" s="389"/>
      <c r="C64" s="15"/>
      <c r="D64" s="15"/>
      <c r="E64" s="15"/>
      <c r="F64" s="15"/>
      <c r="G64" s="15"/>
      <c r="H64" s="15"/>
      <c r="I64" s="15"/>
      <c r="J64" s="15">
        <v>10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0"/>
      <c r="AR64" s="10"/>
      <c r="AS64" s="10"/>
      <c r="AT64" s="10"/>
    </row>
    <row r="65" spans="1:70" ht="15.75" x14ac:dyDescent="0.25">
      <c r="B65" s="389"/>
      <c r="C65" s="16"/>
      <c r="D65" s="16"/>
      <c r="E65" s="16"/>
      <c r="F65" s="16"/>
      <c r="G65" s="16"/>
      <c r="H65" s="16"/>
      <c r="I65" s="16"/>
      <c r="J65" s="16">
        <v>11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2"/>
      <c r="AR65" s="12"/>
      <c r="AS65" s="12"/>
      <c r="AT65" s="12"/>
    </row>
    <row r="66" spans="1:70" ht="15.75" x14ac:dyDescent="0.25">
      <c r="B66" s="389"/>
      <c r="C66" s="15"/>
      <c r="D66" s="15"/>
      <c r="E66" s="15"/>
      <c r="F66" s="15"/>
      <c r="G66" s="15"/>
      <c r="H66" s="15"/>
      <c r="I66" s="15"/>
      <c r="J66" s="15">
        <v>12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0"/>
      <c r="AR66" s="10"/>
      <c r="AS66" s="10"/>
      <c r="AT66" s="10"/>
    </row>
    <row r="67" spans="1:70" ht="15.75" x14ac:dyDescent="0.25">
      <c r="B67" s="389"/>
      <c r="C67" s="16"/>
      <c r="D67" s="16"/>
      <c r="E67" s="16"/>
      <c r="F67" s="16"/>
      <c r="G67" s="16"/>
      <c r="H67" s="16"/>
      <c r="I67" s="16"/>
      <c r="J67" s="16">
        <v>13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2"/>
      <c r="AR67" s="12"/>
      <c r="AS67" s="12"/>
      <c r="AT67" s="12"/>
    </row>
    <row r="68" spans="1:70" ht="15.75" x14ac:dyDescent="0.25">
      <c r="B68" s="389"/>
      <c r="C68" s="15"/>
      <c r="D68" s="15"/>
      <c r="E68" s="15"/>
      <c r="F68" s="15"/>
      <c r="G68" s="15"/>
      <c r="H68" s="15"/>
      <c r="I68" s="15"/>
      <c r="J68" s="15">
        <v>15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0"/>
      <c r="AR68" s="10"/>
      <c r="AS68" s="10"/>
      <c r="AT68" s="10"/>
    </row>
    <row r="69" spans="1:70" ht="15.75" x14ac:dyDescent="0.25">
      <c r="B69" s="389"/>
      <c r="C69" s="16"/>
      <c r="D69" s="16"/>
      <c r="E69" s="16"/>
      <c r="F69" s="16"/>
      <c r="G69" s="16"/>
      <c r="H69" s="16"/>
      <c r="I69" s="16"/>
      <c r="J69" s="16">
        <v>17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2"/>
      <c r="AR69" s="12"/>
      <c r="AS69" s="12"/>
      <c r="AT69" s="12"/>
    </row>
    <row r="70" spans="1:70" s="103" customFormat="1" ht="16.5" thickBot="1" x14ac:dyDescent="0.3">
      <c r="A70"/>
      <c r="B70" s="389"/>
      <c r="C70" s="15"/>
      <c r="D70" s="15"/>
      <c r="E70" s="15"/>
      <c r="F70" s="15"/>
      <c r="G70" s="15"/>
      <c r="H70" s="15"/>
      <c r="I70" s="15"/>
      <c r="J70" s="15">
        <v>19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0"/>
      <c r="AR70" s="102"/>
      <c r="AS70" s="102"/>
      <c r="AT70" s="102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</row>
    <row r="71" spans="1:70" ht="16.5" thickTop="1" x14ac:dyDescent="0.25">
      <c r="B71" s="389"/>
      <c r="C71" s="16"/>
      <c r="D71" s="16"/>
      <c r="E71" s="16"/>
      <c r="F71" s="16"/>
      <c r="G71" s="16"/>
      <c r="H71" s="16"/>
      <c r="I71" s="16"/>
      <c r="J71" s="16">
        <v>21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2"/>
      <c r="AR71" s="12"/>
      <c r="AS71" s="12"/>
      <c r="AT71" s="12"/>
    </row>
    <row r="72" spans="1:70" ht="15.75" x14ac:dyDescent="0.25">
      <c r="B72" s="389"/>
      <c r="C72" s="15"/>
      <c r="D72" s="15"/>
      <c r="E72" s="15"/>
      <c r="F72" s="15"/>
      <c r="G72" s="15"/>
      <c r="H72" s="15"/>
      <c r="I72" s="15"/>
      <c r="J72" s="15">
        <v>23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0"/>
      <c r="AR72" s="10"/>
      <c r="AS72" s="10"/>
      <c r="AT72" s="10"/>
    </row>
    <row r="73" spans="1:70" ht="31.5" x14ac:dyDescent="0.25">
      <c r="B73" s="389"/>
      <c r="C73" s="16"/>
      <c r="D73" s="16"/>
      <c r="E73" s="16"/>
      <c r="F73" s="16"/>
      <c r="G73" s="16"/>
      <c r="H73" s="16"/>
      <c r="I73" s="16"/>
      <c r="J73" s="15">
        <v>28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2" t="s">
        <v>72</v>
      </c>
      <c r="AR73" s="12"/>
      <c r="AS73" s="12"/>
      <c r="AT73" s="12"/>
    </row>
    <row r="74" spans="1:70" ht="16.5" thickBot="1" x14ac:dyDescent="0.3">
      <c r="B74" s="99" t="s">
        <v>74</v>
      </c>
      <c r="C74" s="101">
        <f>COUNT(C57:C73)</f>
        <v>0</v>
      </c>
      <c r="D74" s="101">
        <f t="shared" ref="D74:AP74" si="20">COUNT(D57:D73)</f>
        <v>0</v>
      </c>
      <c r="E74" s="101">
        <f t="shared" si="20"/>
        <v>0</v>
      </c>
      <c r="F74" s="101">
        <f t="shared" si="20"/>
        <v>0</v>
      </c>
      <c r="G74" s="101">
        <f t="shared" si="20"/>
        <v>1</v>
      </c>
      <c r="H74" s="101">
        <f t="shared" si="20"/>
        <v>0</v>
      </c>
      <c r="I74" s="101">
        <f t="shared" si="20"/>
        <v>0</v>
      </c>
      <c r="J74" s="101">
        <f t="shared" si="20"/>
        <v>17</v>
      </c>
      <c r="K74" s="101">
        <f t="shared" si="20"/>
        <v>1</v>
      </c>
      <c r="L74" s="101">
        <f t="shared" si="20"/>
        <v>0</v>
      </c>
      <c r="M74" s="101">
        <f t="shared" si="20"/>
        <v>0</v>
      </c>
      <c r="N74" s="101">
        <f t="shared" si="20"/>
        <v>0</v>
      </c>
      <c r="O74" s="101">
        <f t="shared" si="20"/>
        <v>0</v>
      </c>
      <c r="P74" s="101">
        <f t="shared" si="20"/>
        <v>0</v>
      </c>
      <c r="Q74" s="101">
        <f t="shared" si="20"/>
        <v>3</v>
      </c>
      <c r="R74" s="101">
        <f t="shared" si="20"/>
        <v>3</v>
      </c>
      <c r="S74" s="101">
        <f t="shared" si="20"/>
        <v>1</v>
      </c>
      <c r="T74" s="101">
        <f t="shared" si="20"/>
        <v>3</v>
      </c>
      <c r="U74" s="101">
        <f t="shared" si="20"/>
        <v>2</v>
      </c>
      <c r="V74" s="101">
        <f t="shared" si="20"/>
        <v>0</v>
      </c>
      <c r="W74" s="101">
        <f t="shared" si="20"/>
        <v>0</v>
      </c>
      <c r="X74" s="101">
        <f t="shared" si="20"/>
        <v>3</v>
      </c>
      <c r="Y74" s="101">
        <f t="shared" si="20"/>
        <v>1</v>
      </c>
      <c r="Z74" s="101">
        <f t="shared" si="20"/>
        <v>1</v>
      </c>
      <c r="AA74" s="101">
        <f t="shared" si="20"/>
        <v>0</v>
      </c>
      <c r="AB74" s="101">
        <f t="shared" si="20"/>
        <v>1</v>
      </c>
      <c r="AC74" s="101">
        <f t="shared" si="20"/>
        <v>0</v>
      </c>
      <c r="AD74" s="101">
        <f t="shared" si="20"/>
        <v>0</v>
      </c>
      <c r="AE74" s="101">
        <f t="shared" si="20"/>
        <v>2</v>
      </c>
      <c r="AF74" s="101">
        <f t="shared" si="20"/>
        <v>1</v>
      </c>
      <c r="AG74" s="101">
        <f t="shared" si="20"/>
        <v>0</v>
      </c>
      <c r="AH74" s="101">
        <f t="shared" si="20"/>
        <v>0</v>
      </c>
      <c r="AI74" s="101">
        <f t="shared" si="20"/>
        <v>0</v>
      </c>
      <c r="AJ74" s="101">
        <f t="shared" si="20"/>
        <v>0</v>
      </c>
      <c r="AK74" s="101">
        <f t="shared" si="20"/>
        <v>0</v>
      </c>
      <c r="AL74" s="101">
        <f t="shared" si="20"/>
        <v>0</v>
      </c>
      <c r="AM74" s="101">
        <f t="shared" si="20"/>
        <v>0</v>
      </c>
      <c r="AN74" s="101">
        <f t="shared" si="20"/>
        <v>0</v>
      </c>
      <c r="AO74" s="101">
        <f t="shared" si="20"/>
        <v>0</v>
      </c>
      <c r="AP74" s="101">
        <f t="shared" si="20"/>
        <v>0</v>
      </c>
      <c r="AQ74" s="102">
        <f>SUM(C74:AP74)</f>
        <v>40</v>
      </c>
      <c r="AR74" s="10"/>
      <c r="AS74" s="10"/>
      <c r="AT74" s="10"/>
    </row>
    <row r="75" spans="1:70" ht="17.25" thickTop="1" thickBot="1" x14ac:dyDescent="0.3">
      <c r="A75" s="103"/>
      <c r="B75" s="158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2"/>
      <c r="AR75" s="12"/>
      <c r="AS75" s="12"/>
      <c r="AT75" s="12"/>
    </row>
    <row r="76" spans="1:70" ht="16.5" thickTop="1" x14ac:dyDescent="0.25">
      <c r="B76" s="390" t="s">
        <v>211</v>
      </c>
      <c r="C76" s="390"/>
      <c r="D76" s="390"/>
      <c r="E76" s="390"/>
      <c r="F76" s="38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0"/>
      <c r="AR76" s="10"/>
      <c r="AS76" s="10"/>
      <c r="AT76" s="10"/>
    </row>
    <row r="77" spans="1:70" ht="15.75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2"/>
      <c r="AR77" s="12"/>
      <c r="AS77" s="12"/>
      <c r="AT77" s="12"/>
    </row>
    <row r="78" spans="1:70" ht="15.75" x14ac:dyDescent="0.25">
      <c r="B78" s="15" t="s">
        <v>209</v>
      </c>
      <c r="C78" s="15"/>
      <c r="D78" s="15"/>
      <c r="E78" s="15" t="s">
        <v>210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0"/>
      <c r="AR78" s="10"/>
      <c r="AS78" s="10"/>
      <c r="AT78" s="10"/>
    </row>
    <row r="79" spans="1:70" ht="31.5" x14ac:dyDescent="0.25">
      <c r="B79" s="16" t="s">
        <v>160</v>
      </c>
      <c r="C79" s="16" t="s">
        <v>208</v>
      </c>
      <c r="D79" s="16"/>
      <c r="E79" s="16" t="s">
        <v>160</v>
      </c>
      <c r="F79" s="16" t="s">
        <v>208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2"/>
      <c r="AR79" s="12"/>
      <c r="AS79" s="12"/>
      <c r="AT79" s="12"/>
    </row>
    <row r="80" spans="1:70" ht="15.75" x14ac:dyDescent="0.25">
      <c r="B80" s="15">
        <v>1</v>
      </c>
      <c r="C80" s="15">
        <f>INDEX('Albopictus Mortality'!$A$4:$AP$4,1,SUMPRODUCT(--('Albopictus Mortality'!$B$6:$AP$26=$B80)*(COLUMN('Albopictus Mortality'!$B$6:$AP$26))))</f>
        <v>7</v>
      </c>
      <c r="D80" s="15"/>
      <c r="E80" s="15">
        <v>1</v>
      </c>
      <c r="F80" s="15">
        <f>INDEX('Albopictus Mortality'!$A$4:$AP$4,1,SUMPRODUCT(--($C$57:$AP$73=$E80)*(COLUMN($C$57:$AP$73))))</f>
        <v>7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0"/>
      <c r="AR80" s="10"/>
      <c r="AS80" s="10"/>
      <c r="AT80" s="10"/>
    </row>
    <row r="81" spans="2:46" ht="15.75" x14ac:dyDescent="0.25">
      <c r="B81" s="16">
        <v>2</v>
      </c>
      <c r="C81" s="15">
        <f>INDEX('Albopictus Mortality'!$A$4:$AP$4,1,SUMPRODUCT(--('Albopictus Mortality'!$B$6:$AP$26=$B81)*(COLUMN('Albopictus Mortality'!$B$6:$AP$26))))</f>
        <v>37</v>
      </c>
      <c r="D81" s="16"/>
      <c r="E81" s="16">
        <v>2</v>
      </c>
      <c r="F81" s="15">
        <f>INDEX('Albopictus Mortality'!$A$4:$AP$4,1,SUMPRODUCT(--($C$57:$AP$73=$E81)*(COLUMN($C$57:$AP$73))))</f>
        <v>7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2"/>
      <c r="AR81" s="12"/>
      <c r="AS81" s="12"/>
      <c r="AT81" s="12"/>
    </row>
    <row r="82" spans="2:46" ht="15.75" x14ac:dyDescent="0.25">
      <c r="B82" s="15">
        <v>3</v>
      </c>
      <c r="C82" s="15">
        <f>INDEX('Albopictus Mortality'!$A$4:$AP$4,1,SUMPRODUCT(--('Albopictus Mortality'!$B$6:$AP$26=$B82)*(COLUMN('Albopictus Mortality'!$B$6:$AP$26))))</f>
        <v>1</v>
      </c>
      <c r="D82" s="15"/>
      <c r="E82" s="15">
        <v>3</v>
      </c>
      <c r="F82" s="15">
        <f>INDEX('Albopictus Mortality'!$A$4:$AP$4,1,SUMPRODUCT(--($C$57:$AP$73=$E82)*(COLUMN($C$57:$AP$73))))</f>
        <v>7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0"/>
      <c r="AR82" s="10"/>
      <c r="AS82" s="10"/>
      <c r="AT82" s="10"/>
    </row>
    <row r="83" spans="2:46" ht="15.75" x14ac:dyDescent="0.25">
      <c r="B83" s="15">
        <v>4</v>
      </c>
      <c r="C83" s="15">
        <f>INDEX('Albopictus Mortality'!$A$4:$AP$4,1,SUMPRODUCT(--('Albopictus Mortality'!$B$6:$AP$26=$B83)*(COLUMN('Albopictus Mortality'!$B$6:$AP$26))))</f>
        <v>3</v>
      </c>
      <c r="D83" s="16"/>
      <c r="E83" s="15">
        <v>4</v>
      </c>
      <c r="F83" s="15">
        <f>INDEX('Albopictus Mortality'!$A$4:$AP$4,1,SUMPRODUCT(--($C$57:$AP$73=$E83)*(COLUMN($C$57:$AP$73))))</f>
        <v>7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2"/>
      <c r="AR83" s="12"/>
      <c r="AS83" s="12"/>
      <c r="AT83" s="12"/>
    </row>
    <row r="84" spans="2:46" ht="15.75" x14ac:dyDescent="0.25">
      <c r="B84" s="16">
        <v>5</v>
      </c>
      <c r="C84" s="15">
        <f>INDEX('Albopictus Mortality'!$A$4:$AP$4,1,SUMPRODUCT(--('Albopictus Mortality'!$B$6:$AP$26=$B84)*(COLUMN('Albopictus Mortality'!$B$6:$AP$26))))</f>
        <v>14</v>
      </c>
      <c r="D84" s="15"/>
      <c r="E84" s="16">
        <v>5</v>
      </c>
      <c r="F84" s="15">
        <f>INDEX('Albopictus Mortality'!$A$4:$AP$4,1,SUMPRODUCT(--($C$57:$AP$73=$E84)*(COLUMN($C$57:$AP$73))))</f>
        <v>7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0"/>
      <c r="AR84" s="10"/>
      <c r="AS84" s="10"/>
      <c r="AT84" s="10"/>
    </row>
    <row r="85" spans="2:46" ht="15.75" x14ac:dyDescent="0.25">
      <c r="B85" s="15">
        <v>6</v>
      </c>
      <c r="C85" s="15">
        <f>INDEX('Albopictus Mortality'!$A$4:$AP$4,1,SUMPRODUCT(--('Albopictus Mortality'!$B$6:$AP$26=$B85)*(COLUMN('Albopictus Mortality'!$B$6:$AP$26))))</f>
        <v>1</v>
      </c>
      <c r="D85" s="16"/>
      <c r="E85" s="15">
        <v>6</v>
      </c>
      <c r="F85" s="15">
        <f>INDEX('Albopictus Mortality'!$A$4:$AP$4,1,SUMPRODUCT(--($C$57:$AP$73=$E85)*(COLUMN($C$57:$AP$73))))</f>
        <v>18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2"/>
      <c r="AR85" s="12"/>
      <c r="AS85" s="12"/>
      <c r="AT85" s="12"/>
    </row>
    <row r="86" spans="2:46" ht="15.75" x14ac:dyDescent="0.25">
      <c r="B86" s="15">
        <v>7</v>
      </c>
      <c r="C86" s="15">
        <f>INDEX('Albopictus Mortality'!$A$4:$AP$4,1,SUMPRODUCT(--('Albopictus Mortality'!$B$6:$AP$26=$B86)*(COLUMN('Albopictus Mortality'!$B$6:$AP$26))))</f>
        <v>18</v>
      </c>
      <c r="D86" s="15"/>
      <c r="E86" s="15">
        <v>7</v>
      </c>
      <c r="F86" s="15">
        <f>INDEX('Albopictus Mortality'!$A$4:$AP$4,1,SUMPRODUCT(--($C$57:$AP$73=$E86)*(COLUMN($C$57:$AP$73))))</f>
        <v>7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0"/>
      <c r="AR86" s="10"/>
      <c r="AS86" s="10"/>
      <c r="AT86" s="10"/>
    </row>
    <row r="87" spans="2:46" ht="15.75" x14ac:dyDescent="0.25">
      <c r="B87" s="16">
        <v>8</v>
      </c>
      <c r="C87" s="15">
        <f>INDEX('Albopictus Mortality'!$A$4:$AP$4,1,SUMPRODUCT(--('Albopictus Mortality'!$B$6:$AP$26=$B87)*(COLUMN('Albopictus Mortality'!$B$6:$AP$26))))</f>
        <v>16</v>
      </c>
      <c r="D87" s="16"/>
      <c r="E87" s="16">
        <v>8</v>
      </c>
      <c r="F87" s="15">
        <f>INDEX('Albopictus Mortality'!$A$4:$AP$4,1,SUMPRODUCT(--($C$57:$AP$73=$E87)*(COLUMN($C$57:$AP$73))))</f>
        <v>29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2"/>
      <c r="AR87" s="12"/>
      <c r="AS87" s="12"/>
      <c r="AT87" s="12"/>
    </row>
    <row r="88" spans="2:46" ht="15.75" x14ac:dyDescent="0.25">
      <c r="B88" s="15">
        <v>9</v>
      </c>
      <c r="C88" s="15">
        <f>INDEX('Albopictus Mortality'!$A$4:$AP$4,1,SUMPRODUCT(--('Albopictus Mortality'!$B$6:$AP$26=$B88)*(COLUMN('Albopictus Mortality'!$B$6:$AP$26))))</f>
        <v>11</v>
      </c>
      <c r="D88" s="15"/>
      <c r="E88" s="15">
        <v>9</v>
      </c>
      <c r="F88" s="15">
        <f>INDEX('Albopictus Mortality'!$A$4:$AP$4,1,SUMPRODUCT(--($C$57:$AP$73=$E88)*(COLUMN($C$57:$AP$73))))</f>
        <v>7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0"/>
      <c r="AR88" s="10"/>
      <c r="AS88" s="10"/>
      <c r="AT88" s="10"/>
    </row>
    <row r="89" spans="2:46" ht="15.75" x14ac:dyDescent="0.25">
      <c r="B89" s="15">
        <v>10</v>
      </c>
      <c r="C89" s="15">
        <f>INDEX('Albopictus Mortality'!$A$4:$AP$4,1,SUMPRODUCT(--('Albopictus Mortality'!$B$6:$AP$26=$B89)*(COLUMN('Albopictus Mortality'!$B$6:$AP$26))))</f>
        <v>18</v>
      </c>
      <c r="D89" s="16"/>
      <c r="E89" s="15">
        <v>10</v>
      </c>
      <c r="F89" s="15">
        <f>INDEX('Albopictus Mortality'!$A$4:$AP$4,1,SUMPRODUCT(--($C$57:$AP$73=$E89)*(COLUMN($C$57:$AP$73))))</f>
        <v>7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2"/>
      <c r="AR89" s="12"/>
      <c r="AS89" s="12"/>
      <c r="AT89" s="12"/>
    </row>
    <row r="90" spans="2:46" ht="15.75" x14ac:dyDescent="0.25">
      <c r="B90" s="16">
        <v>11</v>
      </c>
      <c r="C90" s="15">
        <f>INDEX('Albopictus Mortality'!$A$4:$AP$4,1,SUMPRODUCT(--('Albopictus Mortality'!$B$6:$AP$26=$B90)*(COLUMN('Albopictus Mortality'!$B$6:$AP$26))))</f>
        <v>29</v>
      </c>
      <c r="D90" s="15"/>
      <c r="E90" s="16">
        <v>11</v>
      </c>
      <c r="F90" s="15">
        <f>INDEX('Albopictus Mortality'!$A$4:$AP$4,1,SUMPRODUCT(--($C$57:$AP$73=$E90)*(COLUMN($C$57:$AP$73))))</f>
        <v>7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0"/>
      <c r="AR90" s="10"/>
      <c r="AS90" s="10"/>
      <c r="AT90" s="10"/>
    </row>
    <row r="91" spans="2:46" ht="15.75" x14ac:dyDescent="0.25">
      <c r="B91" s="15">
        <v>12</v>
      </c>
      <c r="C91" s="15">
        <f>INDEX('Albopictus Mortality'!$A$4:$AP$4,1,SUMPRODUCT(--('Albopictus Mortality'!$B$6:$AP$26=$B91)*(COLUMN('Albopictus Mortality'!$B$6:$AP$26))))</f>
        <v>7</v>
      </c>
      <c r="D91" s="16"/>
      <c r="E91" s="15">
        <v>12</v>
      </c>
      <c r="F91" s="15">
        <f>INDEX('Albopictus Mortality'!$A$4:$AP$4,1,SUMPRODUCT(--($C$57:$AP$73=$E91)*(COLUMN($C$57:$AP$73))))</f>
        <v>7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2"/>
      <c r="AR91" s="12"/>
      <c r="AS91" s="12"/>
      <c r="AT91" s="12"/>
    </row>
    <row r="92" spans="2:46" ht="15.75" x14ac:dyDescent="0.25">
      <c r="B92" s="15">
        <v>13</v>
      </c>
      <c r="C92" s="15">
        <f>INDEX('Albopictus Mortality'!$A$4:$AP$4,1,SUMPRODUCT(--('Albopictus Mortality'!$B$6:$AP$26=$B92)*(COLUMN('Albopictus Mortality'!$B$6:$AP$26))))</f>
        <v>15</v>
      </c>
      <c r="D92" s="15"/>
      <c r="E92" s="15">
        <v>13</v>
      </c>
      <c r="F92" s="15">
        <f>INDEX('Albopictus Mortality'!$A$4:$AP$4,1,SUMPRODUCT(--($C$57:$AP$73=$E92)*(COLUMN($C$57:$AP$73))))</f>
        <v>7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0"/>
      <c r="AR92" s="10"/>
      <c r="AS92" s="10"/>
      <c r="AT92" s="10"/>
    </row>
    <row r="93" spans="2:46" ht="15.75" x14ac:dyDescent="0.25">
      <c r="B93" s="16">
        <v>14</v>
      </c>
      <c r="C93" s="15">
        <f>INDEX('Albopictus Mortality'!$A$4:$AP$4,1,SUMPRODUCT(--('Albopictus Mortality'!$B$6:$AP$26=$B93)*(COLUMN('Albopictus Mortality'!$B$6:$AP$26))))</f>
        <v>14</v>
      </c>
      <c r="D93" s="16"/>
      <c r="E93" s="16">
        <v>14</v>
      </c>
      <c r="F93" s="15">
        <f>INDEX('Albopictus Mortality'!$A$4:$AP$4,1,SUMPRODUCT(--($C$57:$AP$73=$E93)*(COLUMN($C$57:$AP$73))))</f>
        <v>23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2"/>
      <c r="AR93" s="12"/>
      <c r="AS93" s="12"/>
      <c r="AT93" s="12"/>
    </row>
    <row r="94" spans="2:46" ht="15.75" x14ac:dyDescent="0.25">
      <c r="B94" s="15">
        <v>15</v>
      </c>
      <c r="C94" s="15">
        <f>INDEX('Albopictus Mortality'!$A$4:$AP$4,1,SUMPRODUCT(--('Albopictus Mortality'!$B$6:$AP$26=$B94)*(COLUMN('Albopictus Mortality'!$B$6:$AP$26))))</f>
        <v>10</v>
      </c>
      <c r="D94" s="15"/>
      <c r="E94" s="15">
        <v>15</v>
      </c>
      <c r="F94" s="15">
        <f>INDEX('Albopictus Mortality'!$A$4:$AP$4,1,SUMPRODUCT(--($C$57:$AP$73=$E94)*(COLUMN($C$57:$AP$73))))</f>
        <v>7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0"/>
      <c r="AR94" s="10"/>
      <c r="AS94" s="10"/>
      <c r="AT94" s="10"/>
    </row>
    <row r="95" spans="2:46" ht="15.75" x14ac:dyDescent="0.25">
      <c r="B95" s="15">
        <v>16</v>
      </c>
      <c r="C95" s="15">
        <f>INDEX('Albopictus Mortality'!$A$4:$AP$4,1,SUMPRODUCT(--('Albopictus Mortality'!$B$6:$AP$26=$B95)*(COLUMN('Albopictus Mortality'!$B$6:$AP$26))))</f>
        <v>39</v>
      </c>
      <c r="D95" s="16"/>
      <c r="E95" s="15">
        <v>16</v>
      </c>
      <c r="F95" s="15">
        <f>INDEX('Albopictus Mortality'!$A$4:$AP$4,1,SUMPRODUCT(--($C$57:$AP$73=$E95)*(COLUMN($C$57:$AP$73))))</f>
        <v>25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2"/>
      <c r="AR95" s="12"/>
      <c r="AS95" s="12"/>
      <c r="AT95" s="12"/>
    </row>
    <row r="96" spans="2:46" ht="15.75" x14ac:dyDescent="0.25">
      <c r="B96" s="16">
        <v>17</v>
      </c>
      <c r="C96" s="15">
        <f>INDEX('Albopictus Mortality'!$A$4:$AP$4,1,SUMPRODUCT(--('Albopictus Mortality'!$B$6:$AP$26=$B96)*(COLUMN('Albopictus Mortality'!$B$6:$AP$26))))</f>
        <v>23</v>
      </c>
      <c r="D96" s="15"/>
      <c r="E96" s="16">
        <v>17</v>
      </c>
      <c r="F96" s="15">
        <f>INDEX('Albopictus Mortality'!$A$4:$AP$4,1,SUMPRODUCT(--($C$57:$AP$73=$E96)*(COLUMN($C$57:$AP$73))))</f>
        <v>7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0"/>
      <c r="AR96" s="10"/>
      <c r="AS96" s="10"/>
      <c r="AT96" s="10"/>
    </row>
    <row r="97" spans="2:46" ht="15.75" x14ac:dyDescent="0.25">
      <c r="B97" s="15">
        <v>18</v>
      </c>
      <c r="C97" s="15">
        <f>INDEX('Albopictus Mortality'!$A$4:$AP$4,1,SUMPRODUCT(--('Albopictus Mortality'!$B$6:$AP$26=$B97)*(COLUMN('Albopictus Mortality'!$B$6:$AP$26))))</f>
        <v>7</v>
      </c>
      <c r="D97" s="16"/>
      <c r="E97" s="15">
        <v>18</v>
      </c>
      <c r="F97" s="15">
        <f>INDEX('Albopictus Mortality'!$A$4:$AP$4,1,SUMPRODUCT(--($C$57:$AP$73=$E97)*(COLUMN($C$57:$AP$73))))</f>
        <v>4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2"/>
      <c r="AR97" s="12"/>
      <c r="AS97" s="12"/>
      <c r="AT97" s="12"/>
    </row>
    <row r="98" spans="2:46" ht="15.75" x14ac:dyDescent="0.25">
      <c r="B98" s="15">
        <v>19</v>
      </c>
      <c r="C98" s="15">
        <f>INDEX('Albopictus Mortality'!$A$4:$AP$4,1,SUMPRODUCT(--('Albopictus Mortality'!$B$6:$AP$26=$B98)*(COLUMN('Albopictus Mortality'!$B$6:$AP$26))))</f>
        <v>21</v>
      </c>
      <c r="D98" s="15"/>
      <c r="E98" s="15">
        <v>19</v>
      </c>
      <c r="F98" s="15">
        <f>INDEX('Albopictus Mortality'!$A$4:$AP$4,1,SUMPRODUCT(--($C$57:$AP$73=$E98)*(COLUMN($C$57:$AP$73))))</f>
        <v>7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0"/>
      <c r="AR98" s="10"/>
      <c r="AS98" s="10"/>
      <c r="AT98" s="10"/>
    </row>
    <row r="99" spans="2:46" ht="15.75" x14ac:dyDescent="0.25">
      <c r="B99" s="16">
        <v>20</v>
      </c>
      <c r="C99" s="15">
        <f>INDEX('Albopictus Mortality'!$A$4:$AP$4,1,SUMPRODUCT(--('Albopictus Mortality'!$B$6:$AP$26=$B99)*(COLUMN('Albopictus Mortality'!$B$6:$AP$26))))</f>
        <v>16</v>
      </c>
      <c r="D99" s="16"/>
      <c r="E99" s="16">
        <v>20</v>
      </c>
      <c r="F99" s="15">
        <f>INDEX('Albopictus Mortality'!$A$4:$AP$4,1,SUMPRODUCT(--($C$57:$AP$73=$E99)*(COLUMN($C$57:$AP$73))))</f>
        <v>28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2"/>
      <c r="AR99" s="12"/>
      <c r="AS99" s="12"/>
      <c r="AT99" s="12"/>
    </row>
    <row r="100" spans="2:46" ht="15.75" x14ac:dyDescent="0.25">
      <c r="B100" s="15">
        <v>21</v>
      </c>
      <c r="C100" s="15">
        <f>INDEX('Albopictus Mortality'!$A$4:$AP$4,1,SUMPRODUCT(--('Albopictus Mortality'!$B$6:$AP$26=$B100)*(COLUMN('Albopictus Mortality'!$B$6:$AP$26))))</f>
        <v>18</v>
      </c>
      <c r="D100" s="15"/>
      <c r="E100" s="15">
        <v>21</v>
      </c>
      <c r="F100" s="15">
        <f>INDEX('Albopictus Mortality'!$A$4:$AP$4,1,SUMPRODUCT(--($C$57:$AP$73=$E100)*(COLUMN($C$57:$AP$73))))</f>
        <v>7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0"/>
      <c r="AR100" s="10"/>
      <c r="AS100" s="10"/>
      <c r="AT100" s="10"/>
    </row>
    <row r="101" spans="2:46" ht="15.75" x14ac:dyDescent="0.25">
      <c r="B101" s="15">
        <v>22</v>
      </c>
      <c r="C101" s="15">
        <f>INDEX('Albopictus Mortality'!$A$4:$AP$4,1,SUMPRODUCT(--('Albopictus Mortality'!$B$6:$AP$26=$B101)*(COLUMN('Albopictus Mortality'!$B$6:$AP$26))))</f>
        <v>23</v>
      </c>
      <c r="D101" s="16"/>
      <c r="E101" s="15">
        <v>22</v>
      </c>
      <c r="F101" s="15">
        <f>INDEX('Albopictus Mortality'!$A$4:$AP$4,1,SUMPRODUCT(--($C$57:$AP$73=$E101)*(COLUMN($C$57:$AP$73))))</f>
        <v>16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2"/>
      <c r="AR101" s="12"/>
      <c r="AS101" s="12"/>
      <c r="AT101" s="12"/>
    </row>
    <row r="102" spans="2:46" ht="15.75" x14ac:dyDescent="0.25">
      <c r="B102" s="16">
        <v>23</v>
      </c>
      <c r="C102" s="15">
        <f>INDEX('Albopictus Mortality'!$A$4:$AP$4,1,SUMPRODUCT(--('Albopictus Mortality'!$B$6:$AP$26=$B102)*(COLUMN('Albopictus Mortality'!$B$6:$AP$26))))</f>
        <v>21</v>
      </c>
      <c r="D102" s="15"/>
      <c r="E102" s="16">
        <v>23</v>
      </c>
      <c r="F102" s="15">
        <f>INDEX('Albopictus Mortality'!$A$4:$AP$4,1,SUMPRODUCT(--($C$57:$AP$73=$E102)*(COLUMN($C$57:$AP$73))))</f>
        <v>7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0"/>
      <c r="AR102" s="10"/>
      <c r="AS102" s="10"/>
      <c r="AT102" s="10"/>
    </row>
    <row r="103" spans="2:46" ht="15.75" x14ac:dyDescent="0.25">
      <c r="B103" s="15">
        <v>24</v>
      </c>
      <c r="C103" s="15">
        <f>INDEX('Albopictus Mortality'!$A$4:$AP$4,1,SUMPRODUCT(--('Albopictus Mortality'!$B$6:$AP$26=$B103)*(COLUMN('Albopictus Mortality'!$B$6:$AP$26))))</f>
        <v>14</v>
      </c>
      <c r="D103" s="16"/>
      <c r="E103" s="15">
        <v>24</v>
      </c>
      <c r="F103" s="15">
        <f>INDEX('Albopictus Mortality'!$A$4:$AP$4,1,SUMPRODUCT(--($C$57:$AP$73=$E103)*(COLUMN($C$57:$AP$73))))</f>
        <v>21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2"/>
      <c r="AR103" s="12"/>
      <c r="AS103" s="12"/>
      <c r="AT103" s="12"/>
    </row>
    <row r="104" spans="2:46" ht="15.75" x14ac:dyDescent="0.25">
      <c r="B104" s="15">
        <v>25</v>
      </c>
      <c r="C104" s="15">
        <f>INDEX('Albopictus Mortality'!$A$4:$AP$4,1,SUMPRODUCT(--('Albopictus Mortality'!$B$6:$AP$26=$B104)*(COLUMN('Albopictus Mortality'!$B$6:$AP$26))))</f>
        <v>10</v>
      </c>
      <c r="D104" s="15"/>
      <c r="E104" s="15">
        <v>25</v>
      </c>
      <c r="F104" s="15">
        <f>INDEX('Albopictus Mortality'!$A$4:$AP$4,1,SUMPRODUCT(--($C$57:$AP$73=$E104)*(COLUMN($C$57:$AP$73))))</f>
        <v>14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0"/>
      <c r="AR104" s="10"/>
      <c r="AS104" s="10"/>
      <c r="AT104" s="10"/>
    </row>
    <row r="105" spans="2:46" ht="15.75" x14ac:dyDescent="0.25">
      <c r="B105" s="16">
        <v>26</v>
      </c>
      <c r="C105" s="15">
        <f>INDEX('Albopictus Mortality'!$A$4:$AP$4,1,SUMPRODUCT(--('Albopictus Mortality'!$B$6:$AP$26=$B105)*(COLUMN('Albopictus Mortality'!$B$6:$AP$26))))</f>
        <v>2</v>
      </c>
      <c r="D105" s="16"/>
      <c r="E105" s="16">
        <v>26</v>
      </c>
      <c r="F105" s="15">
        <f>INDEX('Albopictus Mortality'!$A$4:$AP$4,1,SUMPRODUCT(--($C$57:$AP$73=$E105)*(COLUMN($C$57:$AP$73))))</f>
        <v>8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2"/>
      <c r="AR105" s="12"/>
      <c r="AS105" s="12"/>
      <c r="AT105" s="12"/>
    </row>
    <row r="106" spans="2:46" ht="15.75" x14ac:dyDescent="0.25">
      <c r="B106" s="15">
        <v>27</v>
      </c>
      <c r="C106" s="15">
        <f>INDEX('Albopictus Mortality'!$A$4:$AP$4,1,SUMPRODUCT(--('Albopictus Mortality'!$B$6:$AP$26=$B106)*(COLUMN('Albopictus Mortality'!$B$6:$AP$26))))</f>
        <v>29</v>
      </c>
      <c r="D106" s="15"/>
      <c r="E106" s="15">
        <v>27</v>
      </c>
      <c r="F106" s="15">
        <f>INDEX('Albopictus Mortality'!$A$4:$AP$4,1,SUMPRODUCT(--($C$57:$AP$73=$E106)*(COLUMN($C$57:$AP$73))))</f>
        <v>18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0"/>
      <c r="AR106" s="10"/>
      <c r="AS106" s="10"/>
      <c r="AT106" s="10"/>
    </row>
    <row r="107" spans="2:46" ht="15.75" x14ac:dyDescent="0.25">
      <c r="B107" s="15">
        <v>28</v>
      </c>
      <c r="C107" s="15">
        <f>INDEX('Albopictus Mortality'!$A$4:$AP$4,1,SUMPRODUCT(--('Albopictus Mortality'!$B$6:$AP$26=$B107)*(COLUMN('Albopictus Mortality'!$B$6:$AP$26))))</f>
        <v>14</v>
      </c>
      <c r="D107" s="16"/>
      <c r="E107" s="15">
        <v>28</v>
      </c>
      <c r="F107" s="15">
        <f>INDEX('Albopictus Mortality'!$A$4:$AP$4,1,SUMPRODUCT(--($C$57:$AP$73=$E107)*(COLUMN($C$57:$AP$73))))</f>
        <v>7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2"/>
      <c r="AR107" s="12"/>
      <c r="AS107" s="12"/>
      <c r="AT107" s="12"/>
    </row>
    <row r="108" spans="2:46" ht="15.75" x14ac:dyDescent="0.25">
      <c r="B108" s="16">
        <v>29</v>
      </c>
      <c r="C108" s="15">
        <f>INDEX('Albopictus Mortality'!$A$4:$AP$4,1,SUMPRODUCT(--('Albopictus Mortality'!$B$6:$AP$26=$B108)*(COLUMN('Albopictus Mortality'!$B$6:$AP$26))))</f>
        <v>39</v>
      </c>
      <c r="D108" s="15"/>
      <c r="E108" s="16">
        <v>29</v>
      </c>
      <c r="F108" s="15">
        <f>INDEX('Albopictus Mortality'!$A$4:$AP$4,1,SUMPRODUCT(--($C$57:$AP$73=$E108)*(COLUMN($C$57:$AP$73))))</f>
        <v>15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0"/>
      <c r="AR108" s="10"/>
      <c r="AS108" s="10"/>
      <c r="AT108" s="10"/>
    </row>
    <row r="109" spans="2:46" ht="15.75" x14ac:dyDescent="0.25">
      <c r="B109" s="15">
        <v>30</v>
      </c>
      <c r="C109" s="15">
        <f>INDEX('Albopictus Mortality'!$A$4:$AP$4,1,SUMPRODUCT(--('Albopictus Mortality'!$B$6:$AP$26=$B109)*(COLUMN('Albopictus Mortality'!$B$6:$AP$26))))</f>
        <v>14</v>
      </c>
      <c r="D109" s="16"/>
      <c r="E109" s="15">
        <v>30</v>
      </c>
      <c r="F109" s="15">
        <f>INDEX('Albopictus Mortality'!$A$4:$AP$4,1,SUMPRODUCT(--($C$57:$AP$73=$E109)*(COLUMN($C$57:$AP$73))))</f>
        <v>22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2"/>
      <c r="AR109" s="12"/>
      <c r="AS109" s="12"/>
      <c r="AT109" s="12"/>
    </row>
    <row r="110" spans="2:46" ht="15.75" x14ac:dyDescent="0.25">
      <c r="B110" s="15">
        <v>31</v>
      </c>
      <c r="C110" s="15">
        <f>INDEX('Albopictus Mortality'!$A$4:$AP$4,1,SUMPRODUCT(--('Albopictus Mortality'!$B$6:$AP$26=$B110)*(COLUMN('Albopictus Mortality'!$B$6:$AP$26))))</f>
        <v>21</v>
      </c>
      <c r="D110" s="15"/>
      <c r="E110" s="15">
        <v>31</v>
      </c>
      <c r="F110" s="15">
        <f>INDEX('Albopictus Mortality'!$A$4:$AP$4,1,SUMPRODUCT(--($C$57:$AP$73=$E110)*(COLUMN($C$57:$AP$73))))</f>
        <v>17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0"/>
      <c r="AR110" s="10"/>
      <c r="AS110" s="10"/>
      <c r="AT110" s="10"/>
    </row>
    <row r="111" spans="2:46" ht="15.75" x14ac:dyDescent="0.25">
      <c r="B111" s="16">
        <v>32</v>
      </c>
      <c r="C111" s="15">
        <f>INDEX('Albopictus Mortality'!$A$4:$AP$4,1,SUMPRODUCT(--('Albopictus Mortality'!$B$6:$AP$26=$B111)*(COLUMN('Albopictus Mortality'!$B$6:$AP$26))))</f>
        <v>14</v>
      </c>
      <c r="D111" s="16"/>
      <c r="E111" s="16">
        <v>32</v>
      </c>
      <c r="F111" s="15">
        <f>INDEX('Albopictus Mortality'!$A$4:$AP$4,1,SUMPRODUCT(--($C$57:$AP$73=$E111)*(COLUMN($C$57:$AP$73))))</f>
        <v>17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2"/>
      <c r="AR111" s="12"/>
      <c r="AS111" s="12"/>
      <c r="AT111" s="12"/>
    </row>
    <row r="112" spans="2:46" ht="15.75" x14ac:dyDescent="0.25">
      <c r="B112" s="15">
        <v>33</v>
      </c>
      <c r="C112" s="15">
        <f>INDEX('Albopictus Mortality'!$A$4:$AP$4,1,SUMPRODUCT(--('Albopictus Mortality'!$B$6:$AP$26=$B112)*(COLUMN('Albopictus Mortality'!$B$6:$AP$26))))</f>
        <v>28</v>
      </c>
      <c r="D112" s="15"/>
      <c r="E112" s="15">
        <v>33</v>
      </c>
      <c r="F112" s="15">
        <f>INDEX('Albopictus Mortality'!$A$4:$AP$4,1,SUMPRODUCT(--($C$57:$AP$73=$E112)*(COLUMN($C$57:$AP$73))))</f>
        <v>15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0"/>
      <c r="AR112" s="10"/>
      <c r="AS112" s="10"/>
      <c r="AT112" s="10"/>
    </row>
    <row r="113" spans="2:46" ht="15.75" x14ac:dyDescent="0.25">
      <c r="B113" s="15">
        <v>34</v>
      </c>
      <c r="C113" s="15">
        <f>INDEX('Albopictus Mortality'!$A$4:$AP$4,1,SUMPRODUCT(--('Albopictus Mortality'!$B$6:$AP$26=$B113)*(COLUMN('Albopictus Mortality'!$B$6:$AP$26))))</f>
        <v>28</v>
      </c>
      <c r="D113" s="16"/>
      <c r="E113" s="15">
        <v>34</v>
      </c>
      <c r="F113" s="15">
        <f>INDEX('Albopictus Mortality'!$A$4:$AP$4,1,SUMPRODUCT(--($C$57:$AP$73=$E113)*(COLUMN($C$57:$AP$73))))</f>
        <v>14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2"/>
      <c r="AR113" s="12"/>
      <c r="AS113" s="12"/>
      <c r="AT113" s="12"/>
    </row>
    <row r="114" spans="2:46" ht="15.75" x14ac:dyDescent="0.25">
      <c r="B114" s="16">
        <v>35</v>
      </c>
      <c r="C114" s="15">
        <f>INDEX('Albopictus Mortality'!$A$4:$AP$4,1,SUMPRODUCT(--('Albopictus Mortality'!$B$6:$AP$26=$B114)*(COLUMN('Albopictus Mortality'!$B$6:$AP$26))))</f>
        <v>18</v>
      </c>
      <c r="D114" s="15"/>
      <c r="E114" s="16">
        <v>35</v>
      </c>
      <c r="F114" s="15">
        <f>INDEX('Albopictus Mortality'!$A$4:$AP$4,1,SUMPRODUCT(--($C$57:$AP$73=$E114)*(COLUMN($C$57:$AP$73))))</f>
        <v>21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0"/>
      <c r="AR114" s="10"/>
      <c r="AS114" s="10"/>
      <c r="AT114" s="10"/>
    </row>
    <row r="115" spans="2:46" ht="15.75" x14ac:dyDescent="0.25">
      <c r="B115" s="15">
        <v>36</v>
      </c>
      <c r="C115" s="15">
        <f>INDEX('Albopictus Mortality'!$A$4:$AP$4,1,SUMPRODUCT(--('Albopictus Mortality'!$B$6:$AP$26=$B115)*(COLUMN('Albopictus Mortality'!$B$6:$AP$26))))</f>
        <v>21</v>
      </c>
      <c r="D115" s="16"/>
      <c r="E115" s="15">
        <v>36</v>
      </c>
      <c r="F115" s="15">
        <f>INDEX('Albopictus Mortality'!$A$4:$AP$4,1,SUMPRODUCT(--($C$57:$AP$73=$E115)*(COLUMN($C$57:$AP$73))))</f>
        <v>14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2"/>
      <c r="AR115" s="12"/>
      <c r="AS115" s="12"/>
      <c r="AT115" s="12"/>
    </row>
    <row r="116" spans="2:46" ht="15.75" x14ac:dyDescent="0.25">
      <c r="B116" s="15">
        <v>37</v>
      </c>
      <c r="C116" s="15">
        <f>INDEX('Albopictus Mortality'!$A$4:$AP$4,1,SUMPRODUCT(--('Albopictus Mortality'!$B$6:$AP$26=$B116)*(COLUMN('Albopictus Mortality'!$B$6:$AP$26))))</f>
        <v>8</v>
      </c>
      <c r="D116" s="15"/>
      <c r="E116" s="15">
        <v>37</v>
      </c>
      <c r="F116" s="15">
        <f>INDEX('Albopictus Mortality'!$A$4:$AP$4,1,SUMPRODUCT(--($C$57:$AP$73=$E116)*(COLUMN($C$57:$AP$73))))</f>
        <v>21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0"/>
      <c r="AR116" s="10"/>
      <c r="AS116" s="10"/>
      <c r="AT116" s="10"/>
    </row>
    <row r="117" spans="2:46" ht="15.75" x14ac:dyDescent="0.25">
      <c r="B117" s="16">
        <v>38</v>
      </c>
      <c r="C117" s="15">
        <f>INDEX('Albopictus Mortality'!$A$4:$AP$4,1,SUMPRODUCT(--('Albopictus Mortality'!$B$6:$AP$26=$B117)*(COLUMN('Albopictus Mortality'!$B$6:$AP$26))))</f>
        <v>17</v>
      </c>
      <c r="D117" s="16"/>
      <c r="E117" s="16">
        <v>38</v>
      </c>
      <c r="F117" s="15">
        <f>INDEX('Albopictus Mortality'!$A$4:$AP$4,1,SUMPRODUCT(--($C$57:$AP$73=$E117)*(COLUMN($C$57:$AP$73))))</f>
        <v>28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2"/>
      <c r="AR117" s="12"/>
      <c r="AS117" s="12"/>
      <c r="AT117" s="12"/>
    </row>
    <row r="118" spans="2:46" ht="15.75" x14ac:dyDescent="0.25">
      <c r="B118" s="15">
        <v>39</v>
      </c>
      <c r="C118" s="15">
        <f>INDEX('Albopictus Mortality'!$A$4:$AP$4,1,SUMPRODUCT(--('Albopictus Mortality'!$B$6:$AP$26=$B118)*(COLUMN('Albopictus Mortality'!$B$6:$AP$26))))</f>
        <v>28</v>
      </c>
      <c r="D118" s="15"/>
      <c r="E118" s="15">
        <v>39</v>
      </c>
      <c r="F118" s="15">
        <f>INDEX('Albopictus Mortality'!$A$4:$AP$4,1,SUMPRODUCT(--($C$57:$AP$73=$E118)*(COLUMN($C$57:$AP$73))))</f>
        <v>15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0"/>
      <c r="AR118" s="10"/>
      <c r="AS118" s="10"/>
      <c r="AT118" s="10"/>
    </row>
    <row r="119" spans="2:46" ht="15.75" x14ac:dyDescent="0.25">
      <c r="B119" s="15">
        <v>40</v>
      </c>
      <c r="C119" s="15">
        <f>INDEX('Albopictus Mortality'!$A$4:$AP$4,1,SUMPRODUCT(--('Albopictus Mortality'!$B$6:$AP$26=$B119)*(COLUMN('Albopictus Mortality'!$B$6:$AP$26))))</f>
        <v>36</v>
      </c>
      <c r="D119" s="16"/>
      <c r="E119" s="15">
        <v>40</v>
      </c>
      <c r="F119" s="15">
        <f>INDEX('Albopictus Mortality'!$A$4:$AP$4,1,SUMPRODUCT(--($C$57:$AP$73=$E119)*(COLUMN($C$57:$AP$73))))</f>
        <v>17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2"/>
      <c r="AR119" s="12"/>
      <c r="AS119" s="12"/>
      <c r="AT119" s="12"/>
    </row>
    <row r="120" spans="2:46" ht="15.75" x14ac:dyDescent="0.25">
      <c r="B120" s="16">
        <v>41</v>
      </c>
      <c r="C120" s="15">
        <f>INDEX('Albopictus Mortality'!$A$4:$AP$4,1,SUMPRODUCT(--('Albopictus Mortality'!$B$6:$AP$26=$B120)*(COLUMN('Albopictus Mortality'!$B$6:$AP$26))))</f>
        <v>21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0"/>
      <c r="AR120" s="10"/>
      <c r="AS120" s="10"/>
      <c r="AT120" s="10"/>
    </row>
    <row r="121" spans="2:46" ht="15.75" x14ac:dyDescent="0.25">
      <c r="B121" s="15">
        <v>42</v>
      </c>
      <c r="C121" s="15">
        <f>INDEX('Albopictus Mortality'!$A$4:$AP$4,1,SUMPRODUCT(--('Albopictus Mortality'!$B$6:$AP$26=$B121)*(COLUMN('Albopictus Mortality'!$B$6:$AP$26))))</f>
        <v>24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2"/>
      <c r="AR121" s="12"/>
      <c r="AS121" s="12"/>
      <c r="AT121" s="12"/>
    </row>
    <row r="122" spans="2:46" ht="15.75" x14ac:dyDescent="0.25">
      <c r="B122" s="15">
        <v>43</v>
      </c>
      <c r="C122" s="15">
        <f>INDEX('Albopictus Mortality'!$A$4:$AP$4,1,SUMPRODUCT(--('Albopictus Mortality'!$B$6:$AP$26=$B122)*(COLUMN('Albopictus Mortality'!$B$6:$AP$26))))</f>
        <v>25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0"/>
      <c r="AR122" s="10"/>
      <c r="AS122" s="10"/>
      <c r="AT122" s="10"/>
    </row>
    <row r="123" spans="2:46" ht="15.75" x14ac:dyDescent="0.25">
      <c r="B123" s="16">
        <v>44</v>
      </c>
      <c r="C123" s="15">
        <f>INDEX('Albopictus Mortality'!$A$4:$AP$4,1,SUMPRODUCT(--('Albopictus Mortality'!$B$6:$AP$26=$B123)*(COLUMN('Albopictus Mortality'!$B$6:$AP$26))))</f>
        <v>22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2"/>
      <c r="AR123" s="12"/>
      <c r="AS123" s="12"/>
      <c r="AT123" s="12"/>
    </row>
    <row r="124" spans="2:46" ht="15.75" x14ac:dyDescent="0.25">
      <c r="B124" s="15">
        <v>45</v>
      </c>
      <c r="C124" s="15">
        <f>INDEX('Albopictus Mortality'!$A$4:$AP$4,1,SUMPRODUCT(--('Albopictus Mortality'!$B$6:$AP$26=$B124)*(COLUMN('Albopictus Mortality'!$B$6:$AP$26))))</f>
        <v>14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0"/>
      <c r="AR124" s="10"/>
      <c r="AS124" s="10"/>
      <c r="AT124" s="10"/>
    </row>
    <row r="125" spans="2:46" ht="15.75" x14ac:dyDescent="0.25">
      <c r="B125" s="15">
        <v>46</v>
      </c>
      <c r="C125" s="15">
        <f>INDEX('Albopictus Mortality'!$A$4:$AP$4,1,SUMPRODUCT(--('Albopictus Mortality'!$B$6:$AP$26=$B125)*(COLUMN('Albopictus Mortality'!$B$6:$AP$26))))</f>
        <v>15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2"/>
      <c r="AR125" s="12"/>
      <c r="AS125" s="12"/>
      <c r="AT125" s="12"/>
    </row>
    <row r="126" spans="2:46" ht="15.75" x14ac:dyDescent="0.25">
      <c r="B126" s="16">
        <v>47</v>
      </c>
      <c r="C126" s="15">
        <f>INDEX('Albopictus Mortality'!$A$4:$AP$4,1,SUMPRODUCT(--('Albopictus Mortality'!$B$6:$AP$26=$B126)*(COLUMN('Albopictus Mortality'!$B$6:$AP$26))))</f>
        <v>28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0"/>
      <c r="AR126" s="10"/>
      <c r="AS126" s="10"/>
      <c r="AT126" s="10"/>
    </row>
    <row r="127" spans="2:46" ht="15.75" x14ac:dyDescent="0.25">
      <c r="B127" s="15">
        <v>48</v>
      </c>
      <c r="C127" s="15">
        <f>INDEX('Albopictus Mortality'!$A$4:$AP$4,1,SUMPRODUCT(--('Albopictus Mortality'!$B$6:$AP$26=$B127)*(COLUMN('Albopictus Mortality'!$B$6:$AP$26))))</f>
        <v>11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2"/>
      <c r="AR127" s="12"/>
      <c r="AS127" s="12"/>
      <c r="AT127" s="12"/>
    </row>
    <row r="128" spans="2:46" ht="15.75" x14ac:dyDescent="0.25">
      <c r="B128" s="15">
        <v>49</v>
      </c>
      <c r="C128" s="15">
        <f>INDEX('Albopictus Mortality'!$A$4:$AP$4,1,SUMPRODUCT(--('Albopictus Mortality'!$B$6:$AP$26=$B128)*(COLUMN('Albopictus Mortality'!$B$6:$AP$26))))</f>
        <v>32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0"/>
      <c r="AR128" s="10"/>
      <c r="AS128" s="10"/>
      <c r="AT128" s="10"/>
    </row>
    <row r="129" spans="2:46" ht="15.75" x14ac:dyDescent="0.25">
      <c r="B129" s="16">
        <v>50</v>
      </c>
      <c r="C129" s="15">
        <f>INDEX('Albopictus Mortality'!$A$4:$AP$4,1,SUMPRODUCT(--('Albopictus Mortality'!$B$6:$AP$26=$B129)*(COLUMN('Albopictus Mortality'!$B$6:$AP$26))))</f>
        <v>36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2"/>
      <c r="AR129" s="12"/>
      <c r="AS129" s="12"/>
      <c r="AT129" s="12"/>
    </row>
    <row r="130" spans="2:46" ht="15.75" x14ac:dyDescent="0.25">
      <c r="B130" s="15">
        <v>51</v>
      </c>
      <c r="C130" s="15">
        <f>INDEX('Albopictus Mortality'!$A$4:$AP$4,1,SUMPRODUCT(--('Albopictus Mortality'!$B$6:$AP$26=$B130)*(COLUMN('Albopictus Mortality'!$B$6:$AP$26))))</f>
        <v>9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0"/>
      <c r="AR130" s="10"/>
      <c r="AS130" s="10"/>
      <c r="AT130" s="10"/>
    </row>
    <row r="131" spans="2:46" ht="15.75" x14ac:dyDescent="0.25">
      <c r="B131" s="15">
        <v>52</v>
      </c>
      <c r="C131" s="15">
        <f>INDEX('Albopictus Mortality'!$A$4:$AP$4,1,SUMPRODUCT(--('Albopictus Mortality'!$B$6:$AP$26=$B131)*(COLUMN('Albopictus Mortality'!$B$6:$AP$26))))</f>
        <v>16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2"/>
      <c r="AR131" s="12"/>
      <c r="AS131" s="12"/>
      <c r="AT131" s="12"/>
    </row>
    <row r="132" spans="2:46" ht="15.75" x14ac:dyDescent="0.25">
      <c r="B132" s="16">
        <v>53</v>
      </c>
      <c r="C132" s="15">
        <f>INDEX('Albopictus Mortality'!$A$4:$AP$4,1,SUMPRODUCT(--('Albopictus Mortality'!$B$6:$AP$26=$B132)*(COLUMN('Albopictus Mortality'!$B$6:$AP$26))))</f>
        <v>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0"/>
      <c r="AR132" s="10"/>
      <c r="AS132" s="10"/>
      <c r="AT132" s="10"/>
    </row>
    <row r="133" spans="2:46" ht="15.75" x14ac:dyDescent="0.25">
      <c r="B133" s="15">
        <v>54</v>
      </c>
      <c r="C133" s="15">
        <f>INDEX('Albopictus Mortality'!$A$4:$AP$4,1,SUMPRODUCT(--('Albopictus Mortality'!$B$6:$AP$26=$B133)*(COLUMN('Albopictus Mortality'!$B$6:$AP$26))))</f>
        <v>21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2"/>
      <c r="AR133" s="12"/>
      <c r="AS133" s="12"/>
      <c r="AT133" s="12"/>
    </row>
    <row r="134" spans="2:46" ht="15.75" x14ac:dyDescent="0.25">
      <c r="B134" s="15">
        <v>55</v>
      </c>
      <c r="C134" s="15">
        <f>INDEX('Albopictus Mortality'!$A$4:$AP$4,1,SUMPRODUCT(--('Albopictus Mortality'!$B$6:$AP$26=$B134)*(COLUMN('Albopictus Mortality'!$B$6:$AP$26))))</f>
        <v>17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0"/>
      <c r="AR134" s="10"/>
      <c r="AS134" s="10"/>
      <c r="AT134" s="10"/>
    </row>
    <row r="135" spans="2:46" ht="15.75" x14ac:dyDescent="0.25">
      <c r="B135" s="16">
        <v>56</v>
      </c>
      <c r="C135" s="15">
        <f>INDEX('Albopictus Mortality'!$A$4:$AP$4,1,SUMPRODUCT(--('Albopictus Mortality'!$B$6:$AP$26=$B135)*(COLUMN('Albopictus Mortality'!$B$6:$AP$26))))</f>
        <v>24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2"/>
      <c r="AR135" s="12"/>
      <c r="AS135" s="12"/>
      <c r="AT135" s="12"/>
    </row>
    <row r="136" spans="2:46" ht="15.75" x14ac:dyDescent="0.25">
      <c r="B136" s="15">
        <v>57</v>
      </c>
      <c r="C136" s="15">
        <f>INDEX('Albopictus Mortality'!$A$4:$AP$4,1,SUMPRODUCT(--('Albopictus Mortality'!$B$6:$AP$26=$B136)*(COLUMN('Albopictus Mortality'!$B$6:$AP$26))))</f>
        <v>38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0"/>
      <c r="AR136" s="10"/>
      <c r="AS136" s="10"/>
      <c r="AT136" s="10"/>
    </row>
    <row r="137" spans="2:46" ht="15.75" x14ac:dyDescent="0.25">
      <c r="B137" s="15">
        <v>58</v>
      </c>
      <c r="C137" s="15">
        <f>INDEX('Albopictus Mortality'!$A$4:$AP$4,1,SUMPRODUCT(--('Albopictus Mortality'!$B$6:$AP$26=$B137)*(COLUMN('Albopictus Mortality'!$B$6:$AP$26))))</f>
        <v>18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2"/>
      <c r="AR137" s="12"/>
      <c r="AS137" s="12"/>
      <c r="AT137" s="12"/>
    </row>
    <row r="138" spans="2:46" ht="15.75" x14ac:dyDescent="0.25">
      <c r="B138" s="16">
        <v>59</v>
      </c>
      <c r="C138" s="15">
        <f>INDEX('Albopictus Mortality'!$A$4:$AP$4,1,SUMPRODUCT(--('Albopictus Mortality'!$B$6:$AP$26=$B138)*(COLUMN('Albopictus Mortality'!$B$6:$AP$26))))</f>
        <v>18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0"/>
      <c r="AR138" s="10"/>
      <c r="AS138" s="10"/>
      <c r="AT138" s="10"/>
    </row>
    <row r="139" spans="2:46" ht="15.75" x14ac:dyDescent="0.25">
      <c r="B139" s="15">
        <v>60</v>
      </c>
      <c r="C139" s="15">
        <f>INDEX('Albopictus Mortality'!$A$4:$AP$4,1,SUMPRODUCT(--('Albopictus Mortality'!$B$6:$AP$26=$B139)*(COLUMN('Albopictus Mortality'!$B$6:$AP$26))))</f>
        <v>17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2"/>
      <c r="AR139" s="12"/>
      <c r="AS139" s="12"/>
      <c r="AT139" s="12"/>
    </row>
    <row r="140" spans="2:46" ht="15.75" x14ac:dyDescent="0.25">
      <c r="B140" s="15">
        <v>81</v>
      </c>
      <c r="C140" s="15">
        <f>INDEX('Albopictus Mortality'!$A$4:$AP$4,1,SUMPRODUCT(--('Albopictus Mortality'!$B$6:$AP$26=$B140)*(COLUMN('Albopictus Mortality'!$B$6:$AP$26))))</f>
        <v>3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0"/>
      <c r="AR140" s="10"/>
      <c r="AS140" s="10"/>
      <c r="AT140" s="10"/>
    </row>
    <row r="141" spans="2:46" ht="15.75" x14ac:dyDescent="0.25">
      <c r="B141" s="15">
        <v>82</v>
      </c>
      <c r="C141" s="15">
        <f>INDEX('Albopictus Mortality'!$A$4:$AP$4,1,SUMPRODUCT(--('Albopictus Mortality'!$B$6:$AP$26=$B141)*(COLUMN('Albopictus Mortality'!$B$6:$AP$26))))</f>
        <v>28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2"/>
      <c r="AR141" s="12"/>
      <c r="AS141" s="12"/>
      <c r="AT141" s="12"/>
    </row>
    <row r="142" spans="2:46" ht="15.75" x14ac:dyDescent="0.25">
      <c r="B142" s="16">
        <v>83</v>
      </c>
      <c r="C142" s="15">
        <f>INDEX('Albopictus Mortality'!$A$4:$AP$4,1,SUMPRODUCT(--('Albopictus Mortality'!$B$6:$AP$26=$B142)*(COLUMN('Albopictus Mortality'!$B$6:$AP$26))))</f>
        <v>14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0"/>
      <c r="AR142" s="10"/>
      <c r="AS142" s="10"/>
      <c r="AT142" s="10"/>
    </row>
    <row r="143" spans="2:46" ht="15.75" x14ac:dyDescent="0.25">
      <c r="B143" s="15">
        <v>84</v>
      </c>
      <c r="C143" s="15">
        <f>INDEX('Albopictus Mortality'!$A$4:$AP$4,1,SUMPRODUCT(--('Albopictus Mortality'!$B$6:$AP$26=$B143)*(COLUMN('Albopictus Mortality'!$B$6:$AP$26))))</f>
        <v>21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2"/>
      <c r="AR143" s="12"/>
      <c r="AS143" s="12"/>
      <c r="AT143" s="12"/>
    </row>
    <row r="144" spans="2:46" ht="15.75" x14ac:dyDescent="0.25">
      <c r="B144" s="15">
        <v>85</v>
      </c>
      <c r="C144" s="15">
        <f>INDEX('Albopictus Mortality'!$A$4:$AP$4,1,SUMPRODUCT(--('Albopictus Mortality'!$B$6:$AP$26=$B144)*(COLUMN('Albopictus Mortality'!$B$6:$AP$26))))</f>
        <v>18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0"/>
      <c r="AR144" s="10"/>
      <c r="AS144" s="10"/>
      <c r="AT144" s="10"/>
    </row>
    <row r="145" spans="2:46" ht="15.75" x14ac:dyDescent="0.25">
      <c r="B145" s="16">
        <v>86</v>
      </c>
      <c r="C145" s="15">
        <f>INDEX('Albopictus Mortality'!$A$4:$AP$4,1,SUMPRODUCT(--('Albopictus Mortality'!$B$6:$AP$26=$B145)*(COLUMN('Albopictus Mortality'!$B$6:$AP$26))))</f>
        <v>21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2"/>
      <c r="AR145" s="12"/>
      <c r="AS145" s="12"/>
      <c r="AT145" s="12"/>
    </row>
    <row r="146" spans="2:46" ht="15.75" x14ac:dyDescent="0.25">
      <c r="B146" s="15">
        <v>87</v>
      </c>
      <c r="C146" s="15">
        <f>INDEX('Albopictus Mortality'!$A$4:$AP$4,1,SUMPRODUCT(--('Albopictus Mortality'!$B$6:$AP$26=$B146)*(COLUMN('Albopictus Mortality'!$B$6:$AP$26))))</f>
        <v>3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0"/>
      <c r="AR146" s="10"/>
      <c r="AS146" s="10"/>
      <c r="AT146" s="10"/>
    </row>
    <row r="147" spans="2:46" ht="15.75" x14ac:dyDescent="0.25">
      <c r="B147" s="15">
        <v>88</v>
      </c>
      <c r="C147" s="15">
        <f>INDEX('Albopictus Mortality'!$A$4:$AP$4,1,SUMPRODUCT(--('Albopictus Mortality'!$B$6:$AP$26=$B147)*(COLUMN('Albopictus Mortality'!$B$6:$AP$26))))</f>
        <v>24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2"/>
      <c r="AR147" s="12"/>
      <c r="AS147" s="12"/>
      <c r="AT147" s="12"/>
    </row>
    <row r="148" spans="2:46" ht="15.75" x14ac:dyDescent="0.25">
      <c r="B148" s="16">
        <v>89</v>
      </c>
      <c r="C148" s="15">
        <f>INDEX('Albopictus Mortality'!$A$4:$AP$4,1,SUMPRODUCT(--('Albopictus Mortality'!$B$6:$AP$26=$B148)*(COLUMN('Albopictus Mortality'!$B$6:$AP$26))))</f>
        <v>9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0"/>
      <c r="AR148" s="10"/>
      <c r="AS148" s="10"/>
      <c r="AT148" s="10"/>
    </row>
    <row r="149" spans="2:46" ht="15.75" x14ac:dyDescent="0.25">
      <c r="B149" s="15">
        <v>90</v>
      </c>
      <c r="C149" s="15">
        <f>INDEX('Albopictus Mortality'!$A$4:$AP$4,1,SUMPRODUCT(--('Albopictus Mortality'!$B$6:$AP$26=$B149)*(COLUMN('Albopictus Mortality'!$B$6:$AP$26))))</f>
        <v>21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2"/>
      <c r="AR149" s="12"/>
      <c r="AS149" s="12"/>
      <c r="AT149" s="12"/>
    </row>
    <row r="150" spans="2:46" ht="15.75" x14ac:dyDescent="0.25">
      <c r="B150" s="15">
        <v>91</v>
      </c>
      <c r="C150" s="15">
        <f>INDEX('Albopictus Mortality'!$A$4:$AP$4,1,SUMPRODUCT(--('Albopictus Mortality'!$B$6:$AP$26=$B150)*(COLUMN('Albopictus Mortality'!$B$6:$AP$26))))</f>
        <v>17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0"/>
      <c r="AR150" s="10"/>
      <c r="AS150" s="10"/>
      <c r="AT150" s="10"/>
    </row>
    <row r="151" spans="2:46" ht="15.75" x14ac:dyDescent="0.25">
      <c r="B151" s="16">
        <v>92</v>
      </c>
      <c r="C151" s="15">
        <f>INDEX('Albopictus Mortality'!$A$4:$AP$4,1,SUMPRODUCT(--('Albopictus Mortality'!$B$6:$AP$26=$B151)*(COLUMN('Albopictus Mortality'!$B$6:$AP$26))))</f>
        <v>11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2"/>
      <c r="AR151" s="12"/>
      <c r="AS151" s="12"/>
      <c r="AT151" s="12"/>
    </row>
    <row r="152" spans="2:46" ht="15.75" x14ac:dyDescent="0.25">
      <c r="B152" s="15">
        <v>93</v>
      </c>
      <c r="C152" s="15">
        <f>INDEX('Albopictus Mortality'!$A$4:$AP$4,1,SUMPRODUCT(--('Albopictus Mortality'!$B$6:$AP$26=$B152)*(COLUMN('Albopictus Mortality'!$B$6:$AP$26))))</f>
        <v>28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0"/>
      <c r="AR152" s="10"/>
      <c r="AS152" s="10"/>
      <c r="AT152" s="10"/>
    </row>
    <row r="153" spans="2:46" ht="15.75" x14ac:dyDescent="0.25">
      <c r="B153" s="15">
        <v>94</v>
      </c>
      <c r="C153" s="15">
        <f>INDEX('Albopictus Mortality'!$A$4:$AP$4,1,SUMPRODUCT(--('Albopictus Mortality'!$B$6:$AP$26=$B153)*(COLUMN('Albopictus Mortality'!$B$6:$AP$26))))</f>
        <v>22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2"/>
      <c r="AR153" s="12"/>
      <c r="AS153" s="12"/>
      <c r="AT153" s="12"/>
    </row>
    <row r="154" spans="2:46" ht="15.75" x14ac:dyDescent="0.25">
      <c r="B154" s="16">
        <v>95</v>
      </c>
      <c r="C154" s="15">
        <f>INDEX('Albopictus Mortality'!$A$4:$AP$4,1,SUMPRODUCT(--('Albopictus Mortality'!$B$6:$AP$26=$B154)*(COLUMN('Albopictus Mortality'!$B$6:$AP$26))))</f>
        <v>14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0"/>
    </row>
    <row r="155" spans="2:46" ht="15.75" x14ac:dyDescent="0.25">
      <c r="B155" s="15">
        <v>96</v>
      </c>
      <c r="C155" s="15">
        <f>INDEX('Albopictus Mortality'!$A$4:$AP$4,1,SUMPRODUCT(--('Albopictus Mortality'!$B$6:$AP$26=$B155)*(COLUMN('Albopictus Mortality'!$B$6:$AP$26))))</f>
        <v>7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2"/>
    </row>
    <row r="156" spans="2:46" ht="15.75" x14ac:dyDescent="0.25">
      <c r="B156" s="15">
        <v>97</v>
      </c>
      <c r="C156" s="15">
        <f>INDEX('Albopictus Mortality'!$A$4:$AP$4,1,SUMPRODUCT(--('Albopictus Mortality'!$B$6:$AP$26=$B156)*(COLUMN('Albopictus Mortality'!$B$6:$AP$26))))</f>
        <v>14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0"/>
    </row>
    <row r="157" spans="2:46" ht="15.75" x14ac:dyDescent="0.25">
      <c r="B157" s="16">
        <v>98</v>
      </c>
      <c r="C157" s="15">
        <f>INDEX('Albopictus Mortality'!$A$4:$AP$4,1,SUMPRODUCT(--('Albopictus Mortality'!$B$6:$AP$26=$B157)*(COLUMN('Albopictus Mortality'!$B$6:$AP$26))))</f>
        <v>18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2"/>
    </row>
    <row r="158" spans="2:46" ht="15.75" x14ac:dyDescent="0.25">
      <c r="B158" s="15">
        <v>99</v>
      </c>
      <c r="C158" s="15">
        <f>INDEX('Albopictus Mortality'!$A$4:$AP$4,1,SUMPRODUCT(--('Albopictus Mortality'!$B$6:$AP$26=$B158)*(COLUMN('Albopictus Mortality'!$B$6:$AP$26))))</f>
        <v>14</v>
      </c>
    </row>
    <row r="159" spans="2:46" ht="15.75" x14ac:dyDescent="0.25">
      <c r="B159" s="15">
        <v>100</v>
      </c>
      <c r="C159" s="15">
        <f>INDEX('Albopictus Mortality'!$A$4:$AP$4,1,SUMPRODUCT(--('Albopictus Mortality'!$B$6:$AP$26=$B159)*(COLUMN('Albopictus Mortality'!$B$6:$AP$26))))</f>
        <v>17</v>
      </c>
    </row>
    <row r="160" spans="2:46" ht="15.75" x14ac:dyDescent="0.25">
      <c r="B160" s="16">
        <v>101</v>
      </c>
      <c r="C160" s="15">
        <f>INDEX('Albopictus Mortality'!$A$4:$AP$4,1,SUMPRODUCT(--('Albopictus Mortality'!$B$6:$AP$26=$B160)*(COLUMN('Albopictus Mortality'!$B$6:$AP$26))))</f>
        <v>14</v>
      </c>
    </row>
    <row r="161" spans="2:3" ht="15.75" x14ac:dyDescent="0.25">
      <c r="B161" s="15">
        <v>102</v>
      </c>
      <c r="C161" s="15">
        <f>INDEX('Albopictus Mortality'!$A$4:$AP$4,1,SUMPRODUCT(--('Albopictus Mortality'!$B$6:$AP$26=$B161)*(COLUMN('Albopictus Mortality'!$B$6:$AP$26))))</f>
        <v>15</v>
      </c>
    </row>
    <row r="162" spans="2:3" ht="15.75" x14ac:dyDescent="0.25">
      <c r="B162" s="15">
        <v>103</v>
      </c>
      <c r="C162" s="15">
        <f>INDEX('Albopictus Mortality'!$A$4:$AP$4,1,SUMPRODUCT(--('Albopictus Mortality'!$B$6:$AP$26=$B162)*(COLUMN('Albopictus Mortality'!$B$6:$AP$26))))</f>
        <v>17</v>
      </c>
    </row>
    <row r="163" spans="2:3" ht="15.75" x14ac:dyDescent="0.25">
      <c r="B163" s="16">
        <v>104</v>
      </c>
      <c r="C163" s="15">
        <f>INDEX('Albopictus Mortality'!$A$4:$AP$4,1,SUMPRODUCT(--('Albopictus Mortality'!$B$6:$AP$26=$B163)*(COLUMN('Albopictus Mortality'!$B$6:$AP$26))))</f>
        <v>28</v>
      </c>
    </row>
    <row r="164" spans="2:3" ht="15.75" x14ac:dyDescent="0.25">
      <c r="B164" s="15">
        <v>105</v>
      </c>
      <c r="C164" s="15">
        <f>INDEX('Albopictus Mortality'!$A$4:$AP$4,1,SUMPRODUCT(--('Albopictus Mortality'!$B$6:$AP$26=$B164)*(COLUMN('Albopictus Mortality'!$B$6:$AP$26))))</f>
        <v>1</v>
      </c>
    </row>
    <row r="165" spans="2:3" ht="15.75" x14ac:dyDescent="0.25">
      <c r="B165" s="15">
        <v>106</v>
      </c>
      <c r="C165" s="15">
        <f>INDEX('Albopictus Mortality'!$A$4:$AP$4,1,SUMPRODUCT(--('Albopictus Mortality'!$B$6:$AP$26=$B165)*(COLUMN('Albopictus Mortality'!$B$6:$AP$26))))</f>
        <v>2</v>
      </c>
    </row>
    <row r="166" spans="2:3" ht="15.75" x14ac:dyDescent="0.25">
      <c r="B166" s="16">
        <v>107</v>
      </c>
      <c r="C166" s="15">
        <f>INDEX('Albopictus Mortality'!$A$4:$AP$4,1,SUMPRODUCT(--('Albopictus Mortality'!$B$6:$AP$26=$B166)*(COLUMN('Albopictus Mortality'!$B$6:$AP$26))))</f>
        <v>4</v>
      </c>
    </row>
    <row r="167" spans="2:3" ht="15.75" x14ac:dyDescent="0.25">
      <c r="B167" s="15">
        <v>108</v>
      </c>
      <c r="C167" s="15">
        <f>INDEX('Albopictus Mortality'!$A$4:$AP$4,1,SUMPRODUCT(--('Albopictus Mortality'!$B$6:$AP$26=$B167)*(COLUMN('Albopictus Mortality'!$B$6:$AP$26))))</f>
        <v>29</v>
      </c>
    </row>
    <row r="168" spans="2:3" ht="15.75" x14ac:dyDescent="0.25">
      <c r="B168" s="15">
        <v>109</v>
      </c>
      <c r="C168" s="15">
        <f>INDEX('Albopictus Mortality'!$A$4:$AP$4,1,SUMPRODUCT(--('Albopictus Mortality'!$B$6:$AP$26=$B168)*(COLUMN('Albopictus Mortality'!$B$6:$AP$26))))</f>
        <v>21</v>
      </c>
    </row>
    <row r="169" spans="2:3" ht="15.75" x14ac:dyDescent="0.25">
      <c r="B169" s="16">
        <v>110</v>
      </c>
      <c r="C169" s="15">
        <f>INDEX('Albopictus Mortality'!$A$4:$AP$4,1,SUMPRODUCT(--('Albopictus Mortality'!$B$6:$AP$26=$B169)*(COLUMN('Albopictus Mortality'!$B$6:$AP$26))))</f>
        <v>2</v>
      </c>
    </row>
    <row r="170" spans="2:3" ht="15.75" x14ac:dyDescent="0.25">
      <c r="B170" s="15">
        <v>111</v>
      </c>
      <c r="C170" s="15">
        <f>INDEX('Albopictus Mortality'!$A$4:$AP$4,1,SUMPRODUCT(--('Albopictus Mortality'!$B$6:$AP$26=$B170)*(COLUMN('Albopictus Mortality'!$B$6:$AP$26))))</f>
        <v>21</v>
      </c>
    </row>
    <row r="171" spans="2:3" ht="15.75" x14ac:dyDescent="0.25">
      <c r="B171" s="15">
        <v>112</v>
      </c>
      <c r="C171" s="15">
        <f>INDEX('Albopictus Mortality'!$A$4:$AP$4,1,SUMPRODUCT(--('Albopictus Mortality'!$B$6:$AP$26=$B171)*(COLUMN('Albopictus Mortality'!$B$6:$AP$26))))</f>
        <v>28</v>
      </c>
    </row>
    <row r="172" spans="2:3" ht="15.75" x14ac:dyDescent="0.25">
      <c r="B172" s="16">
        <v>113</v>
      </c>
      <c r="C172" s="15">
        <f>INDEX('Albopictus Mortality'!$A$4:$AP$4,1,SUMPRODUCT(--('Albopictus Mortality'!$B$6:$AP$26=$B172)*(COLUMN('Albopictus Mortality'!$B$6:$AP$26))))</f>
        <v>7</v>
      </c>
    </row>
    <row r="173" spans="2:3" ht="15.75" x14ac:dyDescent="0.25">
      <c r="B173" s="15">
        <v>114</v>
      </c>
      <c r="C173" s="15">
        <f>INDEX('Albopictus Mortality'!$A$4:$AP$4,1,SUMPRODUCT(--('Albopictus Mortality'!$B$6:$AP$26=$B173)*(COLUMN('Albopictus Mortality'!$B$6:$AP$26))))</f>
        <v>7</v>
      </c>
    </row>
    <row r="174" spans="2:3" ht="15.75" x14ac:dyDescent="0.25">
      <c r="B174" s="15">
        <v>115</v>
      </c>
      <c r="C174" s="15">
        <f>INDEX('Albopictus Mortality'!$A$4:$AP$4,1,SUMPRODUCT(--('Albopictus Mortality'!$B$6:$AP$26=$B174)*(COLUMN('Albopictus Mortality'!$B$6:$AP$26))))</f>
        <v>7</v>
      </c>
    </row>
    <row r="175" spans="2:3" ht="15.75" x14ac:dyDescent="0.25">
      <c r="B175" s="16">
        <v>116</v>
      </c>
      <c r="C175" s="15">
        <f>INDEX('Albopictus Mortality'!$A$4:$AP$4,1,SUMPRODUCT(--('Albopictus Mortality'!$B$6:$AP$26=$B175)*(COLUMN('Albopictus Mortality'!$B$6:$AP$26))))</f>
        <v>14</v>
      </c>
    </row>
    <row r="176" spans="2:3" ht="15.75" x14ac:dyDescent="0.25">
      <c r="B176" s="15">
        <v>117</v>
      </c>
      <c r="C176" s="15">
        <f>INDEX('Albopictus Mortality'!$A$4:$AP$4,1,SUMPRODUCT(--('Albopictus Mortality'!$B$6:$AP$26=$B176)*(COLUMN('Albopictus Mortality'!$B$6:$AP$26))))</f>
        <v>7</v>
      </c>
    </row>
    <row r="177" spans="2:3" ht="15.75" x14ac:dyDescent="0.25">
      <c r="B177" s="15">
        <v>118</v>
      </c>
      <c r="C177" s="15">
        <f>INDEX('Albopictus Mortality'!$A$4:$AP$4,1,SUMPRODUCT(--('Albopictus Mortality'!$B$6:$AP$26=$B177)*(COLUMN('Albopictus Mortality'!$B$6:$AP$26))))</f>
        <v>1</v>
      </c>
    </row>
    <row r="178" spans="2:3" ht="15.75" x14ac:dyDescent="0.25">
      <c r="B178" s="16">
        <v>119</v>
      </c>
      <c r="C178" s="15">
        <f>INDEX('Albopictus Mortality'!$A$4:$AP$4,1,SUMPRODUCT(--('Albopictus Mortality'!$B$6:$AP$26=$B178)*(COLUMN('Albopictus Mortality'!$B$6:$AP$26))))</f>
        <v>18</v>
      </c>
    </row>
    <row r="179" spans="2:3" ht="15.75" x14ac:dyDescent="0.25">
      <c r="B179" s="15">
        <v>120</v>
      </c>
      <c r="C179" s="15">
        <f>INDEX('Albopictus Mortality'!$A$4:$AP$4,1,SUMPRODUCT(--('Albopictus Mortality'!$B$6:$AP$26=$B179)*(COLUMN('Albopictus Mortality'!$B$6:$AP$26))))</f>
        <v>7</v>
      </c>
    </row>
  </sheetData>
  <sortState ref="BM5:BM46">
    <sortCondition ref="BM4"/>
  </sortState>
  <dataConsolidate/>
  <mergeCells count="12">
    <mergeCell ref="B76:F76"/>
    <mergeCell ref="AS26:AV26"/>
    <mergeCell ref="A28:A31"/>
    <mergeCell ref="A44:A47"/>
    <mergeCell ref="A48:A51"/>
    <mergeCell ref="A40:A43"/>
    <mergeCell ref="N1:U1"/>
    <mergeCell ref="B6:B27"/>
    <mergeCell ref="H2:I2"/>
    <mergeCell ref="A32:A35"/>
    <mergeCell ref="B57:B73"/>
    <mergeCell ref="A36:A39"/>
  </mergeCells>
  <conditionalFormatting sqref="C6:AP27">
    <cfRule type="duplicateValues" dxfId="61" priority="43"/>
  </conditionalFormatting>
  <conditionalFormatting sqref="C57:AP73">
    <cfRule type="duplicateValues" dxfId="60" priority="44"/>
  </conditionalFormatting>
  <pageMargins left="0.7" right="0.7" top="0.75" bottom="0.75" header="0.3" footer="0.3"/>
  <pageSetup orientation="portrait" r:id="rId1"/>
  <ignoredErrors>
    <ignoredError sqref="AO48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0390120-0888-4127-A3F7-1276DDBA45B9}">
            <xm:f>AND(INDEX('Albopictus PCR'!$C$6:$M$202,MATCH(D6,'Albopictus PCR'!$C$5:$C$202,0),6),INDEX('Albopictus PCR'!$C$6:$M$202,MATCH(D6,'Albopictus PCR'!$C$6:$C$202,0),10)=TRUE)</xm:f>
            <x14:dxf>
              <fill>
                <gradientFill type="path" left="1" right="1">
                  <stop position="0">
                    <color rgb="FFFF0000"/>
                  </stop>
                  <stop position="1">
                    <color rgb="FF92D050"/>
                  </stop>
                </gradientFill>
              </fill>
            </x14:dxf>
          </x14:cfRule>
          <x14:cfRule type="expression" priority="2" id="{66F14AEE-A3B7-4222-BC4C-3F32530EFC07}">
            <xm:f>INDEX('Albopictus PCR'!$C$6:$M$202,MATCH(D6,'Albopictus PCR'!$C$6:$C$202,0),6)</xm:f>
            <x14:dxf>
              <fill>
                <patternFill>
                  <bgColor rgb="FF92D050"/>
                </patternFill>
              </fill>
            </x14:dxf>
          </x14:cfRule>
          <xm:sqref>D6:AP26 D26:D27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9"/>
  <sheetViews>
    <sheetView workbookViewId="0"/>
  </sheetViews>
  <sheetFormatPr defaultRowHeight="15" x14ac:dyDescent="0.25"/>
  <cols>
    <col min="1" max="1" width="16.140625" customWidth="1"/>
  </cols>
  <sheetData>
    <row r="1" spans="1:40" ht="36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82" t="s">
        <v>4</v>
      </c>
      <c r="N1" s="383"/>
      <c r="O1" s="383"/>
      <c r="P1" s="383"/>
      <c r="Q1" s="383"/>
      <c r="R1" s="383"/>
      <c r="S1" s="383"/>
      <c r="T1" s="383"/>
      <c r="U1" s="2"/>
      <c r="V1" s="2"/>
      <c r="W1" s="2"/>
      <c r="X1" s="2"/>
      <c r="Y1" s="2"/>
      <c r="Z1" s="2"/>
      <c r="AA1" s="2"/>
      <c r="AB1" s="2"/>
      <c r="AC1" s="3"/>
      <c r="AD1" s="3"/>
      <c r="AE1" s="4"/>
      <c r="AF1" s="2"/>
      <c r="AG1" s="2"/>
    </row>
    <row r="2" spans="1:40" ht="25.5" x14ac:dyDescent="0.25">
      <c r="A2" s="17"/>
      <c r="B2" s="397" t="s">
        <v>2</v>
      </c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5">
        <v>2017</v>
      </c>
    </row>
    <row r="3" spans="1:40" ht="15" customHeight="1" x14ac:dyDescent="0.25">
      <c r="B3" s="17"/>
      <c r="C3" s="13">
        <v>42835</v>
      </c>
      <c r="D3" s="13">
        <v>42836</v>
      </c>
      <c r="E3" s="13">
        <v>42837</v>
      </c>
      <c r="F3" s="155">
        <v>42838</v>
      </c>
      <c r="G3" s="13">
        <v>42839</v>
      </c>
      <c r="H3" s="13">
        <v>42840</v>
      </c>
      <c r="I3" s="13">
        <v>42841</v>
      </c>
      <c r="J3" s="13">
        <v>42842</v>
      </c>
      <c r="K3" s="155">
        <v>42843</v>
      </c>
      <c r="L3" s="13">
        <v>42844</v>
      </c>
      <c r="M3" s="13">
        <v>42845</v>
      </c>
      <c r="N3" s="155">
        <v>42846</v>
      </c>
      <c r="O3" s="13">
        <v>42847</v>
      </c>
      <c r="P3" s="13">
        <v>42848</v>
      </c>
      <c r="Q3" s="13">
        <v>42849</v>
      </c>
      <c r="R3" s="155">
        <v>42850</v>
      </c>
      <c r="S3" s="13">
        <v>42851</v>
      </c>
      <c r="T3" s="13">
        <v>42852</v>
      </c>
      <c r="U3" s="155">
        <v>42853</v>
      </c>
      <c r="V3" s="13">
        <v>42854</v>
      </c>
      <c r="W3" s="13">
        <v>42855</v>
      </c>
      <c r="X3" s="13">
        <v>42856</v>
      </c>
      <c r="Y3" s="155">
        <v>42857</v>
      </c>
      <c r="Z3" s="13">
        <v>42858</v>
      </c>
    </row>
    <row r="4" spans="1:40" ht="15" customHeight="1" x14ac:dyDescent="0.25">
      <c r="B4" s="7" t="s">
        <v>73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40" ht="15" customHeight="1" x14ac:dyDescent="0.25">
      <c r="B5" s="7" t="s">
        <v>49</v>
      </c>
      <c r="C5" s="120">
        <v>0</v>
      </c>
      <c r="D5" s="120">
        <v>1</v>
      </c>
      <c r="E5" s="120">
        <v>2</v>
      </c>
      <c r="F5" s="120">
        <v>3</v>
      </c>
      <c r="G5" s="120">
        <v>4</v>
      </c>
      <c r="H5" s="120">
        <v>5</v>
      </c>
      <c r="I5" s="120">
        <v>6</v>
      </c>
      <c r="J5" s="120">
        <v>7</v>
      </c>
      <c r="K5" s="120">
        <v>8</v>
      </c>
      <c r="L5" s="120">
        <v>9</v>
      </c>
      <c r="M5" s="120">
        <v>10</v>
      </c>
      <c r="N5" s="120">
        <v>11</v>
      </c>
      <c r="O5" s="120">
        <v>12</v>
      </c>
      <c r="P5" s="120">
        <v>13</v>
      </c>
      <c r="Q5" s="120">
        <v>14</v>
      </c>
      <c r="R5" s="120">
        <v>15</v>
      </c>
      <c r="S5" s="120">
        <v>16</v>
      </c>
      <c r="T5" s="120">
        <v>17</v>
      </c>
      <c r="U5" s="120">
        <v>18</v>
      </c>
      <c r="V5" s="120">
        <v>19</v>
      </c>
      <c r="W5" s="120">
        <v>20</v>
      </c>
      <c r="X5" s="120">
        <v>21</v>
      </c>
      <c r="Y5" s="120">
        <v>22</v>
      </c>
      <c r="Z5" s="120">
        <v>23</v>
      </c>
      <c r="AH5" s="395" t="s">
        <v>69</v>
      </c>
      <c r="AI5" s="395"/>
      <c r="AJ5" s="395"/>
      <c r="AN5" t="s">
        <v>18</v>
      </c>
    </row>
    <row r="6" spans="1:40" ht="15.75" x14ac:dyDescent="0.25">
      <c r="B6" s="384" t="s">
        <v>5</v>
      </c>
      <c r="C6" s="15"/>
      <c r="D6" s="15">
        <v>75</v>
      </c>
      <c r="E6" s="15"/>
      <c r="F6" s="15"/>
      <c r="G6" s="15">
        <v>35</v>
      </c>
      <c r="H6" s="15"/>
      <c r="I6" s="15"/>
      <c r="J6" s="15">
        <v>11</v>
      </c>
      <c r="K6" s="15">
        <v>6</v>
      </c>
      <c r="L6" s="15">
        <v>1</v>
      </c>
      <c r="M6" s="15">
        <v>8</v>
      </c>
      <c r="N6" s="15">
        <v>7</v>
      </c>
      <c r="O6" s="15"/>
      <c r="P6" s="15"/>
      <c r="Q6" s="15">
        <v>3</v>
      </c>
      <c r="R6" s="15">
        <v>13</v>
      </c>
      <c r="S6" s="15">
        <v>21</v>
      </c>
      <c r="T6" s="15"/>
      <c r="U6" s="15">
        <v>18</v>
      </c>
      <c r="V6" s="15"/>
      <c r="W6" s="15"/>
      <c r="X6" s="15">
        <v>104</v>
      </c>
      <c r="Y6" s="15">
        <v>2</v>
      </c>
      <c r="Z6" s="15">
        <v>63</v>
      </c>
      <c r="AE6" s="131">
        <v>42838</v>
      </c>
      <c r="AF6" s="131">
        <v>42843</v>
      </c>
      <c r="AG6" s="131">
        <v>42846</v>
      </c>
      <c r="AH6" s="131">
        <v>42850</v>
      </c>
      <c r="AI6" s="131">
        <v>42853</v>
      </c>
      <c r="AJ6" s="131">
        <v>42857</v>
      </c>
      <c r="AK6" s="131">
        <v>42860</v>
      </c>
      <c r="AL6" s="131">
        <v>42864</v>
      </c>
      <c r="AM6" s="131">
        <v>42867</v>
      </c>
      <c r="AN6" s="131">
        <v>42871</v>
      </c>
    </row>
    <row r="7" spans="1:40" ht="15.75" x14ac:dyDescent="0.25">
      <c r="B7" s="384"/>
      <c r="C7" s="15"/>
      <c r="D7" s="15"/>
      <c r="E7" s="15"/>
      <c r="F7" s="15"/>
      <c r="G7" s="15"/>
      <c r="H7" s="15"/>
      <c r="I7" s="15"/>
      <c r="J7" s="15">
        <v>20</v>
      </c>
      <c r="K7" s="15">
        <v>10</v>
      </c>
      <c r="L7" s="15">
        <v>4</v>
      </c>
      <c r="M7" s="15">
        <v>12</v>
      </c>
      <c r="N7" s="15">
        <v>16</v>
      </c>
      <c r="O7" s="15"/>
      <c r="P7" s="15"/>
      <c r="Q7" s="15">
        <v>5</v>
      </c>
      <c r="R7" s="15">
        <v>15</v>
      </c>
      <c r="S7" s="15">
        <v>102</v>
      </c>
      <c r="T7" s="15"/>
      <c r="U7" s="15">
        <v>25</v>
      </c>
      <c r="V7" s="15"/>
      <c r="W7" s="15"/>
      <c r="X7" s="15">
        <v>110</v>
      </c>
      <c r="Y7" s="15">
        <v>61</v>
      </c>
      <c r="Z7" s="15">
        <v>80</v>
      </c>
    </row>
    <row r="8" spans="1:40" ht="15.75" x14ac:dyDescent="0.25">
      <c r="B8" s="384"/>
      <c r="C8" s="15"/>
      <c r="D8" s="15"/>
      <c r="E8" s="15"/>
      <c r="F8" s="15"/>
      <c r="G8" s="15"/>
      <c r="H8" s="15"/>
      <c r="I8" s="15"/>
      <c r="J8" s="15">
        <v>22</v>
      </c>
      <c r="K8" s="15">
        <v>28</v>
      </c>
      <c r="L8" s="15">
        <v>9</v>
      </c>
      <c r="M8" s="15">
        <v>17</v>
      </c>
      <c r="N8" s="15">
        <v>23</v>
      </c>
      <c r="O8" s="15"/>
      <c r="P8" s="15"/>
      <c r="Q8" s="15">
        <v>39</v>
      </c>
      <c r="R8" s="15">
        <v>19</v>
      </c>
      <c r="S8" s="15">
        <v>117</v>
      </c>
      <c r="T8" s="15"/>
      <c r="U8" s="15">
        <v>77</v>
      </c>
      <c r="V8" s="15"/>
      <c r="W8" s="15"/>
      <c r="X8" s="15"/>
      <c r="Y8" s="15">
        <v>64</v>
      </c>
      <c r="Z8" s="15">
        <v>107</v>
      </c>
    </row>
    <row r="9" spans="1:40" ht="15.75" x14ac:dyDescent="0.25">
      <c r="B9" s="384"/>
      <c r="C9" s="15"/>
      <c r="D9" s="15"/>
      <c r="E9" s="15"/>
      <c r="F9" s="15"/>
      <c r="G9" s="15"/>
      <c r="H9" s="15"/>
      <c r="I9" s="15"/>
      <c r="J9" s="15">
        <v>26</v>
      </c>
      <c r="K9" s="15">
        <v>29</v>
      </c>
      <c r="L9" s="15">
        <v>14</v>
      </c>
      <c r="M9" s="15">
        <v>37</v>
      </c>
      <c r="N9" s="15">
        <v>30</v>
      </c>
      <c r="O9" s="15"/>
      <c r="P9" s="15"/>
      <c r="Q9" s="15">
        <v>41</v>
      </c>
      <c r="R9" s="15">
        <v>24</v>
      </c>
      <c r="S9" s="15">
        <v>119</v>
      </c>
      <c r="T9" s="15"/>
      <c r="U9" s="15"/>
      <c r="V9" s="15"/>
      <c r="W9" s="15"/>
      <c r="X9" s="15"/>
      <c r="Y9" s="15">
        <v>83</v>
      </c>
      <c r="Z9" s="15">
        <v>108</v>
      </c>
    </row>
    <row r="10" spans="1:40" ht="15.75" x14ac:dyDescent="0.25">
      <c r="B10" s="384"/>
      <c r="C10" s="15"/>
      <c r="D10" s="15"/>
      <c r="E10" s="15"/>
      <c r="F10" s="15"/>
      <c r="G10" s="15"/>
      <c r="H10" s="15"/>
      <c r="I10" s="15"/>
      <c r="J10" s="15">
        <v>27</v>
      </c>
      <c r="K10" s="15">
        <v>31</v>
      </c>
      <c r="L10" s="15">
        <v>40</v>
      </c>
      <c r="M10" s="15">
        <v>44</v>
      </c>
      <c r="N10" s="15">
        <v>53</v>
      </c>
      <c r="O10" s="15"/>
      <c r="P10" s="15"/>
      <c r="Q10" s="15">
        <v>42</v>
      </c>
      <c r="R10" s="15">
        <v>49</v>
      </c>
      <c r="S10" s="15"/>
      <c r="T10" s="15"/>
      <c r="U10" s="15"/>
      <c r="V10" s="15"/>
      <c r="W10" s="15"/>
      <c r="X10" s="15"/>
      <c r="Y10" s="15"/>
      <c r="Z10" s="15"/>
    </row>
    <row r="11" spans="1:40" ht="15.75" x14ac:dyDescent="0.25">
      <c r="B11" s="384"/>
      <c r="C11" s="15"/>
      <c r="D11" s="15"/>
      <c r="E11" s="15"/>
      <c r="F11" s="15"/>
      <c r="G11" s="15"/>
      <c r="H11" s="15"/>
      <c r="I11" s="15"/>
      <c r="J11" s="15">
        <v>33</v>
      </c>
      <c r="K11" s="15">
        <v>32</v>
      </c>
      <c r="L11" s="15">
        <v>48</v>
      </c>
      <c r="M11" s="15">
        <v>103</v>
      </c>
      <c r="N11" s="15">
        <v>54</v>
      </c>
      <c r="O11" s="15"/>
      <c r="P11" s="15"/>
      <c r="Q11" s="15">
        <v>51</v>
      </c>
      <c r="R11" s="15">
        <v>50</v>
      </c>
      <c r="S11" s="15"/>
      <c r="T11" s="15"/>
      <c r="U11" s="15"/>
      <c r="V11" s="15"/>
      <c r="W11" s="15"/>
      <c r="X11" s="15"/>
      <c r="Y11" s="15"/>
      <c r="Z11" s="15"/>
    </row>
    <row r="12" spans="1:40" ht="15.75" x14ac:dyDescent="0.25">
      <c r="B12" s="384"/>
      <c r="C12" s="15"/>
      <c r="D12" s="15"/>
      <c r="E12" s="15"/>
      <c r="F12" s="15"/>
      <c r="G12" s="15"/>
      <c r="H12" s="15"/>
      <c r="I12" s="15"/>
      <c r="J12" s="15">
        <v>34</v>
      </c>
      <c r="K12" s="15">
        <v>38</v>
      </c>
      <c r="L12" s="15">
        <v>52</v>
      </c>
      <c r="M12" s="15"/>
      <c r="N12" s="15">
        <v>55</v>
      </c>
      <c r="O12" s="15"/>
      <c r="P12" s="15"/>
      <c r="Q12" s="15">
        <v>56</v>
      </c>
      <c r="R12" s="15">
        <v>67</v>
      </c>
      <c r="S12" s="15"/>
      <c r="T12" s="15"/>
      <c r="U12" s="15"/>
      <c r="V12" s="15"/>
      <c r="W12" s="15"/>
      <c r="X12" s="15"/>
      <c r="Y12" s="15"/>
      <c r="Z12" s="15"/>
    </row>
    <row r="13" spans="1:40" ht="15.75" x14ac:dyDescent="0.25">
      <c r="B13" s="384"/>
      <c r="C13" s="15"/>
      <c r="D13" s="15"/>
      <c r="E13" s="15"/>
      <c r="F13" s="15"/>
      <c r="G13" s="15"/>
      <c r="H13" s="15"/>
      <c r="I13" s="15"/>
      <c r="J13" s="15">
        <v>36</v>
      </c>
      <c r="K13" s="15">
        <v>47</v>
      </c>
      <c r="L13" s="15">
        <v>65</v>
      </c>
      <c r="M13" s="15"/>
      <c r="N13" s="15">
        <v>60</v>
      </c>
      <c r="O13" s="15"/>
      <c r="P13" s="15"/>
      <c r="Q13" s="15">
        <v>58</v>
      </c>
      <c r="R13" s="15">
        <v>68</v>
      </c>
      <c r="S13" s="15"/>
      <c r="T13" s="15"/>
      <c r="U13" s="15"/>
      <c r="V13" s="15"/>
      <c r="W13" s="15"/>
      <c r="X13" s="15"/>
      <c r="Y13" s="15"/>
      <c r="Z13" s="15"/>
    </row>
    <row r="14" spans="1:40" ht="15.75" x14ac:dyDescent="0.25">
      <c r="B14" s="384"/>
      <c r="C14" s="15"/>
      <c r="D14" s="15"/>
      <c r="E14" s="15"/>
      <c r="F14" s="15"/>
      <c r="G14" s="15"/>
      <c r="H14" s="15"/>
      <c r="I14" s="15"/>
      <c r="J14" s="15">
        <v>43</v>
      </c>
      <c r="K14" s="15">
        <v>57</v>
      </c>
      <c r="L14" s="15">
        <v>76</v>
      </c>
      <c r="M14" s="15"/>
      <c r="N14" s="15">
        <v>70</v>
      </c>
      <c r="O14" s="15"/>
      <c r="P14" s="15"/>
      <c r="Q14" s="15">
        <v>66</v>
      </c>
      <c r="R14" s="15">
        <v>69</v>
      </c>
      <c r="S14" s="15"/>
      <c r="T14" s="15"/>
      <c r="U14" s="15"/>
      <c r="V14" s="15"/>
      <c r="W14" s="15"/>
      <c r="X14" s="15"/>
      <c r="Y14" s="15"/>
      <c r="Z14" s="15"/>
    </row>
    <row r="15" spans="1:40" ht="15.75" x14ac:dyDescent="0.25">
      <c r="B15" s="384"/>
      <c r="C15" s="15"/>
      <c r="D15" s="15"/>
      <c r="E15" s="15"/>
      <c r="F15" s="15"/>
      <c r="G15" s="15"/>
      <c r="H15" s="15"/>
      <c r="I15" s="15"/>
      <c r="J15" s="15">
        <v>45</v>
      </c>
      <c r="K15" s="15">
        <v>73</v>
      </c>
      <c r="L15" s="15">
        <v>85</v>
      </c>
      <c r="M15" s="15"/>
      <c r="N15" s="15">
        <v>95</v>
      </c>
      <c r="O15" s="15"/>
      <c r="P15" s="15"/>
      <c r="Q15" s="15">
        <v>72</v>
      </c>
      <c r="R15" s="15"/>
      <c r="S15" s="15"/>
      <c r="T15" s="15"/>
      <c r="U15" s="15"/>
      <c r="V15" s="15"/>
      <c r="W15" s="15"/>
      <c r="X15" s="15"/>
      <c r="Y15" s="15"/>
      <c r="Z15" s="15"/>
    </row>
    <row r="16" spans="1:40" ht="15.75" x14ac:dyDescent="0.25">
      <c r="B16" s="384"/>
      <c r="C16" s="15"/>
      <c r="D16" s="15"/>
      <c r="E16" s="15"/>
      <c r="F16" s="15"/>
      <c r="G16" s="15"/>
      <c r="H16" s="15"/>
      <c r="I16" s="15"/>
      <c r="J16" s="15">
        <v>46</v>
      </c>
      <c r="K16" s="15">
        <v>74</v>
      </c>
      <c r="L16" s="15">
        <v>90</v>
      </c>
      <c r="M16" s="15"/>
      <c r="N16" s="15">
        <v>120</v>
      </c>
      <c r="O16" s="15"/>
      <c r="P16" s="15"/>
      <c r="Q16" s="15">
        <v>81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1:46" ht="15.75" x14ac:dyDescent="0.25">
      <c r="B17" s="384"/>
      <c r="C17" s="15"/>
      <c r="D17" s="15"/>
      <c r="E17" s="15"/>
      <c r="F17" s="15"/>
      <c r="G17" s="15"/>
      <c r="H17" s="15"/>
      <c r="I17" s="15"/>
      <c r="J17" s="15">
        <v>59</v>
      </c>
      <c r="K17" s="15">
        <v>78</v>
      </c>
      <c r="L17" s="15">
        <v>101</v>
      </c>
      <c r="M17" s="15"/>
      <c r="N17" s="15"/>
      <c r="O17" s="15"/>
      <c r="P17" s="15"/>
      <c r="Q17" s="15">
        <v>87</v>
      </c>
      <c r="R17" s="15"/>
      <c r="S17" s="15"/>
      <c r="T17" s="15"/>
      <c r="U17" s="15"/>
      <c r="V17" s="15"/>
      <c r="W17" s="15"/>
      <c r="X17" s="15"/>
      <c r="Y17" s="15"/>
      <c r="Z17" s="15"/>
    </row>
    <row r="18" spans="1:46" ht="15.75" x14ac:dyDescent="0.25">
      <c r="B18" s="384"/>
      <c r="C18" s="15"/>
      <c r="D18" s="15"/>
      <c r="E18" s="15"/>
      <c r="F18" s="15"/>
      <c r="G18" s="15"/>
      <c r="H18" s="15"/>
      <c r="I18" s="15"/>
      <c r="J18" s="15">
        <v>62</v>
      </c>
      <c r="K18" s="15">
        <v>91</v>
      </c>
      <c r="L18" s="15">
        <v>109</v>
      </c>
      <c r="M18" s="15"/>
      <c r="N18" s="15"/>
      <c r="O18" s="15"/>
      <c r="P18" s="15"/>
      <c r="Q18" s="15">
        <v>89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1:46" ht="15.75" x14ac:dyDescent="0.25">
      <c r="B19" s="384"/>
      <c r="C19" s="15"/>
      <c r="D19" s="15"/>
      <c r="E19" s="15"/>
      <c r="F19" s="15"/>
      <c r="G19" s="15"/>
      <c r="H19" s="15"/>
      <c r="I19" s="15"/>
      <c r="J19" s="15">
        <v>71</v>
      </c>
      <c r="K19" s="15">
        <v>93</v>
      </c>
      <c r="L19" s="15">
        <v>111</v>
      </c>
      <c r="M19" s="15"/>
      <c r="N19" s="15"/>
      <c r="O19" s="15"/>
      <c r="P19" s="15"/>
      <c r="Q19" s="15">
        <v>92</v>
      </c>
      <c r="R19" s="15"/>
      <c r="S19" s="15"/>
      <c r="T19" s="15"/>
      <c r="U19" s="15"/>
      <c r="V19" s="15"/>
      <c r="W19" s="15"/>
      <c r="X19" s="15"/>
      <c r="Y19" s="15"/>
      <c r="Z19" s="15"/>
    </row>
    <row r="20" spans="1:46" ht="15.75" x14ac:dyDescent="0.25">
      <c r="B20" s="384"/>
      <c r="C20" s="15"/>
      <c r="D20" s="15"/>
      <c r="E20" s="15"/>
      <c r="F20" s="15"/>
      <c r="G20" s="15"/>
      <c r="H20" s="15"/>
      <c r="I20" s="15"/>
      <c r="J20" s="15">
        <v>79</v>
      </c>
      <c r="K20" s="15">
        <v>96</v>
      </c>
      <c r="L20" s="15">
        <v>114</v>
      </c>
      <c r="M20" s="15"/>
      <c r="N20" s="15"/>
      <c r="O20" s="15"/>
      <c r="P20" s="15"/>
      <c r="Q20" s="15">
        <v>97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1:46" ht="15.75" x14ac:dyDescent="0.25">
      <c r="B21" s="384"/>
      <c r="C21" s="15"/>
      <c r="D21" s="15"/>
      <c r="E21" s="15"/>
      <c r="F21" s="15"/>
      <c r="G21" s="15"/>
      <c r="H21" s="15"/>
      <c r="I21" s="15"/>
      <c r="J21" s="15">
        <v>82</v>
      </c>
      <c r="K21" s="15">
        <v>98</v>
      </c>
      <c r="L21" s="15">
        <v>115</v>
      </c>
      <c r="M21" s="15"/>
      <c r="N21" s="15"/>
      <c r="O21" s="15"/>
      <c r="P21" s="15"/>
      <c r="Q21" s="15">
        <v>100</v>
      </c>
      <c r="R21" s="15"/>
      <c r="S21" s="15"/>
      <c r="T21" s="15"/>
      <c r="U21" s="15"/>
      <c r="V21" s="15"/>
      <c r="W21" s="15"/>
      <c r="X21" s="15"/>
      <c r="Y21" s="15"/>
      <c r="Z21" s="15"/>
    </row>
    <row r="22" spans="1:46" ht="15.75" x14ac:dyDescent="0.25">
      <c r="B22" s="384"/>
      <c r="C22" s="15"/>
      <c r="D22" s="15"/>
      <c r="E22" s="15"/>
      <c r="F22" s="15"/>
      <c r="G22" s="15"/>
      <c r="H22" s="15"/>
      <c r="I22" s="15"/>
      <c r="J22" s="15">
        <v>84</v>
      </c>
      <c r="K22" s="15">
        <v>105</v>
      </c>
      <c r="L22" s="15"/>
      <c r="M22" s="15"/>
      <c r="N22" s="15"/>
      <c r="O22" s="15"/>
      <c r="P22" s="15"/>
      <c r="Q22" s="15">
        <v>106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1:46" ht="15.75" x14ac:dyDescent="0.25">
      <c r="B23" s="384"/>
      <c r="C23" s="15"/>
      <c r="D23" s="15"/>
      <c r="E23" s="15"/>
      <c r="F23" s="15"/>
      <c r="G23" s="15"/>
      <c r="H23" s="15"/>
      <c r="I23" s="15"/>
      <c r="J23" s="15">
        <v>86</v>
      </c>
      <c r="K23" s="15"/>
      <c r="L23" s="15"/>
      <c r="M23" s="15"/>
      <c r="N23" s="15"/>
      <c r="O23" s="15"/>
      <c r="P23" s="15"/>
      <c r="Q23" s="15">
        <v>112</v>
      </c>
      <c r="R23" s="15"/>
      <c r="S23" s="15"/>
      <c r="T23" s="15"/>
      <c r="U23" s="15"/>
      <c r="V23" s="15"/>
      <c r="W23" s="15"/>
      <c r="X23" s="15"/>
      <c r="Y23" s="15"/>
      <c r="Z23" s="15"/>
    </row>
    <row r="24" spans="1:46" ht="15.75" x14ac:dyDescent="0.25">
      <c r="B24" s="384"/>
      <c r="C24" s="15"/>
      <c r="D24" s="15"/>
      <c r="E24" s="15"/>
      <c r="F24" s="15"/>
      <c r="G24" s="15"/>
      <c r="H24" s="15"/>
      <c r="I24" s="15"/>
      <c r="J24" s="15">
        <v>88</v>
      </c>
      <c r="K24" s="15"/>
      <c r="L24" s="15"/>
      <c r="M24" s="15"/>
      <c r="N24" s="15"/>
      <c r="O24" s="15"/>
      <c r="P24" s="15"/>
      <c r="Q24" s="15">
        <v>116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1:46" ht="15.75" x14ac:dyDescent="0.25">
      <c r="B25" s="384"/>
      <c r="C25" s="15"/>
      <c r="D25" s="15"/>
      <c r="E25" s="15"/>
      <c r="F25" s="15"/>
      <c r="G25" s="15"/>
      <c r="H25" s="15"/>
      <c r="I25" s="15"/>
      <c r="J25" s="15">
        <v>94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46" ht="15.75" x14ac:dyDescent="0.25">
      <c r="B26" s="384"/>
      <c r="C26" s="15"/>
      <c r="D26" s="15"/>
      <c r="E26" s="15"/>
      <c r="F26" s="15"/>
      <c r="G26" s="15"/>
      <c r="H26" s="15"/>
      <c r="I26" s="15"/>
      <c r="J26" s="15">
        <v>99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>
        <f>COUNT(C6:Z28)</f>
        <v>120</v>
      </c>
    </row>
    <row r="27" spans="1:46" ht="15.75" x14ac:dyDescent="0.25">
      <c r="B27" s="384"/>
      <c r="C27" s="15"/>
      <c r="D27" s="15"/>
      <c r="E27" s="15"/>
      <c r="F27" s="15"/>
      <c r="G27" s="15"/>
      <c r="H27" s="15"/>
      <c r="I27" s="15"/>
      <c r="J27" s="15">
        <v>113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46" ht="16.5" thickBot="1" x14ac:dyDescent="0.3">
      <c r="B28" s="398"/>
      <c r="C28" s="15"/>
      <c r="D28" s="15"/>
      <c r="E28" s="15"/>
      <c r="F28" s="15"/>
      <c r="G28" s="15"/>
      <c r="H28" s="15"/>
      <c r="I28" s="15"/>
      <c r="J28" s="15">
        <v>118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t="s">
        <v>72</v>
      </c>
    </row>
    <row r="29" spans="1:46" s="100" customFormat="1" ht="15" customHeight="1" x14ac:dyDescent="0.25">
      <c r="A29" s="385" t="s">
        <v>79</v>
      </c>
      <c r="B29" s="193" t="s">
        <v>82</v>
      </c>
      <c r="C29" s="194">
        <v>0</v>
      </c>
      <c r="D29" s="194">
        <v>0</v>
      </c>
      <c r="E29" s="194">
        <v>0</v>
      </c>
      <c r="F29" s="194">
        <v>0</v>
      </c>
      <c r="G29" s="194">
        <v>0</v>
      </c>
      <c r="H29" s="194">
        <v>0</v>
      </c>
      <c r="I29" s="194">
        <v>0</v>
      </c>
      <c r="J29" s="194">
        <v>5</v>
      </c>
      <c r="K29" s="194">
        <v>4</v>
      </c>
      <c r="L29" s="194">
        <v>2</v>
      </c>
      <c r="M29" s="194">
        <v>1</v>
      </c>
      <c r="N29" s="194">
        <v>3</v>
      </c>
      <c r="O29" s="194">
        <v>0</v>
      </c>
      <c r="P29" s="194">
        <v>0</v>
      </c>
      <c r="Q29" s="194">
        <v>5</v>
      </c>
      <c r="R29" s="194">
        <v>4</v>
      </c>
      <c r="S29" s="194">
        <v>0</v>
      </c>
      <c r="T29" s="194">
        <v>0</v>
      </c>
      <c r="U29" s="194">
        <v>1</v>
      </c>
      <c r="V29" s="194">
        <v>0</v>
      </c>
      <c r="W29" s="194">
        <v>0</v>
      </c>
      <c r="X29" s="194">
        <v>0</v>
      </c>
      <c r="Y29" s="194">
        <v>1</v>
      </c>
      <c r="Z29" s="194"/>
      <c r="AA29" s="194">
        <v>26</v>
      </c>
      <c r="AB29" s="194"/>
      <c r="AC29" s="194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s="43" customFormat="1" x14ac:dyDescent="0.25">
      <c r="A30" s="386"/>
      <c r="B30" s="188" t="s">
        <v>83</v>
      </c>
      <c r="C30" s="135">
        <v>26</v>
      </c>
      <c r="D30" s="135">
        <v>26</v>
      </c>
      <c r="E30" s="135">
        <v>26</v>
      </c>
      <c r="F30" s="135">
        <v>26</v>
      </c>
      <c r="G30" s="135">
        <v>26</v>
      </c>
      <c r="H30" s="135">
        <v>26</v>
      </c>
      <c r="I30" s="135">
        <v>26</v>
      </c>
      <c r="J30" s="135">
        <v>21</v>
      </c>
      <c r="K30" s="135">
        <v>17</v>
      </c>
      <c r="L30" s="135">
        <v>15</v>
      </c>
      <c r="M30" s="135">
        <v>14</v>
      </c>
      <c r="N30" s="135">
        <v>11</v>
      </c>
      <c r="O30" s="135">
        <v>11</v>
      </c>
      <c r="P30" s="135">
        <v>11</v>
      </c>
      <c r="Q30" s="135">
        <v>6</v>
      </c>
      <c r="R30" s="135">
        <v>2</v>
      </c>
      <c r="S30" s="135">
        <v>2</v>
      </c>
      <c r="T30" s="135">
        <v>2</v>
      </c>
      <c r="U30" s="135">
        <v>1</v>
      </c>
      <c r="V30" s="135">
        <v>1</v>
      </c>
      <c r="W30" s="135">
        <v>1</v>
      </c>
      <c r="X30" s="135">
        <v>1</v>
      </c>
      <c r="Y30" s="135">
        <v>0</v>
      </c>
      <c r="Z30" s="135"/>
      <c r="AA30" s="192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s="43" customFormat="1" ht="45" x14ac:dyDescent="0.25">
      <c r="A31" s="386"/>
      <c r="B31" s="190" t="s">
        <v>85</v>
      </c>
      <c r="C31" s="135">
        <v>0</v>
      </c>
      <c r="D31" s="135">
        <v>0</v>
      </c>
      <c r="E31" s="135">
        <v>0</v>
      </c>
      <c r="F31" s="135">
        <v>0</v>
      </c>
      <c r="G31" s="135">
        <v>0</v>
      </c>
      <c r="H31" s="135">
        <v>0</v>
      </c>
      <c r="I31" s="135">
        <v>0</v>
      </c>
      <c r="J31" s="135">
        <v>19.23076923076923</v>
      </c>
      <c r="K31" s="135">
        <v>19.047619047619047</v>
      </c>
      <c r="L31" s="135">
        <v>11.76470588235294</v>
      </c>
      <c r="M31" s="135">
        <v>6.666666666666667</v>
      </c>
      <c r="N31" s="135">
        <v>21.428571428571427</v>
      </c>
      <c r="O31" s="135">
        <v>0</v>
      </c>
      <c r="P31" s="135">
        <v>0</v>
      </c>
      <c r="Q31" s="135">
        <v>45.454545454545453</v>
      </c>
      <c r="R31" s="135">
        <v>66.666666666666671</v>
      </c>
      <c r="S31" s="135">
        <v>0</v>
      </c>
      <c r="T31" s="135">
        <v>0</v>
      </c>
      <c r="U31" s="135">
        <v>50</v>
      </c>
      <c r="V31" s="135">
        <v>0</v>
      </c>
      <c r="W31" s="135">
        <v>0</v>
      </c>
      <c r="X31" s="135">
        <v>0</v>
      </c>
      <c r="Y31" s="135">
        <v>100</v>
      </c>
      <c r="Z31" s="135"/>
      <c r="AA31" s="192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s="43" customFormat="1" ht="30.75" thickBot="1" x14ac:dyDescent="0.3">
      <c r="A32" s="387"/>
      <c r="B32" s="196" t="s">
        <v>86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19.23076923076923</v>
      </c>
      <c r="K32" s="197">
        <v>15.384615384615383</v>
      </c>
      <c r="L32" s="197">
        <v>7.6923076923076916</v>
      </c>
      <c r="M32" s="197">
        <v>3.8461538461538458</v>
      </c>
      <c r="N32" s="197">
        <v>11.538461538461538</v>
      </c>
      <c r="O32" s="197">
        <v>0</v>
      </c>
      <c r="P32" s="197">
        <v>0</v>
      </c>
      <c r="Q32" s="197">
        <v>19.23076923076923</v>
      </c>
      <c r="R32" s="197">
        <v>15.384615384615383</v>
      </c>
      <c r="S32" s="197">
        <v>0</v>
      </c>
      <c r="T32" s="197">
        <v>0</v>
      </c>
      <c r="U32" s="197">
        <v>3.8461538461538458</v>
      </c>
      <c r="V32" s="197">
        <v>0</v>
      </c>
      <c r="W32" s="197">
        <v>0</v>
      </c>
      <c r="X32" s="197">
        <v>0</v>
      </c>
      <c r="Y32" s="197">
        <v>3.8461538461538458</v>
      </c>
      <c r="Z32" s="197"/>
      <c r="AA32" s="192">
        <v>99.999999999999986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s="43" customFormat="1" x14ac:dyDescent="0.25">
      <c r="A33" s="385" t="s">
        <v>54</v>
      </c>
      <c r="B33" s="193" t="s">
        <v>82</v>
      </c>
      <c r="C33" s="194">
        <v>0</v>
      </c>
      <c r="D33" s="194">
        <v>1</v>
      </c>
      <c r="E33" s="194">
        <v>0</v>
      </c>
      <c r="F33" s="194">
        <v>0</v>
      </c>
      <c r="G33" s="194">
        <v>1</v>
      </c>
      <c r="H33" s="194">
        <v>0</v>
      </c>
      <c r="I33" s="194">
        <v>0</v>
      </c>
      <c r="J33" s="194">
        <v>18</v>
      </c>
      <c r="K33" s="194">
        <v>13</v>
      </c>
      <c r="L33" s="194">
        <v>14</v>
      </c>
      <c r="M33" s="194">
        <v>5</v>
      </c>
      <c r="N33" s="194">
        <v>8</v>
      </c>
      <c r="O33" s="194">
        <v>0</v>
      </c>
      <c r="P33" s="194">
        <v>0</v>
      </c>
      <c r="Q33" s="194">
        <v>14</v>
      </c>
      <c r="R33" s="194">
        <v>5</v>
      </c>
      <c r="S33" s="194">
        <v>4</v>
      </c>
      <c r="T33" s="194">
        <v>0</v>
      </c>
      <c r="U33" s="194">
        <v>2</v>
      </c>
      <c r="V33" s="194">
        <v>0</v>
      </c>
      <c r="W33" s="194">
        <v>0</v>
      </c>
      <c r="X33" s="194">
        <v>2</v>
      </c>
      <c r="Y33" s="194">
        <v>3</v>
      </c>
      <c r="Z33" s="194">
        <v>4</v>
      </c>
      <c r="AA33" s="192">
        <v>94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s="43" customFormat="1" x14ac:dyDescent="0.25">
      <c r="A34" s="386"/>
      <c r="B34" s="188" t="s">
        <v>83</v>
      </c>
      <c r="C34" s="135">
        <v>94</v>
      </c>
      <c r="D34" s="135">
        <v>93</v>
      </c>
      <c r="E34" s="135">
        <v>93</v>
      </c>
      <c r="F34" s="135">
        <v>93</v>
      </c>
      <c r="G34" s="135">
        <v>92</v>
      </c>
      <c r="H34" s="135">
        <v>92</v>
      </c>
      <c r="I34" s="135">
        <v>92</v>
      </c>
      <c r="J34" s="135">
        <v>74</v>
      </c>
      <c r="K34" s="135">
        <v>61</v>
      </c>
      <c r="L34" s="135">
        <v>47</v>
      </c>
      <c r="M34" s="135">
        <v>42</v>
      </c>
      <c r="N34" s="135">
        <v>34</v>
      </c>
      <c r="O34" s="135">
        <v>34</v>
      </c>
      <c r="P34" s="135">
        <v>34</v>
      </c>
      <c r="Q34" s="135">
        <v>20</v>
      </c>
      <c r="R34" s="135">
        <v>15</v>
      </c>
      <c r="S34" s="135">
        <v>11</v>
      </c>
      <c r="T34" s="135">
        <v>11</v>
      </c>
      <c r="U34" s="135">
        <v>9</v>
      </c>
      <c r="V34" s="135">
        <v>9</v>
      </c>
      <c r="W34" s="135">
        <v>9</v>
      </c>
      <c r="X34" s="135">
        <v>7</v>
      </c>
      <c r="Y34" s="135">
        <v>4</v>
      </c>
      <c r="Z34" s="135">
        <v>0</v>
      </c>
      <c r="AA34" s="192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s="43" customFormat="1" ht="45" x14ac:dyDescent="0.25">
      <c r="A35" s="386"/>
      <c r="B35" s="190" t="s">
        <v>85</v>
      </c>
      <c r="C35" s="135">
        <v>0</v>
      </c>
      <c r="D35" s="135">
        <v>1.0638297872340425</v>
      </c>
      <c r="E35" s="135">
        <v>0</v>
      </c>
      <c r="F35" s="135">
        <v>0</v>
      </c>
      <c r="G35" s="135">
        <v>1.075268817204301</v>
      </c>
      <c r="H35" s="135">
        <v>0</v>
      </c>
      <c r="I35" s="135">
        <v>0</v>
      </c>
      <c r="J35" s="135">
        <v>19.565217391304348</v>
      </c>
      <c r="K35" s="135">
        <v>17.567567567567568</v>
      </c>
      <c r="L35" s="135">
        <v>22.950819672131146</v>
      </c>
      <c r="M35" s="135">
        <v>10.638297872340425</v>
      </c>
      <c r="N35" s="135">
        <v>19.047619047619047</v>
      </c>
      <c r="O35" s="135">
        <v>0</v>
      </c>
      <c r="P35" s="135">
        <v>0</v>
      </c>
      <c r="Q35" s="135">
        <v>41.17647058823529</v>
      </c>
      <c r="R35" s="135">
        <v>25</v>
      </c>
      <c r="S35" s="135">
        <v>26.666666666666668</v>
      </c>
      <c r="T35" s="135">
        <v>0</v>
      </c>
      <c r="U35" s="135">
        <v>18.181818181818183</v>
      </c>
      <c r="V35" s="135">
        <v>0</v>
      </c>
      <c r="W35" s="135">
        <v>0</v>
      </c>
      <c r="X35" s="135">
        <v>22.222222222222221</v>
      </c>
      <c r="Y35" s="135">
        <v>42.857142857142854</v>
      </c>
      <c r="Z35" s="135">
        <v>100</v>
      </c>
      <c r="AA35" s="192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s="43" customFormat="1" ht="30.75" thickBot="1" x14ac:dyDescent="0.3">
      <c r="A36" s="387"/>
      <c r="B36" s="196" t="s">
        <v>86</v>
      </c>
      <c r="C36" s="198">
        <v>0</v>
      </c>
      <c r="D36" s="197">
        <v>1.0638297872340425</v>
      </c>
      <c r="E36" s="197">
        <v>0</v>
      </c>
      <c r="F36" s="197">
        <v>0</v>
      </c>
      <c r="G36" s="197">
        <v>1.0638297872340425</v>
      </c>
      <c r="H36" s="197">
        <v>0</v>
      </c>
      <c r="I36" s="197">
        <v>0</v>
      </c>
      <c r="J36" s="197">
        <v>19.148936170212767</v>
      </c>
      <c r="K36" s="197">
        <v>13.829787234042554</v>
      </c>
      <c r="L36" s="197">
        <v>14.893617021276597</v>
      </c>
      <c r="M36" s="197">
        <v>5.3191489361702127</v>
      </c>
      <c r="N36" s="197">
        <v>8.5106382978723403</v>
      </c>
      <c r="O36" s="197">
        <v>0</v>
      </c>
      <c r="P36" s="197">
        <v>0</v>
      </c>
      <c r="Q36" s="197">
        <v>14.893617021276597</v>
      </c>
      <c r="R36" s="197">
        <v>5.3191489361702127</v>
      </c>
      <c r="S36" s="197">
        <v>4.2553191489361701</v>
      </c>
      <c r="T36" s="197">
        <v>0</v>
      </c>
      <c r="U36" s="197">
        <v>2.1276595744680851</v>
      </c>
      <c r="V36" s="197">
        <v>0</v>
      </c>
      <c r="W36" s="197">
        <v>0</v>
      </c>
      <c r="X36" s="197">
        <v>2.1276595744680851</v>
      </c>
      <c r="Y36" s="197">
        <v>3.191489361702128</v>
      </c>
      <c r="Z36" s="197">
        <v>4.2553191489361701</v>
      </c>
      <c r="AA36" s="192">
        <v>100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s="43" customFormat="1" x14ac:dyDescent="0.25">
      <c r="A37" s="385" t="s">
        <v>88</v>
      </c>
      <c r="B37" s="193" t="s">
        <v>82</v>
      </c>
      <c r="C37" s="199">
        <v>0</v>
      </c>
      <c r="D37" s="194">
        <f t="array" ref="D37">SUMPRODUCT(IFERROR(--LOOKUP(D$6:D$28,Table3[],Table3[Positive]),""),IFERROR(--NOT(LOOKUP(D$6:D$28,Table3[],Table3[Disseminated])),""))</f>
        <v>1</v>
      </c>
      <c r="E37" s="194">
        <f t="array" ref="E37">SUMPRODUCT(IFERROR(--LOOKUP(E$6:E$28,Table3[],Table3[Positive]),""),IFERROR(--NOT(LOOKUP(E$6:E$28,Table3[],Table3[Disseminated])),""))</f>
        <v>0</v>
      </c>
      <c r="F37" s="194">
        <f t="array" ref="F37">SUMPRODUCT(IFERROR(--LOOKUP(F$6:F$28,Table3[],Table3[Positive]),""),IFERROR(--NOT(LOOKUP(F$6:F$28,Table3[],Table3[Disseminated])),""))</f>
        <v>0</v>
      </c>
      <c r="G37" s="194">
        <f t="array" ref="G37">SUMPRODUCT(IFERROR(--LOOKUP(G$6:G$28,Table3[],Table3[Positive]),""),IFERROR(--NOT(LOOKUP(G$6:G$28,Table3[],Table3[Disseminated])),""))</f>
        <v>1</v>
      </c>
      <c r="H37" s="194">
        <f t="array" ref="H37">SUMPRODUCT(IFERROR(--LOOKUP(H$6:H$28,Table3[],Table3[Positive]),""),IFERROR(--NOT(LOOKUP(H$6:H$28,Table3[],Table3[Disseminated])),""))</f>
        <v>0</v>
      </c>
      <c r="I37" s="194">
        <f t="array" ref="I37">SUMPRODUCT(IFERROR(--LOOKUP(I$6:I$28,Table3[],Table3[Positive]),""),IFERROR(--NOT(LOOKUP(I$6:I$28,Table3[],Table3[Disseminated])),""))</f>
        <v>0</v>
      </c>
      <c r="J37" s="194">
        <f t="array" ref="J37">SUMPRODUCT(IFERROR(--LOOKUP(J$6:J$28,Table3[],Table3[Positive]),""),IFERROR(--NOT(LOOKUP(J$6:J$28,Table3[],Table3[Disseminated])),""))</f>
        <v>6</v>
      </c>
      <c r="K37" s="194">
        <f t="array" ref="K37">SUMPRODUCT(IFERROR(--LOOKUP(K$6:K$28,Table3[],Table3[Positive]),""),IFERROR(--NOT(LOOKUP(K$6:K$28,Table3[],Table3[Disseminated])),""))</f>
        <v>4</v>
      </c>
      <c r="L37" s="194">
        <f t="array" ref="L37">SUMPRODUCT(IFERROR(--LOOKUP(L$6:L$28,Table3[],Table3[Positive]),""),IFERROR(--NOT(LOOKUP(L$6:L$28,Table3[],Table3[Disseminated])),""))</f>
        <v>3</v>
      </c>
      <c r="M37" s="194">
        <f t="array" ref="M37">SUMPRODUCT(IFERROR(--LOOKUP(M$6:M$28,Table3[],Table3[Positive]),""),IFERROR(--NOT(LOOKUP(M$6:M$28,Table3[],Table3[Disseminated])),""))</f>
        <v>3</v>
      </c>
      <c r="N37" s="194">
        <f t="array" ref="N37">SUMPRODUCT(IFERROR(--LOOKUP(N$6:N$28,Table3[],Table3[Positive]),""),IFERROR(--NOT(LOOKUP(N$6:N$28,Table3[],Table3[Disseminated])),""))</f>
        <v>0</v>
      </c>
      <c r="O37" s="194">
        <f t="array" ref="O37">SUMPRODUCT(IFERROR(--LOOKUP(O$6:O$28,Table3[],Table3[Positive]),""),IFERROR(--NOT(LOOKUP(O$6:O$28,Table3[],Table3[Disseminated])),""))</f>
        <v>0</v>
      </c>
      <c r="P37" s="194">
        <f t="array" ref="P37">SUMPRODUCT(IFERROR(--LOOKUP(P$6:P$28,Table3[],Table3[Positive]),""),IFERROR(--NOT(LOOKUP(P$6:P$28,Table3[],Table3[Disseminated])),""))</f>
        <v>0</v>
      </c>
      <c r="Q37" s="194">
        <f t="array" ref="Q37">SUMPRODUCT(IFERROR(--LOOKUP(Q$6:Q$28,Table3[],Table3[Positive]),""),IFERROR(--NOT(LOOKUP(Q$6:Q$28,Table3[],Table3[Disseminated])),""))</f>
        <v>1</v>
      </c>
      <c r="R37" s="194">
        <f t="array" ref="R37">SUMPRODUCT(IFERROR(--LOOKUP(R$6:R$28,Table3[],Table3[Positive]),""),IFERROR(--NOT(LOOKUP(R$6:R$28,Table3[],Table3[Disseminated])),""))</f>
        <v>1</v>
      </c>
      <c r="S37" s="194">
        <f t="array" ref="S37">SUMPRODUCT(IFERROR(--LOOKUP(S$6:S$28,Table3[],Table3[Positive]),""),IFERROR(--NOT(LOOKUP(S$6:S$28,Table3[],Table3[Disseminated])),""))</f>
        <v>0</v>
      </c>
      <c r="T37" s="194">
        <f t="array" ref="T37">SUMPRODUCT(IFERROR(--LOOKUP(T$6:T$28,Table3[],Table3[Positive]),""),IFERROR(--NOT(LOOKUP(T$6:T$28,Table3[],Table3[Disseminated])),""))</f>
        <v>0</v>
      </c>
      <c r="U37" s="194">
        <f t="array" ref="U37">SUMPRODUCT(IFERROR(--LOOKUP(U$6:U$28,Table3[],Table3[Positive]),""),IFERROR(--NOT(LOOKUP(U$6:U$28,Table3[],Table3[Disseminated])),""))</f>
        <v>0</v>
      </c>
      <c r="V37" s="194">
        <f t="array" ref="V37">SUMPRODUCT(IFERROR(--LOOKUP(V$6:V$28,Table3[],Table3[Positive]),""),IFERROR(--NOT(LOOKUP(V$6:V$28,Table3[],Table3[Disseminated])),""))</f>
        <v>0</v>
      </c>
      <c r="W37" s="194">
        <f t="array" ref="W37">SUMPRODUCT(IFERROR(--LOOKUP(W$6:W$28,Table3[],Table3[Positive]),""),IFERROR(--NOT(LOOKUP(W$6:W$28,Table3[],Table3[Disseminated])),""))</f>
        <v>0</v>
      </c>
      <c r="X37" s="194">
        <f t="array" ref="X37">SUMPRODUCT(IFERROR(--LOOKUP(X$6:X$28,Table3[],Table3[Positive]),""),IFERROR(--NOT(LOOKUP(X$6:X$28,Table3[],Table3[Disseminated])),""))</f>
        <v>0</v>
      </c>
      <c r="Y37" s="194">
        <f t="array" ref="Y37">SUMPRODUCT(IFERROR(--LOOKUP(Y$6:Y$28,Table3[],Table3[Positive]),""),IFERROR(--NOT(LOOKUP(Y$6:Y$28,Table3[],Table3[Disseminated])),""))</f>
        <v>0</v>
      </c>
      <c r="Z37" s="194">
        <f t="array" ref="Z37">SUMPRODUCT(IFERROR(--LOOKUP(Z$6:Z$28,Table3[],Table3[Positive]),""),IFERROR(--NOT(LOOKUP(Z$6:Z$28,Table3[],Table3[Disseminated])),""))</f>
        <v>1</v>
      </c>
      <c r="AA37" s="194">
        <f>SUM(C37:Z37)</f>
        <v>21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s="43" customFormat="1" x14ac:dyDescent="0.25">
      <c r="A38" s="386"/>
      <c r="B38" s="188" t="s">
        <v>83</v>
      </c>
      <c r="C38" s="135">
        <f t="array" ref="C38">COUNTIFS(Table3[Positive],TRUE,Table3[Disseminated],FALSE)</f>
        <v>21</v>
      </c>
      <c r="D38" s="135">
        <f t="shared" ref="D38:Z38" si="0">C38-D37</f>
        <v>20</v>
      </c>
      <c r="E38" s="135">
        <f t="shared" si="0"/>
        <v>20</v>
      </c>
      <c r="F38" s="135">
        <f t="shared" si="0"/>
        <v>20</v>
      </c>
      <c r="G38" s="135">
        <f t="shared" si="0"/>
        <v>19</v>
      </c>
      <c r="H38" s="135">
        <f t="shared" si="0"/>
        <v>19</v>
      </c>
      <c r="I38" s="135">
        <f t="shared" si="0"/>
        <v>19</v>
      </c>
      <c r="J38" s="135">
        <f t="shared" si="0"/>
        <v>13</v>
      </c>
      <c r="K38" s="135">
        <f t="shared" si="0"/>
        <v>9</v>
      </c>
      <c r="L38" s="135">
        <f t="shared" si="0"/>
        <v>6</v>
      </c>
      <c r="M38" s="135">
        <f t="shared" si="0"/>
        <v>3</v>
      </c>
      <c r="N38" s="135">
        <f t="shared" si="0"/>
        <v>3</v>
      </c>
      <c r="O38" s="135">
        <f t="shared" si="0"/>
        <v>3</v>
      </c>
      <c r="P38" s="135">
        <f t="shared" si="0"/>
        <v>3</v>
      </c>
      <c r="Q38" s="135">
        <f t="shared" si="0"/>
        <v>2</v>
      </c>
      <c r="R38" s="135">
        <f t="shared" si="0"/>
        <v>1</v>
      </c>
      <c r="S38" s="135">
        <f t="shared" si="0"/>
        <v>1</v>
      </c>
      <c r="T38" s="135">
        <f t="shared" si="0"/>
        <v>1</v>
      </c>
      <c r="U38" s="135">
        <f t="shared" si="0"/>
        <v>1</v>
      </c>
      <c r="V38" s="135">
        <f t="shared" si="0"/>
        <v>1</v>
      </c>
      <c r="W38" s="135">
        <f t="shared" si="0"/>
        <v>1</v>
      </c>
      <c r="X38" s="135">
        <f t="shared" si="0"/>
        <v>1</v>
      </c>
      <c r="Y38" s="135">
        <f t="shared" si="0"/>
        <v>1</v>
      </c>
      <c r="Z38" s="135">
        <f t="shared" si="0"/>
        <v>0</v>
      </c>
      <c r="AA38" s="192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s="43" customFormat="1" ht="45" x14ac:dyDescent="0.25">
      <c r="A39" s="386"/>
      <c r="B39" s="190" t="s">
        <v>85</v>
      </c>
      <c r="C39" s="135">
        <v>0</v>
      </c>
      <c r="D39" s="135">
        <f t="shared" ref="D39:Z39" si="1">D37/C38%</f>
        <v>4.7619047619047619</v>
      </c>
      <c r="E39" s="135">
        <f t="shared" si="1"/>
        <v>0</v>
      </c>
      <c r="F39" s="135">
        <f t="shared" si="1"/>
        <v>0</v>
      </c>
      <c r="G39" s="135">
        <f t="shared" si="1"/>
        <v>5</v>
      </c>
      <c r="H39" s="135">
        <f t="shared" si="1"/>
        <v>0</v>
      </c>
      <c r="I39" s="135">
        <f t="shared" si="1"/>
        <v>0</v>
      </c>
      <c r="J39" s="135">
        <f t="shared" si="1"/>
        <v>31.578947368421051</v>
      </c>
      <c r="K39" s="135">
        <f t="shared" si="1"/>
        <v>30.769230769230766</v>
      </c>
      <c r="L39" s="135">
        <f t="shared" si="1"/>
        <v>33.333333333333336</v>
      </c>
      <c r="M39" s="135">
        <f t="shared" si="1"/>
        <v>50</v>
      </c>
      <c r="N39" s="135">
        <f t="shared" si="1"/>
        <v>0</v>
      </c>
      <c r="O39" s="135">
        <f t="shared" si="1"/>
        <v>0</v>
      </c>
      <c r="P39" s="135">
        <f t="shared" si="1"/>
        <v>0</v>
      </c>
      <c r="Q39" s="135">
        <f t="shared" si="1"/>
        <v>33.333333333333336</v>
      </c>
      <c r="R39" s="135">
        <f t="shared" si="1"/>
        <v>50</v>
      </c>
      <c r="S39" s="135">
        <f t="shared" si="1"/>
        <v>0</v>
      </c>
      <c r="T39" s="135">
        <f t="shared" si="1"/>
        <v>0</v>
      </c>
      <c r="U39" s="135">
        <f t="shared" si="1"/>
        <v>0</v>
      </c>
      <c r="V39" s="135">
        <f t="shared" si="1"/>
        <v>0</v>
      </c>
      <c r="W39" s="135">
        <f t="shared" si="1"/>
        <v>0</v>
      </c>
      <c r="X39" s="135">
        <f t="shared" si="1"/>
        <v>0</v>
      </c>
      <c r="Y39" s="135">
        <f t="shared" si="1"/>
        <v>0</v>
      </c>
      <c r="Z39" s="135">
        <f t="shared" si="1"/>
        <v>100</v>
      </c>
      <c r="AA39" s="192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s="43" customFormat="1" ht="30.75" thickBot="1" x14ac:dyDescent="0.3">
      <c r="A40" s="387"/>
      <c r="B40" s="196" t="s">
        <v>86</v>
      </c>
      <c r="C40" s="197">
        <f>C37/$C$42%</f>
        <v>0</v>
      </c>
      <c r="D40" s="197">
        <f>D37/$C$38%</f>
        <v>4.7619047619047619</v>
      </c>
      <c r="E40" s="197">
        <f t="shared" ref="E40:Z40" si="2">E37/$C$38%</f>
        <v>0</v>
      </c>
      <c r="F40" s="197">
        <f t="shared" si="2"/>
        <v>0</v>
      </c>
      <c r="G40" s="197">
        <f t="shared" si="2"/>
        <v>4.7619047619047619</v>
      </c>
      <c r="H40" s="197">
        <f t="shared" si="2"/>
        <v>0</v>
      </c>
      <c r="I40" s="197">
        <f t="shared" si="2"/>
        <v>0</v>
      </c>
      <c r="J40" s="197">
        <f t="shared" si="2"/>
        <v>28.571428571428573</v>
      </c>
      <c r="K40" s="197">
        <f t="shared" si="2"/>
        <v>19.047619047619047</v>
      </c>
      <c r="L40" s="197">
        <f t="shared" si="2"/>
        <v>14.285714285714286</v>
      </c>
      <c r="M40" s="197">
        <f t="shared" si="2"/>
        <v>14.285714285714286</v>
      </c>
      <c r="N40" s="197">
        <f t="shared" si="2"/>
        <v>0</v>
      </c>
      <c r="O40" s="197">
        <f t="shared" si="2"/>
        <v>0</v>
      </c>
      <c r="P40" s="197">
        <f t="shared" si="2"/>
        <v>0</v>
      </c>
      <c r="Q40" s="197">
        <f t="shared" si="2"/>
        <v>4.7619047619047619</v>
      </c>
      <c r="R40" s="197">
        <f t="shared" si="2"/>
        <v>4.7619047619047619</v>
      </c>
      <c r="S40" s="197">
        <f t="shared" si="2"/>
        <v>0</v>
      </c>
      <c r="T40" s="197">
        <f t="shared" si="2"/>
        <v>0</v>
      </c>
      <c r="U40" s="197">
        <f t="shared" si="2"/>
        <v>0</v>
      </c>
      <c r="V40" s="197">
        <f t="shared" si="2"/>
        <v>0</v>
      </c>
      <c r="W40" s="197">
        <f t="shared" si="2"/>
        <v>0</v>
      </c>
      <c r="X40" s="197">
        <f t="shared" si="2"/>
        <v>0</v>
      </c>
      <c r="Y40" s="197">
        <f t="shared" si="2"/>
        <v>0</v>
      </c>
      <c r="Z40" s="197">
        <f t="shared" si="2"/>
        <v>4.7619047619047619</v>
      </c>
      <c r="AA40" s="192">
        <f>SUM(C40:Z40)</f>
        <v>100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s="43" customFormat="1" ht="15" customHeight="1" x14ac:dyDescent="0.25">
      <c r="A41" s="385" t="s">
        <v>81</v>
      </c>
      <c r="B41" s="193" t="s">
        <v>82</v>
      </c>
      <c r="C41" s="199">
        <v>0</v>
      </c>
      <c r="D41" s="194">
        <v>0</v>
      </c>
      <c r="E41" s="194">
        <v>0</v>
      </c>
      <c r="F41" s="194">
        <v>0</v>
      </c>
      <c r="G41" s="194">
        <v>0</v>
      </c>
      <c r="H41" s="194">
        <v>0</v>
      </c>
      <c r="I41" s="194">
        <v>0</v>
      </c>
      <c r="J41" s="194">
        <v>11</v>
      </c>
      <c r="K41" s="194">
        <v>9</v>
      </c>
      <c r="L41" s="194">
        <v>11</v>
      </c>
      <c r="M41" s="194">
        <v>2</v>
      </c>
      <c r="N41" s="194">
        <v>8</v>
      </c>
      <c r="O41" s="194">
        <v>0</v>
      </c>
      <c r="P41" s="194">
        <v>0</v>
      </c>
      <c r="Q41" s="194">
        <v>11</v>
      </c>
      <c r="R41" s="194">
        <v>2</v>
      </c>
      <c r="S41" s="194">
        <v>4</v>
      </c>
      <c r="T41" s="194">
        <v>0</v>
      </c>
      <c r="U41" s="194">
        <v>2</v>
      </c>
      <c r="V41" s="194">
        <v>0</v>
      </c>
      <c r="W41" s="194">
        <v>0</v>
      </c>
      <c r="X41" s="194">
        <v>2</v>
      </c>
      <c r="Y41" s="194">
        <v>3</v>
      </c>
      <c r="Z41" s="194">
        <v>3</v>
      </c>
      <c r="AA41" s="192">
        <v>68</v>
      </c>
      <c r="AB41"/>
    </row>
    <row r="42" spans="1:46" s="43" customFormat="1" x14ac:dyDescent="0.25">
      <c r="A42" s="386"/>
      <c r="B42" s="188" t="s">
        <v>83</v>
      </c>
      <c r="C42" s="135">
        <v>68</v>
      </c>
      <c r="D42" s="135">
        <v>68</v>
      </c>
      <c r="E42" s="135">
        <v>68</v>
      </c>
      <c r="F42" s="135">
        <v>68</v>
      </c>
      <c r="G42" s="135">
        <v>68</v>
      </c>
      <c r="H42" s="135">
        <v>68</v>
      </c>
      <c r="I42" s="135">
        <v>68</v>
      </c>
      <c r="J42" s="135">
        <v>57</v>
      </c>
      <c r="K42" s="135">
        <v>48</v>
      </c>
      <c r="L42" s="135">
        <v>37</v>
      </c>
      <c r="M42" s="135">
        <v>35</v>
      </c>
      <c r="N42" s="135">
        <v>27</v>
      </c>
      <c r="O42" s="135">
        <v>27</v>
      </c>
      <c r="P42" s="135">
        <v>27</v>
      </c>
      <c r="Q42" s="135">
        <v>16</v>
      </c>
      <c r="R42" s="135">
        <v>14</v>
      </c>
      <c r="S42" s="135">
        <v>10</v>
      </c>
      <c r="T42" s="135">
        <v>10</v>
      </c>
      <c r="U42" s="135">
        <v>8</v>
      </c>
      <c r="V42" s="135">
        <v>8</v>
      </c>
      <c r="W42" s="135">
        <v>8</v>
      </c>
      <c r="X42" s="135">
        <v>6</v>
      </c>
      <c r="Y42" s="135">
        <v>3</v>
      </c>
      <c r="Z42" s="135">
        <v>0</v>
      </c>
      <c r="AA42" s="192"/>
      <c r="AB42"/>
    </row>
    <row r="43" spans="1:46" s="43" customFormat="1" ht="45" x14ac:dyDescent="0.25">
      <c r="A43" s="386"/>
      <c r="B43" s="190" t="s">
        <v>85</v>
      </c>
      <c r="C43" s="135">
        <v>0</v>
      </c>
      <c r="D43" s="135">
        <v>0</v>
      </c>
      <c r="E43" s="135">
        <v>0</v>
      </c>
      <c r="F43" s="135">
        <v>0</v>
      </c>
      <c r="G43" s="135">
        <v>0</v>
      </c>
      <c r="H43" s="135">
        <v>0</v>
      </c>
      <c r="I43" s="135">
        <v>0</v>
      </c>
      <c r="J43" s="135">
        <v>16.176470588235293</v>
      </c>
      <c r="K43" s="135">
        <v>15.789473684210527</v>
      </c>
      <c r="L43" s="135">
        <v>22.916666666666668</v>
      </c>
      <c r="M43" s="135">
        <v>5.4054054054054053</v>
      </c>
      <c r="N43" s="135">
        <v>22.857142857142858</v>
      </c>
      <c r="O43" s="135">
        <v>0</v>
      </c>
      <c r="P43" s="135">
        <v>0</v>
      </c>
      <c r="Q43" s="135">
        <v>40.74074074074074</v>
      </c>
      <c r="R43" s="135">
        <v>12.5</v>
      </c>
      <c r="S43" s="135">
        <v>28.571428571428569</v>
      </c>
      <c r="T43" s="135">
        <v>0</v>
      </c>
      <c r="U43" s="135">
        <v>20</v>
      </c>
      <c r="V43" s="135">
        <v>0</v>
      </c>
      <c r="W43" s="135">
        <v>0</v>
      </c>
      <c r="X43" s="135">
        <v>25</v>
      </c>
      <c r="Y43" s="135">
        <v>50</v>
      </c>
      <c r="Z43" s="135">
        <v>100</v>
      </c>
      <c r="AA43" s="192"/>
      <c r="AB43"/>
    </row>
    <row r="44" spans="1:46" s="43" customFormat="1" ht="30.75" thickBot="1" x14ac:dyDescent="0.3">
      <c r="A44" s="387"/>
      <c r="B44" s="196" t="s">
        <v>86</v>
      </c>
      <c r="C44" s="197">
        <v>0</v>
      </c>
      <c r="D44" s="197">
        <v>0</v>
      </c>
      <c r="E44" s="197">
        <v>0</v>
      </c>
      <c r="F44" s="197">
        <v>0</v>
      </c>
      <c r="G44" s="197">
        <v>0</v>
      </c>
      <c r="H44" s="197">
        <v>0</v>
      </c>
      <c r="I44" s="197">
        <v>0</v>
      </c>
      <c r="J44" s="197">
        <v>16.176470588235293</v>
      </c>
      <c r="K44" s="197">
        <v>13.235294117647058</v>
      </c>
      <c r="L44" s="197">
        <v>16.176470588235293</v>
      </c>
      <c r="M44" s="197">
        <v>2.9411764705882351</v>
      </c>
      <c r="N44" s="197">
        <v>11.76470588235294</v>
      </c>
      <c r="O44" s="197">
        <v>0</v>
      </c>
      <c r="P44" s="197">
        <v>0</v>
      </c>
      <c r="Q44" s="197">
        <v>16.176470588235293</v>
      </c>
      <c r="R44" s="197">
        <v>2.9411764705882351</v>
      </c>
      <c r="S44" s="197">
        <v>5.8823529411764701</v>
      </c>
      <c r="T44" s="197">
        <v>0</v>
      </c>
      <c r="U44" s="197">
        <v>2.9411764705882351</v>
      </c>
      <c r="V44" s="197">
        <v>0</v>
      </c>
      <c r="W44" s="197">
        <v>0</v>
      </c>
      <c r="X44" s="197">
        <v>2.9411764705882351</v>
      </c>
      <c r="Y44" s="197">
        <v>4.4117647058823524</v>
      </c>
      <c r="Z44" s="197">
        <v>4.4117647058823524</v>
      </c>
      <c r="AA44" s="192">
        <v>99.999999999999972</v>
      </c>
      <c r="AB44"/>
    </row>
    <row r="45" spans="1:46" s="43" customFormat="1" ht="15.75" thickBot="1" x14ac:dyDescent="0.3">
      <c r="A45" s="385" t="s">
        <v>6</v>
      </c>
      <c r="B45" s="193" t="s">
        <v>82</v>
      </c>
      <c r="C45" s="43">
        <v>0</v>
      </c>
      <c r="D45" s="43">
        <v>3</v>
      </c>
      <c r="E45" s="43">
        <v>2</v>
      </c>
      <c r="F45" s="43">
        <v>2</v>
      </c>
      <c r="G45" s="43">
        <v>4</v>
      </c>
      <c r="H45" s="43">
        <v>0</v>
      </c>
      <c r="I45" s="43">
        <v>0</v>
      </c>
      <c r="J45" s="43">
        <v>8</v>
      </c>
      <c r="K45" s="43">
        <v>2</v>
      </c>
      <c r="L45" s="43">
        <v>5</v>
      </c>
      <c r="M45" s="43">
        <v>0</v>
      </c>
      <c r="N45" s="43">
        <v>1</v>
      </c>
      <c r="O45" s="43">
        <v>0</v>
      </c>
      <c r="P45" s="43">
        <v>0</v>
      </c>
      <c r="Q45" s="43">
        <v>8</v>
      </c>
      <c r="R45" s="43">
        <v>2</v>
      </c>
      <c r="S45" s="43">
        <v>1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1</v>
      </c>
      <c r="Z45" s="43">
        <v>1</v>
      </c>
      <c r="AA45" s="192">
        <v>40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s="43" customFormat="1" x14ac:dyDescent="0.25">
      <c r="A46" s="386"/>
      <c r="B46" s="188" t="s">
        <v>83</v>
      </c>
      <c r="C46" s="199">
        <v>40</v>
      </c>
      <c r="D46" s="135">
        <v>37</v>
      </c>
      <c r="E46" s="135">
        <v>35</v>
      </c>
      <c r="F46" s="135">
        <v>33</v>
      </c>
      <c r="G46" s="135">
        <v>29</v>
      </c>
      <c r="H46" s="135">
        <v>29</v>
      </c>
      <c r="I46" s="135">
        <v>29</v>
      </c>
      <c r="J46" s="135">
        <v>21</v>
      </c>
      <c r="K46" s="135">
        <v>19</v>
      </c>
      <c r="L46" s="135">
        <v>14</v>
      </c>
      <c r="M46" s="135">
        <v>14</v>
      </c>
      <c r="N46" s="135">
        <v>13</v>
      </c>
      <c r="O46" s="135">
        <v>13</v>
      </c>
      <c r="P46" s="135">
        <v>13</v>
      </c>
      <c r="Q46" s="135">
        <v>5</v>
      </c>
      <c r="R46" s="135">
        <v>3</v>
      </c>
      <c r="S46" s="135">
        <v>2</v>
      </c>
      <c r="T46" s="135">
        <v>2</v>
      </c>
      <c r="U46" s="135">
        <v>2</v>
      </c>
      <c r="V46" s="135">
        <v>2</v>
      </c>
      <c r="W46" s="135">
        <v>2</v>
      </c>
      <c r="X46" s="135">
        <v>2</v>
      </c>
      <c r="Y46" s="135">
        <v>1</v>
      </c>
      <c r="Z46" s="135">
        <v>0</v>
      </c>
      <c r="AA46" s="192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s="43" customFormat="1" ht="45" x14ac:dyDescent="0.25">
      <c r="A47" s="386"/>
      <c r="B47" s="190" t="s">
        <v>85</v>
      </c>
      <c r="C47" s="135">
        <v>0</v>
      </c>
      <c r="D47" s="135">
        <v>7.5</v>
      </c>
      <c r="E47" s="135">
        <v>5.4054054054054053</v>
      </c>
      <c r="F47" s="135">
        <v>5.7142857142857144</v>
      </c>
      <c r="G47" s="135">
        <v>12.121212121212121</v>
      </c>
      <c r="H47" s="135">
        <v>0</v>
      </c>
      <c r="I47" s="135">
        <v>0</v>
      </c>
      <c r="J47" s="135">
        <v>27.586206896551726</v>
      </c>
      <c r="K47" s="135">
        <v>9.5238095238095237</v>
      </c>
      <c r="L47" s="135">
        <v>26.315789473684209</v>
      </c>
      <c r="M47" s="135">
        <v>0</v>
      </c>
      <c r="N47" s="135">
        <v>7.1428571428571423</v>
      </c>
      <c r="O47" s="135">
        <v>0</v>
      </c>
      <c r="P47" s="135">
        <v>0</v>
      </c>
      <c r="Q47" s="135">
        <v>61.538461538461533</v>
      </c>
      <c r="R47" s="135">
        <v>40</v>
      </c>
      <c r="S47" s="135">
        <v>33.333333333333336</v>
      </c>
      <c r="T47" s="135">
        <v>0</v>
      </c>
      <c r="U47" s="135">
        <v>0</v>
      </c>
      <c r="V47" s="135">
        <v>0</v>
      </c>
      <c r="W47" s="135">
        <v>0</v>
      </c>
      <c r="X47" s="135">
        <v>0</v>
      </c>
      <c r="Y47" s="135">
        <v>50</v>
      </c>
      <c r="Z47" s="135">
        <v>100</v>
      </c>
      <c r="AA47" s="192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s="43" customFormat="1" ht="30.75" thickBot="1" x14ac:dyDescent="0.3">
      <c r="A48" s="387"/>
      <c r="B48" s="196" t="s">
        <v>86</v>
      </c>
      <c r="C48" s="197">
        <v>0</v>
      </c>
      <c r="D48" s="197">
        <v>7.5</v>
      </c>
      <c r="E48" s="197">
        <v>5</v>
      </c>
      <c r="F48" s="197">
        <v>5</v>
      </c>
      <c r="G48" s="197">
        <v>10</v>
      </c>
      <c r="H48" s="197">
        <v>0</v>
      </c>
      <c r="I48" s="197">
        <v>0</v>
      </c>
      <c r="J48" s="197">
        <v>20</v>
      </c>
      <c r="K48" s="197">
        <v>5</v>
      </c>
      <c r="L48" s="197">
        <v>12.5</v>
      </c>
      <c r="M48" s="197">
        <v>0</v>
      </c>
      <c r="N48" s="197">
        <v>2.5</v>
      </c>
      <c r="O48" s="197">
        <v>0</v>
      </c>
      <c r="P48" s="197">
        <v>0</v>
      </c>
      <c r="Q48" s="197">
        <v>20</v>
      </c>
      <c r="R48" s="197">
        <v>5</v>
      </c>
      <c r="S48" s="197">
        <v>2.5</v>
      </c>
      <c r="T48" s="197">
        <v>0</v>
      </c>
      <c r="U48" s="197">
        <v>0</v>
      </c>
      <c r="V48" s="197">
        <v>0</v>
      </c>
      <c r="W48" s="197">
        <v>0</v>
      </c>
      <c r="X48" s="197">
        <v>0</v>
      </c>
      <c r="Y48" s="197">
        <v>2.5</v>
      </c>
      <c r="Z48" s="197">
        <v>2.5</v>
      </c>
      <c r="AA48" s="192">
        <v>100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7" s="43" customFormat="1" x14ac:dyDescent="0.25">
      <c r="A49" s="385" t="s">
        <v>87</v>
      </c>
      <c r="B49" s="193" t="s">
        <v>82</v>
      </c>
      <c r="C49" s="194">
        <v>0</v>
      </c>
      <c r="D49" s="194">
        <v>0</v>
      </c>
      <c r="E49" s="194">
        <v>0</v>
      </c>
      <c r="F49" s="194">
        <v>1</v>
      </c>
      <c r="G49" s="194">
        <v>0</v>
      </c>
      <c r="H49" s="194">
        <v>0</v>
      </c>
      <c r="I49" s="194">
        <v>23</v>
      </c>
      <c r="J49" s="194">
        <v>17</v>
      </c>
      <c r="K49" s="194">
        <v>16</v>
      </c>
      <c r="L49" s="194">
        <v>6</v>
      </c>
      <c r="M49" s="194">
        <v>11</v>
      </c>
      <c r="N49" s="194">
        <v>0</v>
      </c>
      <c r="O49" s="194">
        <v>0</v>
      </c>
      <c r="P49" s="194">
        <v>19</v>
      </c>
      <c r="Q49" s="194">
        <v>9</v>
      </c>
      <c r="R49" s="194">
        <v>4</v>
      </c>
      <c r="S49" s="194">
        <v>0</v>
      </c>
      <c r="T49" s="194">
        <v>3</v>
      </c>
      <c r="U49" s="194">
        <v>0</v>
      </c>
      <c r="V49" s="194">
        <v>0</v>
      </c>
      <c r="W49" s="194">
        <v>2</v>
      </c>
      <c r="X49" s="194">
        <v>4</v>
      </c>
      <c r="Y49" s="194">
        <v>4</v>
      </c>
      <c r="Z49" s="194">
        <v>1</v>
      </c>
      <c r="AA49" s="192">
        <v>120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7" s="43" customFormat="1" x14ac:dyDescent="0.25">
      <c r="A50" s="386"/>
      <c r="B50" s="188" t="s">
        <v>83</v>
      </c>
      <c r="C50" s="135">
        <v>120</v>
      </c>
      <c r="D50" s="135">
        <v>120</v>
      </c>
      <c r="E50" s="135">
        <v>120</v>
      </c>
      <c r="F50" s="135">
        <v>119</v>
      </c>
      <c r="G50" s="135">
        <v>119</v>
      </c>
      <c r="H50" s="135">
        <v>119</v>
      </c>
      <c r="I50" s="135">
        <v>96</v>
      </c>
      <c r="J50" s="135">
        <v>79</v>
      </c>
      <c r="K50" s="135">
        <v>63</v>
      </c>
      <c r="L50" s="135">
        <v>57</v>
      </c>
      <c r="M50" s="135">
        <v>46</v>
      </c>
      <c r="N50" s="135">
        <v>46</v>
      </c>
      <c r="O50" s="135">
        <v>46</v>
      </c>
      <c r="P50" s="135">
        <v>27</v>
      </c>
      <c r="Q50" s="135">
        <v>18</v>
      </c>
      <c r="R50" s="135">
        <v>14</v>
      </c>
      <c r="S50" s="135">
        <v>14</v>
      </c>
      <c r="T50" s="135">
        <v>11</v>
      </c>
      <c r="U50" s="135">
        <v>11</v>
      </c>
      <c r="V50" s="135">
        <v>11</v>
      </c>
      <c r="W50" s="135">
        <v>9</v>
      </c>
      <c r="X50" s="135">
        <v>5</v>
      </c>
      <c r="Y50" s="135">
        <v>1</v>
      </c>
      <c r="Z50" s="135">
        <v>0</v>
      </c>
      <c r="AA50" s="192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7" s="43" customFormat="1" ht="45" x14ac:dyDescent="0.25">
      <c r="A51" s="386"/>
      <c r="B51" s="190" t="s">
        <v>85</v>
      </c>
      <c r="C51" s="135">
        <v>0</v>
      </c>
      <c r="D51" s="135">
        <v>0</v>
      </c>
      <c r="E51" s="135">
        <v>0</v>
      </c>
      <c r="F51" s="135">
        <v>0.83333333333333337</v>
      </c>
      <c r="G51" s="135">
        <v>0</v>
      </c>
      <c r="H51" s="135">
        <v>0</v>
      </c>
      <c r="I51" s="135">
        <v>19.327731092436977</v>
      </c>
      <c r="J51" s="135">
        <v>17.708333333333336</v>
      </c>
      <c r="K51" s="135">
        <v>20.253164556962023</v>
      </c>
      <c r="L51" s="135">
        <v>9.5238095238095237</v>
      </c>
      <c r="M51" s="135">
        <v>19.298245614035089</v>
      </c>
      <c r="N51" s="135">
        <v>0</v>
      </c>
      <c r="O51" s="135">
        <v>0</v>
      </c>
      <c r="P51" s="135">
        <v>41.304347826086953</v>
      </c>
      <c r="Q51" s="135">
        <v>33.333333333333329</v>
      </c>
      <c r="R51" s="135">
        <v>22.222222222222221</v>
      </c>
      <c r="S51" s="135">
        <v>0</v>
      </c>
      <c r="T51" s="135">
        <v>21.428571428571427</v>
      </c>
      <c r="U51" s="135">
        <v>0</v>
      </c>
      <c r="V51" s="135">
        <v>0</v>
      </c>
      <c r="W51" s="135">
        <v>18.181818181818183</v>
      </c>
      <c r="X51" s="135">
        <v>44.444444444444443</v>
      </c>
      <c r="Y51" s="135">
        <v>80</v>
      </c>
      <c r="Z51" s="135">
        <v>100</v>
      </c>
      <c r="AA51" s="192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7" s="43" customFormat="1" ht="30.75" thickBot="1" x14ac:dyDescent="0.3">
      <c r="A52" s="387"/>
      <c r="B52" s="196" t="s">
        <v>86</v>
      </c>
      <c r="C52" s="197">
        <v>0</v>
      </c>
      <c r="D52" s="197">
        <v>0</v>
      </c>
      <c r="E52" s="197">
        <v>0</v>
      </c>
      <c r="F52" s="197">
        <v>0.83333333333333337</v>
      </c>
      <c r="G52" s="197">
        <v>0</v>
      </c>
      <c r="H52" s="197">
        <v>0</v>
      </c>
      <c r="I52" s="197">
        <v>19.166666666666668</v>
      </c>
      <c r="J52" s="197">
        <v>14.166666666666668</v>
      </c>
      <c r="K52" s="197">
        <v>13.333333333333334</v>
      </c>
      <c r="L52" s="197">
        <v>5</v>
      </c>
      <c r="M52" s="197">
        <v>9.1666666666666679</v>
      </c>
      <c r="N52" s="197">
        <v>0</v>
      </c>
      <c r="O52" s="197">
        <v>0</v>
      </c>
      <c r="P52" s="197">
        <v>15.833333333333334</v>
      </c>
      <c r="Q52" s="197">
        <v>7.5</v>
      </c>
      <c r="R52" s="197">
        <v>3.3333333333333335</v>
      </c>
      <c r="S52" s="197">
        <v>0</v>
      </c>
      <c r="T52" s="197">
        <v>2.5</v>
      </c>
      <c r="U52" s="197">
        <v>0</v>
      </c>
      <c r="V52" s="197">
        <v>0</v>
      </c>
      <c r="W52" s="197">
        <v>1.6666666666666667</v>
      </c>
      <c r="X52" s="197">
        <v>3.3333333333333335</v>
      </c>
      <c r="Y52" s="197">
        <v>3.3333333333333335</v>
      </c>
      <c r="Z52" s="197">
        <v>0.83333333333333337</v>
      </c>
      <c r="AA52" s="192">
        <v>99.999999999999986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7" s="43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7" s="43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7" s="43" customFormat="1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7" s="43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7" s="43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7" s="43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7" s="43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7" s="43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7" s="43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7" s="43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7" s="43" customFormat="1" ht="15.7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186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 s="43" customFormat="1" ht="16.5" thickBot="1" x14ac:dyDescent="0.3">
      <c r="A64" s="200"/>
      <c r="B64" s="200"/>
      <c r="C64" s="201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186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7" ht="16.5" thickTop="1" x14ac:dyDescent="0.25">
      <c r="A65" s="388"/>
      <c r="B65" s="388" t="s">
        <v>6</v>
      </c>
      <c r="C65" s="19"/>
      <c r="D65" s="19">
        <v>8</v>
      </c>
      <c r="E65" s="19">
        <v>36</v>
      </c>
      <c r="F65" s="19">
        <v>7</v>
      </c>
      <c r="G65" s="19">
        <v>3</v>
      </c>
      <c r="H65" s="19"/>
      <c r="I65" s="19"/>
      <c r="J65" s="19">
        <v>2</v>
      </c>
      <c r="K65" s="19">
        <v>25</v>
      </c>
      <c r="L65" s="19">
        <v>1</v>
      </c>
      <c r="M65" s="19"/>
      <c r="N65" s="19">
        <v>24</v>
      </c>
      <c r="O65" s="19"/>
      <c r="P65" s="19"/>
      <c r="Q65" s="19">
        <v>4</v>
      </c>
      <c r="R65" s="19">
        <v>5</v>
      </c>
      <c r="S65" s="19">
        <v>29</v>
      </c>
      <c r="T65" s="19"/>
      <c r="U65" s="19"/>
      <c r="V65" s="19"/>
      <c r="W65" s="19"/>
      <c r="X65" s="19"/>
      <c r="Y65" s="19">
        <v>38</v>
      </c>
      <c r="Z65" s="19">
        <v>6</v>
      </c>
    </row>
    <row r="66" spans="1:27" ht="15.75" x14ac:dyDescent="0.25">
      <c r="A66" s="389"/>
      <c r="B66" s="389"/>
      <c r="C66" s="15"/>
      <c r="D66" s="15">
        <v>10</v>
      </c>
      <c r="E66" s="15">
        <v>39</v>
      </c>
      <c r="F66" s="15">
        <v>12</v>
      </c>
      <c r="G66" s="15">
        <v>27</v>
      </c>
      <c r="H66" s="15"/>
      <c r="I66" s="15"/>
      <c r="J66" s="15">
        <v>9</v>
      </c>
      <c r="K66" s="15">
        <v>37</v>
      </c>
      <c r="L66" s="15">
        <v>20</v>
      </c>
      <c r="M66" s="15"/>
      <c r="N66" s="15"/>
      <c r="O66" s="15"/>
      <c r="P66" s="15"/>
      <c r="Q66" s="15">
        <v>11</v>
      </c>
      <c r="R66" s="15">
        <v>26</v>
      </c>
      <c r="S66" s="15"/>
      <c r="T66" s="15"/>
      <c r="U66" s="15"/>
      <c r="V66" s="15"/>
      <c r="W66" s="15"/>
      <c r="X66" s="15"/>
      <c r="Y66" s="15"/>
      <c r="Z66" s="15"/>
    </row>
    <row r="67" spans="1:27" ht="15.75" x14ac:dyDescent="0.25">
      <c r="A67" s="389"/>
      <c r="B67" s="389"/>
      <c r="C67" s="16"/>
      <c r="D67" s="16">
        <v>19</v>
      </c>
      <c r="E67" s="16"/>
      <c r="F67" s="16"/>
      <c r="G67" s="16">
        <v>32</v>
      </c>
      <c r="H67" s="16"/>
      <c r="I67" s="16"/>
      <c r="J67" s="16">
        <v>13</v>
      </c>
      <c r="K67" s="16"/>
      <c r="L67" s="16">
        <v>30</v>
      </c>
      <c r="M67" s="16"/>
      <c r="N67" s="16"/>
      <c r="O67" s="16"/>
      <c r="P67" s="16"/>
      <c r="Q67" s="16">
        <v>16</v>
      </c>
      <c r="R67" s="16"/>
      <c r="S67" s="16"/>
      <c r="T67" s="16"/>
      <c r="U67" s="16"/>
      <c r="V67" s="16"/>
      <c r="W67" s="16"/>
      <c r="X67" s="16"/>
      <c r="Y67" s="16"/>
      <c r="Z67" s="16"/>
    </row>
    <row r="68" spans="1:27" ht="15.75" x14ac:dyDescent="0.25">
      <c r="A68" s="389"/>
      <c r="B68" s="389"/>
      <c r="C68" s="15"/>
      <c r="D68" s="15"/>
      <c r="E68" s="15"/>
      <c r="F68" s="15"/>
      <c r="G68" s="15">
        <v>40</v>
      </c>
      <c r="H68" s="15"/>
      <c r="I68" s="15"/>
      <c r="J68" s="15">
        <v>14</v>
      </c>
      <c r="K68" s="15"/>
      <c r="L68" s="15">
        <v>34</v>
      </c>
      <c r="M68" s="15"/>
      <c r="N68" s="15"/>
      <c r="O68" s="15"/>
      <c r="P68" s="15"/>
      <c r="Q68" s="15">
        <v>18</v>
      </c>
      <c r="R68" s="15"/>
      <c r="S68" s="15"/>
      <c r="T68" s="15"/>
      <c r="U68" s="15"/>
      <c r="V68" s="15"/>
      <c r="W68" s="15"/>
      <c r="X68" s="15"/>
      <c r="Y68" s="15"/>
      <c r="Z68" s="15"/>
    </row>
    <row r="69" spans="1:27" ht="15.75" x14ac:dyDescent="0.25">
      <c r="A69" s="389"/>
      <c r="B69" s="389"/>
      <c r="C69" s="16"/>
      <c r="D69" s="16"/>
      <c r="E69" s="16"/>
      <c r="F69" s="16"/>
      <c r="G69" s="16"/>
      <c r="H69" s="16"/>
      <c r="I69" s="16"/>
      <c r="J69" s="16">
        <v>15</v>
      </c>
      <c r="K69" s="16"/>
      <c r="L69" s="16">
        <v>35</v>
      </c>
      <c r="M69" s="16"/>
      <c r="N69" s="16"/>
      <c r="O69" s="16"/>
      <c r="P69" s="16"/>
      <c r="Q69" s="16">
        <v>21</v>
      </c>
      <c r="R69" s="16"/>
      <c r="S69" s="16"/>
      <c r="T69" s="16"/>
      <c r="U69" s="16"/>
      <c r="V69" s="16"/>
      <c r="W69" s="16"/>
      <c r="X69" s="16"/>
      <c r="Y69" s="16"/>
      <c r="Z69" s="16"/>
    </row>
    <row r="70" spans="1:27" ht="15.75" x14ac:dyDescent="0.25">
      <c r="A70" s="389"/>
      <c r="B70" s="389"/>
      <c r="C70" s="15"/>
      <c r="D70" s="15"/>
      <c r="E70" s="15"/>
      <c r="F70" s="15"/>
      <c r="G70" s="15"/>
      <c r="H70" s="15"/>
      <c r="I70" s="15"/>
      <c r="J70" s="15">
        <v>17</v>
      </c>
      <c r="K70" s="15"/>
      <c r="L70" s="15"/>
      <c r="M70" s="15"/>
      <c r="N70" s="15"/>
      <c r="O70" s="15"/>
      <c r="P70" s="15"/>
      <c r="Q70" s="15">
        <v>28</v>
      </c>
      <c r="R70" s="15"/>
      <c r="S70" s="15"/>
      <c r="T70" s="15"/>
      <c r="U70" s="15"/>
      <c r="V70" s="15"/>
      <c r="W70" s="15"/>
      <c r="X70" s="15"/>
      <c r="Y70" s="15"/>
      <c r="Z70" s="15"/>
    </row>
    <row r="71" spans="1:27" ht="15.75" x14ac:dyDescent="0.25">
      <c r="A71" s="389"/>
      <c r="B71" s="389"/>
      <c r="C71" s="16"/>
      <c r="D71" s="16"/>
      <c r="E71" s="16"/>
      <c r="F71" s="16"/>
      <c r="G71" s="16"/>
      <c r="H71" s="16"/>
      <c r="I71" s="16"/>
      <c r="J71" s="16">
        <v>22</v>
      </c>
      <c r="K71" s="16"/>
      <c r="L71" s="16"/>
      <c r="M71" s="16"/>
      <c r="N71" s="16"/>
      <c r="O71" s="16"/>
      <c r="P71" s="16"/>
      <c r="Q71" s="16">
        <v>31</v>
      </c>
      <c r="R71" s="16"/>
      <c r="S71" s="16"/>
      <c r="T71" s="16"/>
      <c r="U71" s="16"/>
      <c r="V71" s="16"/>
      <c r="W71" s="16"/>
      <c r="X71" s="16"/>
      <c r="Y71" s="16"/>
      <c r="Z71" s="16"/>
    </row>
    <row r="72" spans="1:27" s="45" customFormat="1" ht="15.75" x14ac:dyDescent="0.25">
      <c r="A72" s="396"/>
      <c r="B72" s="396"/>
      <c r="C72" s="18"/>
      <c r="D72" s="18"/>
      <c r="E72" s="18"/>
      <c r="F72" s="18"/>
      <c r="G72" s="18"/>
      <c r="H72" s="18"/>
      <c r="I72" s="18"/>
      <c r="J72" s="18">
        <v>23</v>
      </c>
      <c r="K72" s="18"/>
      <c r="L72" s="18"/>
      <c r="M72" s="18"/>
      <c r="N72" s="18"/>
      <c r="O72" s="18"/>
      <c r="P72" s="18"/>
      <c r="Q72" s="18">
        <v>33</v>
      </c>
      <c r="R72" s="18"/>
      <c r="S72" s="18"/>
      <c r="T72" s="18"/>
      <c r="U72" s="18"/>
      <c r="V72" s="18"/>
      <c r="W72" s="18"/>
      <c r="X72" s="18"/>
      <c r="Y72" s="18"/>
      <c r="Z72" s="18"/>
    </row>
    <row r="73" spans="1:27" s="103" customFormat="1" ht="15.75" thickBot="1" x14ac:dyDescent="0.3">
      <c r="B73" s="104" t="s">
        <v>16</v>
      </c>
      <c r="C73" s="103">
        <f>COUNT(C65:C72)</f>
        <v>0</v>
      </c>
      <c r="D73" s="103">
        <f t="shared" ref="D73:Z73" si="3">COUNT(D65:D72)</f>
        <v>3</v>
      </c>
      <c r="E73" s="103">
        <f t="shared" si="3"/>
        <v>2</v>
      </c>
      <c r="F73" s="103">
        <f t="shared" si="3"/>
        <v>2</v>
      </c>
      <c r="G73" s="103">
        <f t="shared" si="3"/>
        <v>4</v>
      </c>
      <c r="H73" s="103">
        <f t="shared" si="3"/>
        <v>0</v>
      </c>
      <c r="I73" s="103">
        <f t="shared" si="3"/>
        <v>0</v>
      </c>
      <c r="J73" s="103">
        <f t="shared" si="3"/>
        <v>8</v>
      </c>
      <c r="K73" s="103">
        <f t="shared" si="3"/>
        <v>2</v>
      </c>
      <c r="L73" s="103">
        <f t="shared" si="3"/>
        <v>5</v>
      </c>
      <c r="M73" s="103">
        <f t="shared" si="3"/>
        <v>0</v>
      </c>
      <c r="N73" s="103">
        <f t="shared" si="3"/>
        <v>1</v>
      </c>
      <c r="O73" s="103">
        <f t="shared" si="3"/>
        <v>0</v>
      </c>
      <c r="P73" s="103">
        <f t="shared" si="3"/>
        <v>0</v>
      </c>
      <c r="Q73" s="103">
        <f t="shared" si="3"/>
        <v>8</v>
      </c>
      <c r="R73" s="103">
        <f t="shared" si="3"/>
        <v>2</v>
      </c>
      <c r="S73" s="103">
        <f t="shared" si="3"/>
        <v>1</v>
      </c>
      <c r="T73" s="103">
        <f t="shared" si="3"/>
        <v>0</v>
      </c>
      <c r="U73" s="103">
        <f t="shared" si="3"/>
        <v>0</v>
      </c>
      <c r="V73" s="103">
        <f t="shared" si="3"/>
        <v>0</v>
      </c>
      <c r="W73" s="103">
        <f t="shared" si="3"/>
        <v>0</v>
      </c>
      <c r="X73" s="103">
        <f t="shared" si="3"/>
        <v>0</v>
      </c>
      <c r="Y73" s="103">
        <f t="shared" si="3"/>
        <v>1</v>
      </c>
      <c r="Z73" s="103">
        <f t="shared" si="3"/>
        <v>1</v>
      </c>
      <c r="AA73" s="103">
        <f>SUM(C73:Z73)</f>
        <v>40</v>
      </c>
    </row>
    <row r="74" spans="1:27" ht="15.75" thickTop="1" x14ac:dyDescent="0.25"/>
    <row r="76" spans="1:27" ht="15.75" x14ac:dyDescent="0.25">
      <c r="B76" s="390" t="s">
        <v>211</v>
      </c>
      <c r="C76" s="390"/>
      <c r="D76" s="390"/>
      <c r="E76" s="390"/>
      <c r="F76" s="384"/>
    </row>
    <row r="77" spans="1:27" ht="15.75" x14ac:dyDescent="0.25">
      <c r="B77" s="16"/>
      <c r="C77" s="16"/>
      <c r="D77" s="16"/>
      <c r="E77" s="16"/>
      <c r="F77" s="16"/>
    </row>
    <row r="78" spans="1:27" ht="15.75" x14ac:dyDescent="0.25">
      <c r="B78" s="15" t="s">
        <v>212</v>
      </c>
      <c r="C78" s="15"/>
      <c r="D78" s="15"/>
      <c r="E78" s="15" t="s">
        <v>213</v>
      </c>
      <c r="F78" s="15"/>
    </row>
    <row r="79" spans="1:27" ht="31.5" x14ac:dyDescent="0.25">
      <c r="B79" s="16" t="s">
        <v>160</v>
      </c>
      <c r="C79" s="16" t="s">
        <v>208</v>
      </c>
      <c r="D79" s="16"/>
      <c r="E79" s="16" t="s">
        <v>160</v>
      </c>
      <c r="F79" s="16" t="s">
        <v>208</v>
      </c>
    </row>
    <row r="80" spans="1:27" ht="15.75" x14ac:dyDescent="0.25">
      <c r="B80" s="15">
        <v>1</v>
      </c>
      <c r="C80" s="15">
        <f>INDEX($A$5:$Z$5,1,SUMPRODUCT(--($C$6:$Z$28=$B80)*COLUMN($C$6:$Z$28)))</f>
        <v>9</v>
      </c>
      <c r="D80" s="15"/>
      <c r="E80" s="15">
        <v>1</v>
      </c>
      <c r="F80" s="15">
        <f>INDEX($A$5:$Z$5,1,SUMPRODUCT(--($C$65:$Z$72=$B80)*COLUMN($C$65:$Z$72)))</f>
        <v>9</v>
      </c>
    </row>
    <row r="81" spans="2:6" ht="15.75" x14ac:dyDescent="0.25">
      <c r="B81" s="16">
        <v>2</v>
      </c>
      <c r="C81" s="15">
        <f t="shared" ref="C81:C144" si="4">INDEX($A$5:$Z$5,1,SUMPRODUCT(--($C$6:$Z$28=$B81)*COLUMN($C$6:$Z$28)))</f>
        <v>22</v>
      </c>
      <c r="D81" s="16"/>
      <c r="E81" s="16">
        <v>2</v>
      </c>
      <c r="F81" s="15">
        <f t="shared" ref="F81:F119" si="5">INDEX($A$5:$Z$5,1,SUMPRODUCT(--($C$65:$Z$72=$B81)*COLUMN($C$65:$Z$72)))</f>
        <v>7</v>
      </c>
    </row>
    <row r="82" spans="2:6" ht="15.75" x14ac:dyDescent="0.25">
      <c r="B82" s="15">
        <v>3</v>
      </c>
      <c r="C82" s="15">
        <f t="shared" si="4"/>
        <v>14</v>
      </c>
      <c r="D82" s="15"/>
      <c r="E82" s="15">
        <v>3</v>
      </c>
      <c r="F82" s="15">
        <f t="shared" si="5"/>
        <v>4</v>
      </c>
    </row>
    <row r="83" spans="2:6" ht="15.75" x14ac:dyDescent="0.25">
      <c r="B83" s="15">
        <v>4</v>
      </c>
      <c r="C83" s="15">
        <f t="shared" si="4"/>
        <v>9</v>
      </c>
      <c r="D83" s="16"/>
      <c r="E83" s="15">
        <v>4</v>
      </c>
      <c r="F83" s="15">
        <f t="shared" si="5"/>
        <v>14</v>
      </c>
    </row>
    <row r="84" spans="2:6" ht="15.75" x14ac:dyDescent="0.25">
      <c r="B84" s="16">
        <v>5</v>
      </c>
      <c r="C84" s="15">
        <f t="shared" si="4"/>
        <v>14</v>
      </c>
      <c r="D84" s="15"/>
      <c r="E84" s="16">
        <v>5</v>
      </c>
      <c r="F84" s="15">
        <f t="shared" si="5"/>
        <v>15</v>
      </c>
    </row>
    <row r="85" spans="2:6" ht="15.75" x14ac:dyDescent="0.25">
      <c r="B85" s="15">
        <v>6</v>
      </c>
      <c r="C85" s="15">
        <f t="shared" si="4"/>
        <v>8</v>
      </c>
      <c r="D85" s="16"/>
      <c r="E85" s="15">
        <v>6</v>
      </c>
      <c r="F85" s="15">
        <f t="shared" si="5"/>
        <v>23</v>
      </c>
    </row>
    <row r="86" spans="2:6" ht="15.75" x14ac:dyDescent="0.25">
      <c r="B86" s="15">
        <v>7</v>
      </c>
      <c r="C86" s="15">
        <f t="shared" si="4"/>
        <v>11</v>
      </c>
      <c r="D86" s="15"/>
      <c r="E86" s="15">
        <v>7</v>
      </c>
      <c r="F86" s="15">
        <f t="shared" si="5"/>
        <v>3</v>
      </c>
    </row>
    <row r="87" spans="2:6" ht="15.75" x14ac:dyDescent="0.25">
      <c r="B87" s="16">
        <v>8</v>
      </c>
      <c r="C87" s="15">
        <f t="shared" si="4"/>
        <v>10</v>
      </c>
      <c r="D87" s="16"/>
      <c r="E87" s="16">
        <v>8</v>
      </c>
      <c r="F87" s="15">
        <f t="shared" si="5"/>
        <v>1</v>
      </c>
    </row>
    <row r="88" spans="2:6" ht="15.75" x14ac:dyDescent="0.25">
      <c r="B88" s="15">
        <v>9</v>
      </c>
      <c r="C88" s="15">
        <f t="shared" si="4"/>
        <v>9</v>
      </c>
      <c r="D88" s="15"/>
      <c r="E88" s="15">
        <v>9</v>
      </c>
      <c r="F88" s="15">
        <f t="shared" si="5"/>
        <v>7</v>
      </c>
    </row>
    <row r="89" spans="2:6" ht="15.75" x14ac:dyDescent="0.25">
      <c r="B89" s="15">
        <v>10</v>
      </c>
      <c r="C89" s="15">
        <f t="shared" si="4"/>
        <v>8</v>
      </c>
      <c r="D89" s="16"/>
      <c r="E89" s="15">
        <v>10</v>
      </c>
      <c r="F89" s="15">
        <f t="shared" si="5"/>
        <v>1</v>
      </c>
    </row>
    <row r="90" spans="2:6" ht="15.75" x14ac:dyDescent="0.25">
      <c r="B90" s="16">
        <v>11</v>
      </c>
      <c r="C90" s="15">
        <f t="shared" si="4"/>
        <v>7</v>
      </c>
      <c r="D90" s="15"/>
      <c r="E90" s="16">
        <v>11</v>
      </c>
      <c r="F90" s="15">
        <f t="shared" si="5"/>
        <v>14</v>
      </c>
    </row>
    <row r="91" spans="2:6" ht="15.75" x14ac:dyDescent="0.25">
      <c r="B91" s="15">
        <v>12</v>
      </c>
      <c r="C91" s="15">
        <f t="shared" si="4"/>
        <v>10</v>
      </c>
      <c r="D91" s="16"/>
      <c r="E91" s="15">
        <v>12</v>
      </c>
      <c r="F91" s="15">
        <f t="shared" si="5"/>
        <v>3</v>
      </c>
    </row>
    <row r="92" spans="2:6" ht="15.75" x14ac:dyDescent="0.25">
      <c r="B92" s="15">
        <v>13</v>
      </c>
      <c r="C92" s="15">
        <f t="shared" si="4"/>
        <v>15</v>
      </c>
      <c r="D92" s="15"/>
      <c r="E92" s="15">
        <v>13</v>
      </c>
      <c r="F92" s="15">
        <f t="shared" si="5"/>
        <v>7</v>
      </c>
    </row>
    <row r="93" spans="2:6" ht="15.75" x14ac:dyDescent="0.25">
      <c r="B93" s="16">
        <v>14</v>
      </c>
      <c r="C93" s="15">
        <f t="shared" si="4"/>
        <v>9</v>
      </c>
      <c r="D93" s="16"/>
      <c r="E93" s="16">
        <v>14</v>
      </c>
      <c r="F93" s="15">
        <f t="shared" si="5"/>
        <v>7</v>
      </c>
    </row>
    <row r="94" spans="2:6" ht="15.75" x14ac:dyDescent="0.25">
      <c r="B94" s="15">
        <v>15</v>
      </c>
      <c r="C94" s="15">
        <f t="shared" si="4"/>
        <v>15</v>
      </c>
      <c r="D94" s="15"/>
      <c r="E94" s="15">
        <v>15</v>
      </c>
      <c r="F94" s="15">
        <f t="shared" si="5"/>
        <v>7</v>
      </c>
    </row>
    <row r="95" spans="2:6" ht="15.75" x14ac:dyDescent="0.25">
      <c r="B95" s="15">
        <v>16</v>
      </c>
      <c r="C95" s="15">
        <f t="shared" si="4"/>
        <v>11</v>
      </c>
      <c r="D95" s="16"/>
      <c r="E95" s="15">
        <v>16</v>
      </c>
      <c r="F95" s="15">
        <f t="shared" si="5"/>
        <v>14</v>
      </c>
    </row>
    <row r="96" spans="2:6" ht="15.75" x14ac:dyDescent="0.25">
      <c r="B96" s="16">
        <v>17</v>
      </c>
      <c r="C96" s="15">
        <f t="shared" si="4"/>
        <v>10</v>
      </c>
      <c r="D96" s="15"/>
      <c r="E96" s="16">
        <v>17</v>
      </c>
      <c r="F96" s="15">
        <f t="shared" si="5"/>
        <v>7</v>
      </c>
    </row>
    <row r="97" spans="2:6" ht="15.75" x14ac:dyDescent="0.25">
      <c r="B97" s="15">
        <v>18</v>
      </c>
      <c r="C97" s="15">
        <f t="shared" si="4"/>
        <v>18</v>
      </c>
      <c r="D97" s="16"/>
      <c r="E97" s="15">
        <v>18</v>
      </c>
      <c r="F97" s="15">
        <f t="shared" si="5"/>
        <v>14</v>
      </c>
    </row>
    <row r="98" spans="2:6" ht="15.75" x14ac:dyDescent="0.25">
      <c r="B98" s="15">
        <v>19</v>
      </c>
      <c r="C98" s="15">
        <f t="shared" si="4"/>
        <v>15</v>
      </c>
      <c r="D98" s="15"/>
      <c r="E98" s="15">
        <v>19</v>
      </c>
      <c r="F98" s="15">
        <f t="shared" si="5"/>
        <v>1</v>
      </c>
    </row>
    <row r="99" spans="2:6" ht="15.75" x14ac:dyDescent="0.25">
      <c r="B99" s="16">
        <v>20</v>
      </c>
      <c r="C99" s="15">
        <f t="shared" si="4"/>
        <v>7</v>
      </c>
      <c r="D99" s="16"/>
      <c r="E99" s="16">
        <v>20</v>
      </c>
      <c r="F99" s="15">
        <f t="shared" si="5"/>
        <v>9</v>
      </c>
    </row>
    <row r="100" spans="2:6" ht="15.75" x14ac:dyDescent="0.25">
      <c r="B100" s="15">
        <v>21</v>
      </c>
      <c r="C100" s="15">
        <f t="shared" si="4"/>
        <v>16</v>
      </c>
      <c r="D100" s="15"/>
      <c r="E100" s="15">
        <v>21</v>
      </c>
      <c r="F100" s="15">
        <f t="shared" si="5"/>
        <v>14</v>
      </c>
    </row>
    <row r="101" spans="2:6" ht="15.75" x14ac:dyDescent="0.25">
      <c r="B101" s="15">
        <v>22</v>
      </c>
      <c r="C101" s="15">
        <f t="shared" si="4"/>
        <v>7</v>
      </c>
      <c r="D101" s="16"/>
      <c r="E101" s="15">
        <v>22</v>
      </c>
      <c r="F101" s="15">
        <f t="shared" si="5"/>
        <v>7</v>
      </c>
    </row>
    <row r="102" spans="2:6" ht="15.75" x14ac:dyDescent="0.25">
      <c r="B102" s="16">
        <v>23</v>
      </c>
      <c r="C102" s="15">
        <f t="shared" si="4"/>
        <v>11</v>
      </c>
      <c r="D102" s="15"/>
      <c r="E102" s="16">
        <v>23</v>
      </c>
      <c r="F102" s="15">
        <f t="shared" si="5"/>
        <v>7</v>
      </c>
    </row>
    <row r="103" spans="2:6" ht="15.75" x14ac:dyDescent="0.25">
      <c r="B103" s="15">
        <v>24</v>
      </c>
      <c r="C103" s="15">
        <f t="shared" si="4"/>
        <v>15</v>
      </c>
      <c r="D103" s="16"/>
      <c r="E103" s="15">
        <v>24</v>
      </c>
      <c r="F103" s="15">
        <f t="shared" si="5"/>
        <v>11</v>
      </c>
    </row>
    <row r="104" spans="2:6" ht="15.75" x14ac:dyDescent="0.25">
      <c r="B104" s="15">
        <v>25</v>
      </c>
      <c r="C104" s="15">
        <f t="shared" si="4"/>
        <v>18</v>
      </c>
      <c r="D104" s="15"/>
      <c r="E104" s="15">
        <v>25</v>
      </c>
      <c r="F104" s="15">
        <f t="shared" si="5"/>
        <v>8</v>
      </c>
    </row>
    <row r="105" spans="2:6" ht="15.75" x14ac:dyDescent="0.25">
      <c r="B105" s="16">
        <v>26</v>
      </c>
      <c r="C105" s="15">
        <f t="shared" si="4"/>
        <v>7</v>
      </c>
      <c r="D105" s="16"/>
      <c r="E105" s="16">
        <v>26</v>
      </c>
      <c r="F105" s="15">
        <f t="shared" si="5"/>
        <v>15</v>
      </c>
    </row>
    <row r="106" spans="2:6" ht="15.75" x14ac:dyDescent="0.25">
      <c r="B106" s="15">
        <v>27</v>
      </c>
      <c r="C106" s="15">
        <f t="shared" si="4"/>
        <v>7</v>
      </c>
      <c r="D106" s="15"/>
      <c r="E106" s="15">
        <v>27</v>
      </c>
      <c r="F106" s="15">
        <f t="shared" si="5"/>
        <v>4</v>
      </c>
    </row>
    <row r="107" spans="2:6" ht="15.75" x14ac:dyDescent="0.25">
      <c r="B107" s="15">
        <v>28</v>
      </c>
      <c r="C107" s="15">
        <f t="shared" si="4"/>
        <v>8</v>
      </c>
      <c r="D107" s="16"/>
      <c r="E107" s="15">
        <v>28</v>
      </c>
      <c r="F107" s="15">
        <f t="shared" si="5"/>
        <v>14</v>
      </c>
    </row>
    <row r="108" spans="2:6" ht="15.75" x14ac:dyDescent="0.25">
      <c r="B108" s="16">
        <v>29</v>
      </c>
      <c r="C108" s="15">
        <f t="shared" si="4"/>
        <v>8</v>
      </c>
      <c r="D108" s="15"/>
      <c r="E108" s="16">
        <v>29</v>
      </c>
      <c r="F108" s="15">
        <f t="shared" si="5"/>
        <v>16</v>
      </c>
    </row>
    <row r="109" spans="2:6" ht="15.75" x14ac:dyDescent="0.25">
      <c r="B109" s="15">
        <v>30</v>
      </c>
      <c r="C109" s="15">
        <f t="shared" si="4"/>
        <v>11</v>
      </c>
      <c r="D109" s="16"/>
      <c r="E109" s="15">
        <v>30</v>
      </c>
      <c r="F109" s="15">
        <f t="shared" si="5"/>
        <v>9</v>
      </c>
    </row>
    <row r="110" spans="2:6" ht="15.75" x14ac:dyDescent="0.25">
      <c r="B110" s="15">
        <v>31</v>
      </c>
      <c r="C110" s="15">
        <f t="shared" si="4"/>
        <v>8</v>
      </c>
      <c r="D110" s="15"/>
      <c r="E110" s="15">
        <v>31</v>
      </c>
      <c r="F110" s="15">
        <f t="shared" si="5"/>
        <v>14</v>
      </c>
    </row>
    <row r="111" spans="2:6" ht="15.75" x14ac:dyDescent="0.25">
      <c r="B111" s="16">
        <v>32</v>
      </c>
      <c r="C111" s="15">
        <f t="shared" si="4"/>
        <v>8</v>
      </c>
      <c r="D111" s="16"/>
      <c r="E111" s="16">
        <v>32</v>
      </c>
      <c r="F111" s="15">
        <f t="shared" si="5"/>
        <v>4</v>
      </c>
    </row>
    <row r="112" spans="2:6" ht="15.75" x14ac:dyDescent="0.25">
      <c r="B112" s="15">
        <v>33</v>
      </c>
      <c r="C112" s="15">
        <f t="shared" si="4"/>
        <v>7</v>
      </c>
      <c r="D112" s="15"/>
      <c r="E112" s="15">
        <v>33</v>
      </c>
      <c r="F112" s="15">
        <f t="shared" si="5"/>
        <v>14</v>
      </c>
    </row>
    <row r="113" spans="2:6" ht="15.75" x14ac:dyDescent="0.25">
      <c r="B113" s="15">
        <v>34</v>
      </c>
      <c r="C113" s="15">
        <f t="shared" si="4"/>
        <v>7</v>
      </c>
      <c r="D113" s="16"/>
      <c r="E113" s="15">
        <v>34</v>
      </c>
      <c r="F113" s="15">
        <f t="shared" si="5"/>
        <v>9</v>
      </c>
    </row>
    <row r="114" spans="2:6" ht="15.75" x14ac:dyDescent="0.25">
      <c r="B114" s="16">
        <v>35</v>
      </c>
      <c r="C114" s="15">
        <f t="shared" si="4"/>
        <v>4</v>
      </c>
      <c r="D114" s="15"/>
      <c r="E114" s="16">
        <v>35</v>
      </c>
      <c r="F114" s="15">
        <f t="shared" si="5"/>
        <v>9</v>
      </c>
    </row>
    <row r="115" spans="2:6" ht="15.75" x14ac:dyDescent="0.25">
      <c r="B115" s="15">
        <v>36</v>
      </c>
      <c r="C115" s="15">
        <f t="shared" si="4"/>
        <v>7</v>
      </c>
      <c r="D115" s="16"/>
      <c r="E115" s="15">
        <v>36</v>
      </c>
      <c r="F115" s="15">
        <f t="shared" si="5"/>
        <v>2</v>
      </c>
    </row>
    <row r="116" spans="2:6" ht="15.75" x14ac:dyDescent="0.25">
      <c r="B116" s="15">
        <v>37</v>
      </c>
      <c r="C116" s="15">
        <f t="shared" si="4"/>
        <v>10</v>
      </c>
      <c r="D116" s="15"/>
      <c r="E116" s="15">
        <v>37</v>
      </c>
      <c r="F116" s="15">
        <f t="shared" si="5"/>
        <v>8</v>
      </c>
    </row>
    <row r="117" spans="2:6" ht="15.75" x14ac:dyDescent="0.25">
      <c r="B117" s="16">
        <v>38</v>
      </c>
      <c r="C117" s="15">
        <f t="shared" si="4"/>
        <v>8</v>
      </c>
      <c r="D117" s="16"/>
      <c r="E117" s="16">
        <v>38</v>
      </c>
      <c r="F117" s="15">
        <f t="shared" si="5"/>
        <v>22</v>
      </c>
    </row>
    <row r="118" spans="2:6" ht="15.75" x14ac:dyDescent="0.25">
      <c r="B118" s="15">
        <v>39</v>
      </c>
      <c r="C118" s="15">
        <f t="shared" si="4"/>
        <v>14</v>
      </c>
      <c r="D118" s="15"/>
      <c r="E118" s="15">
        <v>39</v>
      </c>
      <c r="F118" s="15">
        <f t="shared" si="5"/>
        <v>2</v>
      </c>
    </row>
    <row r="119" spans="2:6" ht="15.75" x14ac:dyDescent="0.25">
      <c r="B119" s="15">
        <v>40</v>
      </c>
      <c r="C119" s="15">
        <f t="shared" si="4"/>
        <v>9</v>
      </c>
      <c r="D119" s="16"/>
      <c r="E119" s="15">
        <v>40</v>
      </c>
      <c r="F119" s="15">
        <f t="shared" si="5"/>
        <v>4</v>
      </c>
    </row>
    <row r="120" spans="2:6" ht="15.75" x14ac:dyDescent="0.25">
      <c r="B120" s="16">
        <v>41</v>
      </c>
      <c r="C120" s="15">
        <f t="shared" si="4"/>
        <v>14</v>
      </c>
      <c r="D120" s="15"/>
      <c r="E120" s="15"/>
      <c r="F120" s="15"/>
    </row>
    <row r="121" spans="2:6" ht="15.75" x14ac:dyDescent="0.25">
      <c r="B121" s="15">
        <v>42</v>
      </c>
      <c r="C121" s="15">
        <f t="shared" si="4"/>
        <v>14</v>
      </c>
      <c r="D121" s="16"/>
      <c r="E121" s="16"/>
      <c r="F121" s="16"/>
    </row>
    <row r="122" spans="2:6" ht="15.75" x14ac:dyDescent="0.25">
      <c r="B122" s="15">
        <v>43</v>
      </c>
      <c r="C122" s="15">
        <f t="shared" si="4"/>
        <v>7</v>
      </c>
      <c r="D122" s="15"/>
      <c r="E122" s="15"/>
      <c r="F122" s="15"/>
    </row>
    <row r="123" spans="2:6" ht="15.75" x14ac:dyDescent="0.25">
      <c r="B123" s="16">
        <v>44</v>
      </c>
      <c r="C123" s="15">
        <f t="shared" si="4"/>
        <v>10</v>
      </c>
      <c r="D123" s="16"/>
      <c r="E123" s="16"/>
      <c r="F123" s="16"/>
    </row>
    <row r="124" spans="2:6" ht="15.75" x14ac:dyDescent="0.25">
      <c r="B124" s="15">
        <v>45</v>
      </c>
      <c r="C124" s="15">
        <f t="shared" si="4"/>
        <v>7</v>
      </c>
      <c r="D124" s="15"/>
      <c r="E124" s="15"/>
      <c r="F124" s="15"/>
    </row>
    <row r="125" spans="2:6" ht="15.75" x14ac:dyDescent="0.25">
      <c r="B125" s="15">
        <v>46</v>
      </c>
      <c r="C125" s="15">
        <f t="shared" si="4"/>
        <v>7</v>
      </c>
      <c r="D125" s="16"/>
      <c r="E125" s="16"/>
      <c r="F125" s="16"/>
    </row>
    <row r="126" spans="2:6" ht="15.75" x14ac:dyDescent="0.25">
      <c r="B126" s="16">
        <v>47</v>
      </c>
      <c r="C126" s="15">
        <f t="shared" si="4"/>
        <v>8</v>
      </c>
      <c r="D126" s="15"/>
      <c r="E126" s="15"/>
      <c r="F126" s="15"/>
    </row>
    <row r="127" spans="2:6" ht="15.75" x14ac:dyDescent="0.25">
      <c r="B127" s="15">
        <v>48</v>
      </c>
      <c r="C127" s="15">
        <f t="shared" si="4"/>
        <v>9</v>
      </c>
      <c r="D127" s="16"/>
      <c r="E127" s="16"/>
      <c r="F127" s="16"/>
    </row>
    <row r="128" spans="2:6" ht="15.75" x14ac:dyDescent="0.25">
      <c r="B128" s="15">
        <v>49</v>
      </c>
      <c r="C128" s="15">
        <f t="shared" si="4"/>
        <v>15</v>
      </c>
      <c r="D128" s="15"/>
      <c r="E128" s="15"/>
      <c r="F128" s="15"/>
    </row>
    <row r="129" spans="2:6" ht="15.75" x14ac:dyDescent="0.25">
      <c r="B129" s="16">
        <v>50</v>
      </c>
      <c r="C129" s="15">
        <f t="shared" si="4"/>
        <v>15</v>
      </c>
      <c r="D129" s="16"/>
      <c r="E129" s="16"/>
      <c r="F129" s="16"/>
    </row>
    <row r="130" spans="2:6" ht="15.75" x14ac:dyDescent="0.25">
      <c r="B130" s="15">
        <v>51</v>
      </c>
      <c r="C130" s="15">
        <f t="shared" si="4"/>
        <v>14</v>
      </c>
      <c r="D130" s="15"/>
      <c r="E130" s="15"/>
      <c r="F130" s="15"/>
    </row>
    <row r="131" spans="2:6" ht="15.75" x14ac:dyDescent="0.25">
      <c r="B131" s="15">
        <v>52</v>
      </c>
      <c r="C131" s="15">
        <f t="shared" si="4"/>
        <v>9</v>
      </c>
      <c r="D131" s="16"/>
      <c r="E131" s="16"/>
      <c r="F131" s="16"/>
    </row>
    <row r="132" spans="2:6" ht="15.75" x14ac:dyDescent="0.25">
      <c r="B132" s="16">
        <v>53</v>
      </c>
      <c r="C132" s="15">
        <f t="shared" si="4"/>
        <v>11</v>
      </c>
      <c r="D132" s="15"/>
      <c r="E132" s="15"/>
      <c r="F132" s="15"/>
    </row>
    <row r="133" spans="2:6" ht="15.75" x14ac:dyDescent="0.25">
      <c r="B133" s="15">
        <v>54</v>
      </c>
      <c r="C133" s="15">
        <f t="shared" si="4"/>
        <v>11</v>
      </c>
      <c r="D133" s="16"/>
      <c r="E133" s="16"/>
      <c r="F133" s="16"/>
    </row>
    <row r="134" spans="2:6" ht="15.75" x14ac:dyDescent="0.25">
      <c r="B134" s="15">
        <v>55</v>
      </c>
      <c r="C134" s="15">
        <f t="shared" si="4"/>
        <v>11</v>
      </c>
      <c r="D134" s="15"/>
      <c r="E134" s="15"/>
      <c r="F134" s="15"/>
    </row>
    <row r="135" spans="2:6" ht="15.75" x14ac:dyDescent="0.25">
      <c r="B135" s="16">
        <v>56</v>
      </c>
      <c r="C135" s="15">
        <f t="shared" si="4"/>
        <v>14</v>
      </c>
      <c r="D135" s="16"/>
      <c r="E135" s="16"/>
      <c r="F135" s="16"/>
    </row>
    <row r="136" spans="2:6" ht="15.75" x14ac:dyDescent="0.25">
      <c r="B136" s="15">
        <v>57</v>
      </c>
      <c r="C136" s="15">
        <f t="shared" si="4"/>
        <v>8</v>
      </c>
      <c r="D136" s="15"/>
      <c r="E136" s="15"/>
      <c r="F136" s="15"/>
    </row>
    <row r="137" spans="2:6" ht="15.75" x14ac:dyDescent="0.25">
      <c r="B137" s="15">
        <v>58</v>
      </c>
      <c r="C137" s="15">
        <f t="shared" si="4"/>
        <v>14</v>
      </c>
      <c r="D137" s="16"/>
      <c r="E137" s="16"/>
      <c r="F137" s="16"/>
    </row>
    <row r="138" spans="2:6" ht="15.75" x14ac:dyDescent="0.25">
      <c r="B138" s="16">
        <v>59</v>
      </c>
      <c r="C138" s="15">
        <f t="shared" si="4"/>
        <v>7</v>
      </c>
      <c r="D138" s="15"/>
      <c r="E138" s="15"/>
      <c r="F138" s="15"/>
    </row>
    <row r="139" spans="2:6" ht="15.75" x14ac:dyDescent="0.25">
      <c r="B139" s="15">
        <v>60</v>
      </c>
      <c r="C139" s="15">
        <f t="shared" si="4"/>
        <v>11</v>
      </c>
      <c r="D139" s="16"/>
      <c r="E139" s="16"/>
      <c r="F139" s="16"/>
    </row>
    <row r="140" spans="2:6" ht="15.75" x14ac:dyDescent="0.25">
      <c r="B140" s="16">
        <v>61</v>
      </c>
      <c r="C140" s="15">
        <f t="shared" si="4"/>
        <v>22</v>
      </c>
      <c r="D140" s="15"/>
      <c r="E140" s="15"/>
      <c r="F140" s="15"/>
    </row>
    <row r="141" spans="2:6" ht="15.75" x14ac:dyDescent="0.25">
      <c r="B141" s="15">
        <v>62</v>
      </c>
      <c r="C141" s="15">
        <f t="shared" si="4"/>
        <v>7</v>
      </c>
      <c r="D141" s="16"/>
      <c r="E141" s="16"/>
      <c r="F141" s="16"/>
    </row>
    <row r="142" spans="2:6" ht="15.75" x14ac:dyDescent="0.25">
      <c r="B142" s="15">
        <v>63</v>
      </c>
      <c r="C142" s="15">
        <f t="shared" si="4"/>
        <v>23</v>
      </c>
      <c r="D142" s="15"/>
      <c r="E142" s="15"/>
      <c r="F142" s="15"/>
    </row>
    <row r="143" spans="2:6" ht="15.75" x14ac:dyDescent="0.25">
      <c r="B143" s="16">
        <v>64</v>
      </c>
      <c r="C143" s="15">
        <f t="shared" si="4"/>
        <v>22</v>
      </c>
      <c r="D143" s="16"/>
      <c r="E143" s="16"/>
      <c r="F143" s="16"/>
    </row>
    <row r="144" spans="2:6" ht="15.75" x14ac:dyDescent="0.25">
      <c r="B144" s="15">
        <v>65</v>
      </c>
      <c r="C144" s="15">
        <f t="shared" si="4"/>
        <v>9</v>
      </c>
      <c r="D144" s="15"/>
      <c r="E144" s="15"/>
      <c r="F144" s="15"/>
    </row>
    <row r="145" spans="2:6" ht="15.75" x14ac:dyDescent="0.25">
      <c r="B145" s="16">
        <v>66</v>
      </c>
      <c r="C145" s="15">
        <f t="shared" ref="C145:C199" si="6">INDEX($A$5:$Z$5,1,SUMPRODUCT(--($C$6:$Z$28=$B145)*COLUMN($C$6:$Z$28)))</f>
        <v>14</v>
      </c>
      <c r="D145" s="16"/>
      <c r="E145" s="16"/>
      <c r="F145" s="16"/>
    </row>
    <row r="146" spans="2:6" ht="15.75" x14ac:dyDescent="0.25">
      <c r="B146" s="15">
        <v>67</v>
      </c>
      <c r="C146" s="15">
        <f t="shared" si="6"/>
        <v>15</v>
      </c>
      <c r="D146" s="15"/>
      <c r="E146" s="15"/>
      <c r="F146" s="15"/>
    </row>
    <row r="147" spans="2:6" ht="15.75" x14ac:dyDescent="0.25">
      <c r="B147" s="15">
        <v>68</v>
      </c>
      <c r="C147" s="15">
        <f t="shared" si="6"/>
        <v>15</v>
      </c>
      <c r="D147" s="16"/>
      <c r="E147" s="16"/>
      <c r="F147" s="16"/>
    </row>
    <row r="148" spans="2:6" ht="15.75" x14ac:dyDescent="0.25">
      <c r="B148" s="16">
        <v>69</v>
      </c>
      <c r="C148" s="15">
        <f t="shared" si="6"/>
        <v>15</v>
      </c>
      <c r="D148" s="15"/>
      <c r="E148" s="15"/>
      <c r="F148" s="15"/>
    </row>
    <row r="149" spans="2:6" ht="15.75" x14ac:dyDescent="0.25">
      <c r="B149" s="15">
        <v>70</v>
      </c>
      <c r="C149" s="15">
        <f t="shared" si="6"/>
        <v>11</v>
      </c>
      <c r="D149" s="16"/>
      <c r="E149" s="16"/>
      <c r="F149" s="16"/>
    </row>
    <row r="150" spans="2:6" ht="15.75" x14ac:dyDescent="0.25">
      <c r="B150" s="16">
        <v>71</v>
      </c>
      <c r="C150" s="15">
        <f t="shared" si="6"/>
        <v>7</v>
      </c>
      <c r="D150" s="15"/>
      <c r="E150" s="15"/>
      <c r="F150" s="15"/>
    </row>
    <row r="151" spans="2:6" ht="15.75" x14ac:dyDescent="0.25">
      <c r="B151" s="15">
        <v>72</v>
      </c>
      <c r="C151" s="15">
        <f t="shared" si="6"/>
        <v>14</v>
      </c>
      <c r="D151" s="16"/>
      <c r="E151" s="16"/>
      <c r="F151" s="16"/>
    </row>
    <row r="152" spans="2:6" ht="15.75" x14ac:dyDescent="0.25">
      <c r="B152" s="15">
        <v>73</v>
      </c>
      <c r="C152" s="15">
        <f t="shared" si="6"/>
        <v>8</v>
      </c>
      <c r="D152" s="15"/>
      <c r="E152" s="15"/>
      <c r="F152" s="15"/>
    </row>
    <row r="153" spans="2:6" ht="15.75" x14ac:dyDescent="0.25">
      <c r="B153" s="16">
        <v>74</v>
      </c>
      <c r="C153" s="15">
        <f t="shared" si="6"/>
        <v>8</v>
      </c>
      <c r="D153" s="16"/>
      <c r="E153" s="16"/>
      <c r="F153" s="16"/>
    </row>
    <row r="154" spans="2:6" ht="15.75" x14ac:dyDescent="0.25">
      <c r="B154" s="15">
        <v>75</v>
      </c>
      <c r="C154" s="15">
        <f t="shared" si="6"/>
        <v>1</v>
      </c>
      <c r="D154" s="15"/>
      <c r="E154" s="15"/>
      <c r="F154" s="15"/>
    </row>
    <row r="155" spans="2:6" ht="15.75" x14ac:dyDescent="0.25">
      <c r="B155" s="16">
        <v>76</v>
      </c>
      <c r="C155" s="15">
        <f t="shared" si="6"/>
        <v>9</v>
      </c>
      <c r="D155" s="16"/>
      <c r="E155" s="16"/>
      <c r="F155" s="16"/>
    </row>
    <row r="156" spans="2:6" ht="15.75" x14ac:dyDescent="0.25">
      <c r="B156" s="15">
        <v>77</v>
      </c>
      <c r="C156" s="15">
        <f t="shared" si="6"/>
        <v>18</v>
      </c>
      <c r="D156" s="15"/>
      <c r="E156" s="15"/>
      <c r="F156" s="15"/>
    </row>
    <row r="157" spans="2:6" ht="15.75" x14ac:dyDescent="0.25">
      <c r="B157" s="15">
        <v>78</v>
      </c>
      <c r="C157" s="15">
        <f t="shared" si="6"/>
        <v>8</v>
      </c>
      <c r="D157" s="16"/>
      <c r="E157" s="16"/>
      <c r="F157" s="16"/>
    </row>
    <row r="158" spans="2:6" ht="15.75" x14ac:dyDescent="0.25">
      <c r="B158" s="16">
        <v>79</v>
      </c>
      <c r="C158" s="15">
        <f t="shared" si="6"/>
        <v>7</v>
      </c>
    </row>
    <row r="159" spans="2:6" ht="15.75" x14ac:dyDescent="0.25">
      <c r="B159" s="15">
        <v>80</v>
      </c>
      <c r="C159" s="15">
        <f t="shared" si="6"/>
        <v>23</v>
      </c>
    </row>
    <row r="160" spans="2:6" ht="15.75" x14ac:dyDescent="0.25">
      <c r="B160" s="16">
        <v>81</v>
      </c>
      <c r="C160" s="15">
        <f t="shared" si="6"/>
        <v>14</v>
      </c>
    </row>
    <row r="161" spans="2:3" ht="15.75" x14ac:dyDescent="0.25">
      <c r="B161" s="15">
        <v>82</v>
      </c>
      <c r="C161" s="15">
        <f t="shared" si="6"/>
        <v>7</v>
      </c>
    </row>
    <row r="162" spans="2:3" ht="15.75" x14ac:dyDescent="0.25">
      <c r="B162" s="15">
        <v>83</v>
      </c>
      <c r="C162" s="15">
        <f t="shared" si="6"/>
        <v>22</v>
      </c>
    </row>
    <row r="163" spans="2:3" ht="15.75" x14ac:dyDescent="0.25">
      <c r="B163" s="16">
        <v>84</v>
      </c>
      <c r="C163" s="15">
        <f t="shared" si="6"/>
        <v>7</v>
      </c>
    </row>
    <row r="164" spans="2:3" ht="15.75" x14ac:dyDescent="0.25">
      <c r="B164" s="15">
        <v>85</v>
      </c>
      <c r="C164" s="15">
        <f t="shared" si="6"/>
        <v>9</v>
      </c>
    </row>
    <row r="165" spans="2:3" ht="15.75" x14ac:dyDescent="0.25">
      <c r="B165" s="16">
        <v>86</v>
      </c>
      <c r="C165" s="15">
        <f t="shared" si="6"/>
        <v>7</v>
      </c>
    </row>
    <row r="166" spans="2:3" ht="15.75" x14ac:dyDescent="0.25">
      <c r="B166" s="15">
        <v>87</v>
      </c>
      <c r="C166" s="15">
        <f t="shared" si="6"/>
        <v>14</v>
      </c>
    </row>
    <row r="167" spans="2:3" ht="15.75" x14ac:dyDescent="0.25">
      <c r="B167" s="15">
        <v>88</v>
      </c>
      <c r="C167" s="15">
        <f t="shared" si="6"/>
        <v>7</v>
      </c>
    </row>
    <row r="168" spans="2:3" ht="15.75" x14ac:dyDescent="0.25">
      <c r="B168" s="16">
        <v>89</v>
      </c>
      <c r="C168" s="15">
        <f t="shared" si="6"/>
        <v>14</v>
      </c>
    </row>
    <row r="169" spans="2:3" ht="15.75" x14ac:dyDescent="0.25">
      <c r="B169" s="15">
        <v>90</v>
      </c>
      <c r="C169" s="15">
        <f t="shared" si="6"/>
        <v>9</v>
      </c>
    </row>
    <row r="170" spans="2:3" ht="15.75" x14ac:dyDescent="0.25">
      <c r="B170" s="16">
        <v>91</v>
      </c>
      <c r="C170" s="15">
        <f t="shared" si="6"/>
        <v>8</v>
      </c>
    </row>
    <row r="171" spans="2:3" ht="15.75" x14ac:dyDescent="0.25">
      <c r="B171" s="15">
        <v>92</v>
      </c>
      <c r="C171" s="15">
        <f t="shared" si="6"/>
        <v>14</v>
      </c>
    </row>
    <row r="172" spans="2:3" ht="15.75" x14ac:dyDescent="0.25">
      <c r="B172" s="15">
        <v>93</v>
      </c>
      <c r="C172" s="15">
        <f t="shared" si="6"/>
        <v>8</v>
      </c>
    </row>
    <row r="173" spans="2:3" ht="15.75" x14ac:dyDescent="0.25">
      <c r="B173" s="16">
        <v>94</v>
      </c>
      <c r="C173" s="15">
        <f t="shared" si="6"/>
        <v>7</v>
      </c>
    </row>
    <row r="174" spans="2:3" ht="15.75" x14ac:dyDescent="0.25">
      <c r="B174" s="15">
        <v>95</v>
      </c>
      <c r="C174" s="15">
        <f t="shared" si="6"/>
        <v>11</v>
      </c>
    </row>
    <row r="175" spans="2:3" ht="15.75" x14ac:dyDescent="0.25">
      <c r="B175" s="16">
        <v>96</v>
      </c>
      <c r="C175" s="15">
        <f t="shared" si="6"/>
        <v>8</v>
      </c>
    </row>
    <row r="176" spans="2:3" ht="15.75" x14ac:dyDescent="0.25">
      <c r="B176" s="15">
        <v>97</v>
      </c>
      <c r="C176" s="15">
        <f t="shared" si="6"/>
        <v>14</v>
      </c>
    </row>
    <row r="177" spans="2:3" ht="15.75" x14ac:dyDescent="0.25">
      <c r="B177" s="15">
        <v>98</v>
      </c>
      <c r="C177" s="15">
        <f t="shared" si="6"/>
        <v>8</v>
      </c>
    </row>
    <row r="178" spans="2:3" ht="15.75" x14ac:dyDescent="0.25">
      <c r="B178" s="16">
        <v>99</v>
      </c>
      <c r="C178" s="15">
        <f t="shared" si="6"/>
        <v>7</v>
      </c>
    </row>
    <row r="179" spans="2:3" ht="15.75" x14ac:dyDescent="0.25">
      <c r="B179" s="15">
        <v>100</v>
      </c>
      <c r="C179" s="15">
        <f t="shared" si="6"/>
        <v>14</v>
      </c>
    </row>
    <row r="180" spans="2:3" ht="15.75" x14ac:dyDescent="0.25">
      <c r="B180" s="16">
        <v>101</v>
      </c>
      <c r="C180" s="15">
        <f t="shared" si="6"/>
        <v>9</v>
      </c>
    </row>
    <row r="181" spans="2:3" ht="15.75" x14ac:dyDescent="0.25">
      <c r="B181" s="15">
        <v>102</v>
      </c>
      <c r="C181" s="15">
        <f t="shared" si="6"/>
        <v>16</v>
      </c>
    </row>
    <row r="182" spans="2:3" ht="15.75" x14ac:dyDescent="0.25">
      <c r="B182" s="15">
        <v>103</v>
      </c>
      <c r="C182" s="15">
        <f t="shared" si="6"/>
        <v>10</v>
      </c>
    </row>
    <row r="183" spans="2:3" ht="15.75" x14ac:dyDescent="0.25">
      <c r="B183" s="16">
        <v>104</v>
      </c>
      <c r="C183" s="15">
        <f t="shared" si="6"/>
        <v>21</v>
      </c>
    </row>
    <row r="184" spans="2:3" ht="15.75" x14ac:dyDescent="0.25">
      <c r="B184" s="15">
        <v>105</v>
      </c>
      <c r="C184" s="15">
        <f t="shared" si="6"/>
        <v>8</v>
      </c>
    </row>
    <row r="185" spans="2:3" ht="15.75" x14ac:dyDescent="0.25">
      <c r="B185" s="16">
        <v>106</v>
      </c>
      <c r="C185" s="15">
        <f t="shared" si="6"/>
        <v>14</v>
      </c>
    </row>
    <row r="186" spans="2:3" ht="15.75" x14ac:dyDescent="0.25">
      <c r="B186" s="15">
        <v>107</v>
      </c>
      <c r="C186" s="15">
        <f t="shared" si="6"/>
        <v>23</v>
      </c>
    </row>
    <row r="187" spans="2:3" ht="15.75" x14ac:dyDescent="0.25">
      <c r="B187" s="15">
        <v>108</v>
      </c>
      <c r="C187" s="15">
        <f t="shared" si="6"/>
        <v>23</v>
      </c>
    </row>
    <row r="188" spans="2:3" ht="15.75" x14ac:dyDescent="0.25">
      <c r="B188" s="16">
        <v>109</v>
      </c>
      <c r="C188" s="15">
        <f t="shared" si="6"/>
        <v>9</v>
      </c>
    </row>
    <row r="189" spans="2:3" ht="15.75" x14ac:dyDescent="0.25">
      <c r="B189" s="15">
        <v>110</v>
      </c>
      <c r="C189" s="15">
        <f t="shared" si="6"/>
        <v>21</v>
      </c>
    </row>
    <row r="190" spans="2:3" ht="15.75" x14ac:dyDescent="0.25">
      <c r="B190" s="16">
        <v>111</v>
      </c>
      <c r="C190" s="15">
        <f t="shared" si="6"/>
        <v>9</v>
      </c>
    </row>
    <row r="191" spans="2:3" ht="15.75" x14ac:dyDescent="0.25">
      <c r="B191" s="15">
        <v>112</v>
      </c>
      <c r="C191" s="15">
        <f t="shared" si="6"/>
        <v>14</v>
      </c>
    </row>
    <row r="192" spans="2:3" ht="15.75" x14ac:dyDescent="0.25">
      <c r="B192" s="15">
        <v>113</v>
      </c>
      <c r="C192" s="15">
        <f t="shared" si="6"/>
        <v>7</v>
      </c>
    </row>
    <row r="193" spans="2:3" ht="15.75" x14ac:dyDescent="0.25">
      <c r="B193" s="16">
        <v>114</v>
      </c>
      <c r="C193" s="15">
        <f t="shared" si="6"/>
        <v>9</v>
      </c>
    </row>
    <row r="194" spans="2:3" ht="15.75" x14ac:dyDescent="0.25">
      <c r="B194" s="15">
        <v>115</v>
      </c>
      <c r="C194" s="15">
        <f t="shared" si="6"/>
        <v>9</v>
      </c>
    </row>
    <row r="195" spans="2:3" ht="15.75" x14ac:dyDescent="0.25">
      <c r="B195" s="16">
        <v>116</v>
      </c>
      <c r="C195" s="15">
        <f t="shared" si="6"/>
        <v>14</v>
      </c>
    </row>
    <row r="196" spans="2:3" ht="15.75" x14ac:dyDescent="0.25">
      <c r="B196" s="15">
        <v>117</v>
      </c>
      <c r="C196" s="15">
        <f t="shared" si="6"/>
        <v>16</v>
      </c>
    </row>
    <row r="197" spans="2:3" ht="15.75" x14ac:dyDescent="0.25">
      <c r="B197" s="15">
        <v>118</v>
      </c>
      <c r="C197" s="15">
        <f t="shared" si="6"/>
        <v>7</v>
      </c>
    </row>
    <row r="198" spans="2:3" ht="15.75" x14ac:dyDescent="0.25">
      <c r="B198" s="16">
        <v>119</v>
      </c>
      <c r="C198" s="15">
        <f t="shared" si="6"/>
        <v>16</v>
      </c>
    </row>
    <row r="199" spans="2:3" ht="15.75" x14ac:dyDescent="0.25">
      <c r="B199" s="15">
        <v>120</v>
      </c>
      <c r="C199" s="15">
        <f t="shared" si="6"/>
        <v>11</v>
      </c>
    </row>
  </sheetData>
  <mergeCells count="13">
    <mergeCell ref="B76:F76"/>
    <mergeCell ref="B2:AF2"/>
    <mergeCell ref="M1:T1"/>
    <mergeCell ref="B6:B28"/>
    <mergeCell ref="B65:B72"/>
    <mergeCell ref="AH5:AJ5"/>
    <mergeCell ref="A65:A72"/>
    <mergeCell ref="A41:A44"/>
    <mergeCell ref="A37:A40"/>
    <mergeCell ref="A29:A32"/>
    <mergeCell ref="A33:A36"/>
    <mergeCell ref="A45:A48"/>
    <mergeCell ref="A49:A52"/>
  </mergeCells>
  <conditionalFormatting sqref="C6:Z28">
    <cfRule type="duplicateValues" dxfId="57" priority="1"/>
  </conditionalFormatting>
  <conditionalFormatting sqref="C65:Z72">
    <cfRule type="duplicateValues" dxfId="56" priority="9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6497DC6-39F7-487C-9B21-52266603053A}">
            <xm:f>AND(INDEX('Aegypti PCR'!$C$6:$L$125,MATCH(D6,'Aegypti PCR'!$C$6:$C$125,0),5),INDEX('Aegypti PCR'!$C$6:$L$125,MATCH(D6,'Aegypti PCR'!$C$6:$C$125,0),9)=TRUE)</xm:f>
            <x14:dxf>
              <fill>
                <gradientFill type="path" left="1" right="1">
                  <stop position="0">
                    <color rgb="FFFF0000"/>
                  </stop>
                  <stop position="1">
                    <color rgb="FF92D050"/>
                  </stop>
                </gradientFill>
              </fill>
            </x14:dxf>
          </x14:cfRule>
          <x14:cfRule type="expression" priority="3" id="{73EFFC3C-C8E4-4759-92A1-D10942338935}">
            <xm:f>INDEX('Aegypti PCR'!$C$6:$L$125,MATCH(D6,'Aegypti PCR'!$C$6:$C$125,0),5)</xm:f>
            <x14:dxf>
              <fill>
                <patternFill>
                  <bgColor rgb="FF92D050"/>
                </patternFill>
              </fill>
            </x14:dxf>
          </x14:cfRule>
          <xm:sqref>D6:Z28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F4141"/>
  </sheetPr>
  <dimension ref="A1:CD195"/>
  <sheetViews>
    <sheetView tabSelected="1" topLeftCell="V1" workbookViewId="0">
      <selection activeCell="AB6" sqref="AB6"/>
    </sheetView>
  </sheetViews>
  <sheetFormatPr defaultRowHeight="15" x14ac:dyDescent="0.25"/>
  <cols>
    <col min="1" max="1" width="15.5703125" customWidth="1"/>
    <col min="2" max="2" width="13.42578125" customWidth="1"/>
    <col min="3" max="3" width="10.85546875" bestFit="1" customWidth="1"/>
    <col min="4" max="4" width="16" bestFit="1" customWidth="1"/>
    <col min="5" max="5" width="10.85546875" customWidth="1"/>
    <col min="24" max="26" width="9.5703125" customWidth="1"/>
    <col min="27" max="27" width="14.85546875" customWidth="1"/>
    <col min="28" max="28" width="19" customWidth="1"/>
    <col min="29" max="40" width="9.5703125" customWidth="1"/>
    <col min="52" max="52" width="10.85546875" customWidth="1"/>
    <col min="53" max="53" width="11.28515625" customWidth="1"/>
    <col min="79" max="79" width="17.140625" customWidth="1"/>
  </cols>
  <sheetData>
    <row r="1" spans="3:82" x14ac:dyDescent="0.25">
      <c r="K1" s="400"/>
      <c r="L1" s="400"/>
      <c r="M1" s="400"/>
      <c r="N1" s="400"/>
      <c r="AE1" s="395" t="s">
        <v>69</v>
      </c>
      <c r="AF1" s="395"/>
      <c r="AG1" s="395"/>
      <c r="AK1" t="s">
        <v>18</v>
      </c>
    </row>
    <row r="2" spans="3:82" x14ac:dyDescent="0.25">
      <c r="K2" s="400"/>
      <c r="L2" s="400"/>
      <c r="M2" s="400"/>
      <c r="N2" s="400"/>
      <c r="AB2" s="131">
        <v>42838</v>
      </c>
      <c r="AC2" s="131">
        <v>42843</v>
      </c>
      <c r="AD2" s="131">
        <v>42846</v>
      </c>
      <c r="AE2" s="131">
        <v>42850</v>
      </c>
      <c r="AF2" s="131">
        <v>42853</v>
      </c>
      <c r="AG2" s="131">
        <v>42857</v>
      </c>
      <c r="AH2" s="131">
        <v>42860</v>
      </c>
      <c r="AI2" s="131">
        <v>42864</v>
      </c>
      <c r="AJ2" s="131">
        <v>42867</v>
      </c>
      <c r="AK2" s="240">
        <v>42871</v>
      </c>
    </row>
    <row r="3" spans="3:82" x14ac:dyDescent="0.25">
      <c r="C3" s="122">
        <v>42835</v>
      </c>
      <c r="AB3" t="s">
        <v>92</v>
      </c>
      <c r="BL3" s="399" t="s">
        <v>98</v>
      </c>
      <c r="BM3" s="399"/>
      <c r="BN3" s="399"/>
      <c r="BO3" s="399"/>
      <c r="BP3" s="399"/>
      <c r="BQ3" s="399"/>
      <c r="BS3" t="s">
        <v>106</v>
      </c>
    </row>
    <row r="4" spans="3:82" ht="18.75" customHeight="1" x14ac:dyDescent="0.3">
      <c r="K4" s="401" t="s">
        <v>13</v>
      </c>
      <c r="L4" s="401"/>
      <c r="M4" s="401"/>
      <c r="AB4" t="s">
        <v>107</v>
      </c>
      <c r="AZ4" s="232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317" t="s">
        <v>94</v>
      </c>
      <c r="CB4" s="315" t="s">
        <v>95</v>
      </c>
    </row>
    <row r="5" spans="3:82" x14ac:dyDescent="0.25">
      <c r="D5">
        <v>3</v>
      </c>
      <c r="E5">
        <v>4</v>
      </c>
      <c r="F5">
        <v>7</v>
      </c>
      <c r="G5">
        <v>8</v>
      </c>
      <c r="H5">
        <v>9</v>
      </c>
      <c r="I5">
        <v>10</v>
      </c>
      <c r="J5">
        <v>11</v>
      </c>
      <c r="K5">
        <v>14</v>
      </c>
      <c r="L5">
        <v>15</v>
      </c>
      <c r="M5">
        <v>16</v>
      </c>
      <c r="N5">
        <v>17</v>
      </c>
      <c r="O5">
        <v>18</v>
      </c>
      <c r="P5">
        <v>21</v>
      </c>
      <c r="Q5">
        <v>22</v>
      </c>
      <c r="R5">
        <v>23</v>
      </c>
      <c r="S5">
        <v>24</v>
      </c>
      <c r="T5">
        <v>25</v>
      </c>
      <c r="U5">
        <v>28</v>
      </c>
      <c r="V5">
        <v>29</v>
      </c>
      <c r="Y5" t="s">
        <v>29</v>
      </c>
      <c r="Z5" t="s">
        <v>33</v>
      </c>
      <c r="AZ5" s="127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318"/>
      <c r="CB5" s="314"/>
    </row>
    <row r="6" spans="3:82" x14ac:dyDescent="0.25">
      <c r="C6" s="42" t="s">
        <v>14</v>
      </c>
      <c r="D6" s="156">
        <v>42838</v>
      </c>
      <c r="E6" s="41">
        <v>42839</v>
      </c>
      <c r="F6" s="41">
        <v>42842</v>
      </c>
      <c r="G6" s="156">
        <v>42843</v>
      </c>
      <c r="H6" s="41">
        <v>42844</v>
      </c>
      <c r="I6" s="41">
        <v>42845</v>
      </c>
      <c r="J6" s="156">
        <v>42846</v>
      </c>
      <c r="K6" s="41">
        <v>42849</v>
      </c>
      <c r="L6" s="156">
        <v>42850</v>
      </c>
      <c r="M6" s="41">
        <v>42851</v>
      </c>
      <c r="N6" s="41">
        <v>42852</v>
      </c>
      <c r="O6" s="156">
        <v>42853</v>
      </c>
      <c r="P6" s="41">
        <v>42856</v>
      </c>
      <c r="Q6" s="156">
        <v>42857</v>
      </c>
      <c r="R6" s="41">
        <v>42858</v>
      </c>
      <c r="S6" s="41">
        <v>42859</v>
      </c>
      <c r="T6" s="156">
        <v>42860</v>
      </c>
      <c r="U6" s="41">
        <v>42863</v>
      </c>
      <c r="V6" s="157">
        <v>42864</v>
      </c>
      <c r="W6" t="s">
        <v>145</v>
      </c>
      <c r="X6" t="s">
        <v>97</v>
      </c>
      <c r="AA6" t="s">
        <v>180</v>
      </c>
      <c r="AB6" t="s">
        <v>215</v>
      </c>
      <c r="AD6" t="s">
        <v>166</v>
      </c>
      <c r="AG6" t="s">
        <v>72</v>
      </c>
      <c r="AH6" t="s">
        <v>161</v>
      </c>
      <c r="AJ6" t="s">
        <v>176</v>
      </c>
      <c r="AM6" t="s">
        <v>72</v>
      </c>
      <c r="AO6" t="s">
        <v>179</v>
      </c>
      <c r="BB6" s="237" t="s">
        <v>93</v>
      </c>
      <c r="BC6" s="42" t="s">
        <v>14</v>
      </c>
      <c r="BD6" s="156">
        <v>42838</v>
      </c>
      <c r="BE6" s="41">
        <v>42839</v>
      </c>
      <c r="BF6" s="41">
        <v>42842</v>
      </c>
      <c r="BG6" s="156">
        <v>42843</v>
      </c>
      <c r="BH6" s="41">
        <v>42844</v>
      </c>
      <c r="BI6" s="41">
        <v>42845</v>
      </c>
      <c r="BJ6" s="156">
        <v>42846</v>
      </c>
      <c r="BK6" s="41">
        <v>42847</v>
      </c>
      <c r="BL6" s="41">
        <v>42848</v>
      </c>
      <c r="BM6" s="41">
        <v>42849</v>
      </c>
      <c r="BN6" s="156">
        <v>42850</v>
      </c>
      <c r="BO6" s="41">
        <v>42851</v>
      </c>
      <c r="BP6" s="41">
        <v>42852</v>
      </c>
      <c r="BQ6" s="156">
        <v>42853</v>
      </c>
      <c r="BR6" s="41">
        <v>42854</v>
      </c>
      <c r="BS6" s="41">
        <v>42855</v>
      </c>
      <c r="BT6" s="41">
        <v>42856</v>
      </c>
      <c r="BU6" s="156">
        <v>42857</v>
      </c>
      <c r="BV6" s="41">
        <v>42858</v>
      </c>
      <c r="BW6" s="41">
        <v>42859</v>
      </c>
      <c r="BX6" s="156">
        <v>42860</v>
      </c>
      <c r="BY6" s="41">
        <v>42861</v>
      </c>
      <c r="BZ6" s="41">
        <v>42862</v>
      </c>
      <c r="CA6" s="41">
        <v>42863</v>
      </c>
      <c r="CB6" s="239">
        <v>42864</v>
      </c>
      <c r="CC6" s="319"/>
      <c r="CD6" s="316"/>
    </row>
    <row r="7" spans="3:82" x14ac:dyDescent="0.25">
      <c r="C7" s="44">
        <v>1</v>
      </c>
      <c r="D7" s="149"/>
      <c r="E7" s="149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W7" s="127">
        <f t="shared" ref="W7:W38" si="0">SUM(D7:V7)</f>
        <v>0</v>
      </c>
      <c r="X7">
        <f t="shared" ref="X7:X38" si="1">COUNTIF(D7:V7,"&gt;"&amp;0)</f>
        <v>0</v>
      </c>
      <c r="Y7" t="b">
        <f>LOOKUP($C7,Table7[Sample Name],Table7[Positive])</f>
        <v>1</v>
      </c>
      <c r="Z7" t="b">
        <f>LOOKUP($C7,Table7[Sample Name],Table7[Disseminated])</f>
        <v>0</v>
      </c>
      <c r="AA7">
        <f t="shared" ref="AA7:AA38" si="2">IFERROR(LARGE(D7:V7,1),0)</f>
        <v>0</v>
      </c>
      <c r="AD7" s="324">
        <v>1</v>
      </c>
      <c r="AE7" s="100">
        <v>0</v>
      </c>
      <c r="AF7" s="212"/>
      <c r="AG7">
        <f>SUM(AE7:AF7)</f>
        <v>0</v>
      </c>
      <c r="AH7">
        <f>COUNTIF(AE7:AF7,"&gt;"&amp;0)</f>
        <v>0</v>
      </c>
      <c r="AJ7" s="327">
        <v>1</v>
      </c>
      <c r="AK7" s="232" t="str">
        <f t="shared" ref="AK7:AK38" si="3">IFERROR(SMALL($AE7:$AF7,COLUMN(C:C)),"")</f>
        <v/>
      </c>
      <c r="AL7" s="212" t="str">
        <f t="shared" ref="AL7:AL38" si="4">IFERROR(SMALL($AE7:$AF7,COLUMN(D:D)),"")</f>
        <v/>
      </c>
      <c r="AM7">
        <f>SUM(AK7:AL7)</f>
        <v>0</v>
      </c>
      <c r="AO7">
        <f>AM7-AG7</f>
        <v>0</v>
      </c>
      <c r="BA7" s="241"/>
      <c r="BB7" s="134" t="str">
        <f t="shared" ref="BB7:BB38" si="5">IFERROR(LARGE(D7:V7,1),"")</f>
        <v/>
      </c>
      <c r="BC7" s="44">
        <v>1</v>
      </c>
      <c r="BD7" s="149" t="str">
        <f t="shared" ref="BD7:BD38" si="6">IFERROR(D7/$BB7,"")</f>
        <v/>
      </c>
      <c r="BE7" s="149" t="str">
        <f t="shared" ref="BE7:BE38" si="7">IFERROR(E7/$BB7,"")</f>
        <v/>
      </c>
      <c r="BF7" s="149" t="str">
        <f t="shared" ref="BF7:BF38" si="8">IFERROR(F7/$BB7,"")</f>
        <v/>
      </c>
      <c r="BG7" s="149" t="str">
        <f t="shared" ref="BG7:BG38" si="9">IFERROR(G7/$BB7,"")</f>
        <v/>
      </c>
      <c r="BH7" s="149" t="str">
        <f t="shared" ref="BH7:BH38" si="10">IFERROR(H7/$BB7,"")</f>
        <v/>
      </c>
      <c r="BI7" s="149" t="str">
        <f t="shared" ref="BI7:BI38" si="11">IFERROR(I7/$BB7,"")</f>
        <v/>
      </c>
      <c r="BJ7" s="149" t="str">
        <f t="shared" ref="BJ7:BJ38" si="12">IFERROR(J7/$BB7,"")</f>
        <v/>
      </c>
      <c r="BK7" s="149" t="str">
        <f>IFERROR(#REF!/$BB7,"")</f>
        <v/>
      </c>
      <c r="BL7" s="149" t="str">
        <f>IFERROR(#REF!/$BB7,"")</f>
        <v/>
      </c>
      <c r="BM7" s="149" t="str">
        <f t="shared" ref="BM7:BM38" si="13">IFERROR(K7/$BB7,"")</f>
        <v/>
      </c>
      <c r="BN7" s="149" t="str">
        <f t="shared" ref="BN7:BN38" si="14">IFERROR(L7/$BB7,"")</f>
        <v/>
      </c>
      <c r="BO7" s="149" t="str">
        <f t="shared" ref="BO7:BO38" si="15">IFERROR(M7/$BB7,"")</f>
        <v/>
      </c>
      <c r="BP7" s="149" t="str">
        <f t="shared" ref="BP7:BP38" si="16">IFERROR(N7/$BB7,"")</f>
        <v/>
      </c>
      <c r="BQ7" s="149" t="str">
        <f t="shared" ref="BQ7:BQ38" si="17">IFERROR(O7/$BB7,"")</f>
        <v/>
      </c>
      <c r="BR7" s="149" t="str">
        <f>IFERROR(#REF!/$BB7,"")</f>
        <v/>
      </c>
      <c r="BS7" s="149" t="str">
        <f>IFERROR(#REF!/$BB7,"")</f>
        <v/>
      </c>
      <c r="BT7" s="149" t="str">
        <f t="shared" ref="BT7:BT38" si="18">IFERROR(P7/$BB7,"")</f>
        <v/>
      </c>
      <c r="BU7" s="149" t="str">
        <f t="shared" ref="BU7:BU38" si="19">IFERROR(Q7/$BB7,"")</f>
        <v/>
      </c>
      <c r="BV7" s="149" t="str">
        <f t="shared" ref="BV7:BV38" si="20">IFERROR(R7/$BB7,"")</f>
        <v/>
      </c>
      <c r="BW7" s="149" t="str">
        <f t="shared" ref="BW7:BW38" si="21">IFERROR(S7/$BB7,"")</f>
        <v/>
      </c>
      <c r="BX7" s="149" t="str">
        <f t="shared" ref="BX7:BX38" si="22">IFERROR(T7/$BB7,"")</f>
        <v/>
      </c>
      <c r="BY7" s="149" t="str">
        <f>IFERROR(#REF!/$BB7,"")</f>
        <v/>
      </c>
      <c r="BZ7" s="149" t="str">
        <f>IFERROR(#REF!/$BB7,"")</f>
        <v/>
      </c>
      <c r="CA7" s="149" t="str">
        <f t="shared" ref="CA7:CA38" si="23">IFERROR(U7/$BB7,"")</f>
        <v/>
      </c>
      <c r="CB7" s="149" t="str">
        <f t="shared" ref="CB7:CB38" si="24">IFERROR(V7/$BB7,"")</f>
        <v/>
      </c>
      <c r="CC7" s="207" t="str">
        <f t="shared" ref="CC7:CC38" si="25">IFERROR(W7/$BB7,"")</f>
        <v/>
      </c>
      <c r="CD7" s="208" t="str">
        <f>IFERROR(AND(IF(LARGE(BD7:CB7,1)&gt;0,TRUE,FALSE),IF(LARGE(BD7:CB7,2)&gt;0,FALSE,TRUE)),"")</f>
        <v/>
      </c>
    </row>
    <row r="8" spans="3:82" x14ac:dyDescent="0.25">
      <c r="C8" s="44">
        <v>2</v>
      </c>
      <c r="D8" s="149"/>
      <c r="E8" s="149"/>
      <c r="F8" s="55">
        <v>0</v>
      </c>
      <c r="G8" s="55"/>
      <c r="H8" s="55"/>
      <c r="I8" s="55"/>
      <c r="J8" s="55"/>
      <c r="K8" s="55"/>
      <c r="L8" s="55"/>
      <c r="M8" s="55"/>
      <c r="N8" s="55"/>
      <c r="O8" s="55"/>
      <c r="P8" s="55">
        <v>0</v>
      </c>
      <c r="Q8" s="55"/>
      <c r="U8">
        <v>0</v>
      </c>
      <c r="W8" s="127">
        <f t="shared" si="0"/>
        <v>0</v>
      </c>
      <c r="X8">
        <f t="shared" si="1"/>
        <v>0</v>
      </c>
      <c r="Y8" t="b">
        <f>LOOKUP($C8,Table7[Sample Name],Table7[Positive])</f>
        <v>1</v>
      </c>
      <c r="Z8" t="b">
        <f>LOOKUP($C8,Table7[Sample Name],Table7[Disseminated])</f>
        <v>1</v>
      </c>
      <c r="AA8">
        <f t="shared" si="2"/>
        <v>0</v>
      </c>
      <c r="AD8" s="325">
        <v>2</v>
      </c>
      <c r="AE8" s="43">
        <v>0</v>
      </c>
      <c r="AF8" s="128"/>
      <c r="AG8">
        <f t="shared" ref="AG8:AG71" si="26">SUM(AE8:AF8)</f>
        <v>0</v>
      </c>
      <c r="AH8">
        <f t="shared" ref="AH8:AH71" si="27">COUNTIF(AE8:AF8,"&gt;"&amp;0)</f>
        <v>0</v>
      </c>
      <c r="AJ8" s="207">
        <v>2</v>
      </c>
      <c r="AK8" s="127" t="str">
        <f t="shared" si="3"/>
        <v/>
      </c>
      <c r="AL8" s="128" t="str">
        <f t="shared" si="4"/>
        <v/>
      </c>
      <c r="AM8">
        <f t="shared" ref="AM8:AM71" si="28">SUM(AK8:AL8)</f>
        <v>0</v>
      </c>
      <c r="AO8">
        <f t="shared" ref="AO8:AO71" si="29">AM8-AG8</f>
        <v>0</v>
      </c>
      <c r="BB8" s="134">
        <f t="shared" si="5"/>
        <v>0</v>
      </c>
      <c r="BC8" s="44">
        <v>2</v>
      </c>
      <c r="BD8" s="149" t="str">
        <f t="shared" si="6"/>
        <v/>
      </c>
      <c r="BE8" s="149" t="str">
        <f t="shared" si="7"/>
        <v/>
      </c>
      <c r="BF8" s="149" t="str">
        <f t="shared" si="8"/>
        <v/>
      </c>
      <c r="BG8" s="149" t="str">
        <f t="shared" si="9"/>
        <v/>
      </c>
      <c r="BH8" s="149" t="str">
        <f t="shared" si="10"/>
        <v/>
      </c>
      <c r="BI8" s="149" t="str">
        <f t="shared" si="11"/>
        <v/>
      </c>
      <c r="BJ8" s="149" t="str">
        <f t="shared" si="12"/>
        <v/>
      </c>
      <c r="BK8" s="149" t="str">
        <f>IFERROR(#REF!/$BB8,"")</f>
        <v/>
      </c>
      <c r="BL8" s="149" t="str">
        <f>IFERROR(#REF!/$BB8,"")</f>
        <v/>
      </c>
      <c r="BM8" s="149" t="str">
        <f t="shared" si="13"/>
        <v/>
      </c>
      <c r="BN8" s="149" t="str">
        <f t="shared" si="14"/>
        <v/>
      </c>
      <c r="BO8" s="149" t="str">
        <f t="shared" si="15"/>
        <v/>
      </c>
      <c r="BP8" s="149" t="str">
        <f t="shared" si="16"/>
        <v/>
      </c>
      <c r="BQ8" s="149" t="str">
        <f t="shared" si="17"/>
        <v/>
      </c>
      <c r="BR8" s="149" t="str">
        <f>IFERROR(#REF!/$BB8,"")</f>
        <v/>
      </c>
      <c r="BS8" s="149" t="str">
        <f>IFERROR(#REF!/$BB8,"")</f>
        <v/>
      </c>
      <c r="BT8" s="149" t="str">
        <f t="shared" si="18"/>
        <v/>
      </c>
      <c r="BU8" s="149" t="str">
        <f t="shared" si="19"/>
        <v/>
      </c>
      <c r="BV8" s="149" t="str">
        <f t="shared" si="20"/>
        <v/>
      </c>
      <c r="BW8" s="149" t="str">
        <f t="shared" si="21"/>
        <v/>
      </c>
      <c r="BX8" s="149" t="str">
        <f t="shared" si="22"/>
        <v/>
      </c>
      <c r="BY8" s="149" t="str">
        <f>IFERROR(#REF!/$BB8,"")</f>
        <v/>
      </c>
      <c r="BZ8" s="149" t="str">
        <f>IFERROR(#REF!/$BB8,"")</f>
        <v/>
      </c>
      <c r="CA8" s="149" t="str">
        <f t="shared" si="23"/>
        <v/>
      </c>
      <c r="CB8" s="149" t="str">
        <f t="shared" si="24"/>
        <v/>
      </c>
      <c r="CC8" s="207" t="str">
        <f t="shared" si="25"/>
        <v/>
      </c>
      <c r="CD8" s="208" t="str">
        <f t="shared" ref="CD8:CD66" si="30">IFERROR(AND(IF(LARGE(BD8:CB8,1)&gt;0,TRUE,FALSE),IF(LARGE(BD8:CB8,2)&gt;0,FALSE,TRUE)),"")</f>
        <v/>
      </c>
    </row>
    <row r="9" spans="3:82" x14ac:dyDescent="0.25">
      <c r="C9" s="44">
        <v>3</v>
      </c>
      <c r="D9" s="149"/>
      <c r="E9" s="149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W9" s="127">
        <f t="shared" si="0"/>
        <v>0</v>
      </c>
      <c r="X9">
        <f t="shared" si="1"/>
        <v>0</v>
      </c>
      <c r="Y9" t="b">
        <f>LOOKUP($C9,Table7[Sample Name],Table7[Positive])</f>
        <v>1</v>
      </c>
      <c r="Z9" t="str">
        <f>LOOKUP($C9,Table7[Sample Name],Table7[Disseminated])</f>
        <v>N/A</v>
      </c>
      <c r="AA9">
        <f t="shared" si="2"/>
        <v>0</v>
      </c>
      <c r="AD9" s="325">
        <v>3</v>
      </c>
      <c r="AE9" s="43">
        <v>0</v>
      </c>
      <c r="AF9" s="128"/>
      <c r="AG9">
        <f t="shared" si="26"/>
        <v>0</v>
      </c>
      <c r="AH9">
        <f t="shared" si="27"/>
        <v>0</v>
      </c>
      <c r="AJ9" s="207">
        <v>3</v>
      </c>
      <c r="AK9" s="127" t="str">
        <f t="shared" si="3"/>
        <v/>
      </c>
      <c r="AL9" s="128" t="str">
        <f t="shared" si="4"/>
        <v/>
      </c>
      <c r="AM9">
        <f t="shared" si="28"/>
        <v>0</v>
      </c>
      <c r="AO9">
        <f t="shared" si="29"/>
        <v>0</v>
      </c>
      <c r="BB9" s="134" t="str">
        <f t="shared" si="5"/>
        <v/>
      </c>
      <c r="BC9" s="44">
        <v>3</v>
      </c>
      <c r="BD9" s="149" t="str">
        <f t="shared" si="6"/>
        <v/>
      </c>
      <c r="BE9" s="149" t="str">
        <f t="shared" si="7"/>
        <v/>
      </c>
      <c r="BF9" s="149" t="str">
        <f t="shared" si="8"/>
        <v/>
      </c>
      <c r="BG9" s="149" t="str">
        <f t="shared" si="9"/>
        <v/>
      </c>
      <c r="BH9" s="149" t="str">
        <f t="shared" si="10"/>
        <v/>
      </c>
      <c r="BI9" s="149" t="str">
        <f t="shared" si="11"/>
        <v/>
      </c>
      <c r="BJ9" s="149" t="str">
        <f t="shared" si="12"/>
        <v/>
      </c>
      <c r="BK9" s="149" t="str">
        <f>IFERROR(#REF!/$BB9,"")</f>
        <v/>
      </c>
      <c r="BL9" s="149" t="str">
        <f>IFERROR(#REF!/$BB9,"")</f>
        <v/>
      </c>
      <c r="BM9" s="149" t="str">
        <f t="shared" si="13"/>
        <v/>
      </c>
      <c r="BN9" s="149" t="str">
        <f t="shared" si="14"/>
        <v/>
      </c>
      <c r="BO9" s="149" t="str">
        <f t="shared" si="15"/>
        <v/>
      </c>
      <c r="BP9" s="149" t="str">
        <f t="shared" si="16"/>
        <v/>
      </c>
      <c r="BQ9" s="149" t="str">
        <f t="shared" si="17"/>
        <v/>
      </c>
      <c r="BR9" s="149" t="str">
        <f>IFERROR(#REF!/$BB9,"")</f>
        <v/>
      </c>
      <c r="BS9" s="149" t="str">
        <f>IFERROR(#REF!/$BB9,"")</f>
        <v/>
      </c>
      <c r="BT9" s="149" t="str">
        <f t="shared" si="18"/>
        <v/>
      </c>
      <c r="BU9" s="149" t="str">
        <f t="shared" si="19"/>
        <v/>
      </c>
      <c r="BV9" s="149" t="str">
        <f t="shared" si="20"/>
        <v/>
      </c>
      <c r="BW9" s="149" t="str">
        <f t="shared" si="21"/>
        <v/>
      </c>
      <c r="BX9" s="149" t="str">
        <f t="shared" si="22"/>
        <v/>
      </c>
      <c r="BY9" s="149" t="str">
        <f>IFERROR(#REF!/$BB9,"")</f>
        <v/>
      </c>
      <c r="BZ9" s="149" t="str">
        <f>IFERROR(#REF!/$BB9,"")</f>
        <v/>
      </c>
      <c r="CA9" s="149" t="str">
        <f t="shared" si="23"/>
        <v/>
      </c>
      <c r="CB9" s="149" t="str">
        <f t="shared" si="24"/>
        <v/>
      </c>
      <c r="CC9" s="207" t="str">
        <f t="shared" si="25"/>
        <v/>
      </c>
      <c r="CD9" s="208" t="str">
        <f t="shared" si="30"/>
        <v/>
      </c>
    </row>
    <row r="10" spans="3:82" x14ac:dyDescent="0.25">
      <c r="C10" s="44">
        <v>4</v>
      </c>
      <c r="D10" s="149"/>
      <c r="E10" s="149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W10" s="127">
        <f t="shared" si="0"/>
        <v>0</v>
      </c>
      <c r="X10">
        <f t="shared" si="1"/>
        <v>0</v>
      </c>
      <c r="Y10" t="b">
        <f>LOOKUP($C10,Table7[Sample Name],Table7[Positive])</f>
        <v>1</v>
      </c>
      <c r="Z10" t="str">
        <f>LOOKUP($C10,Table7[Sample Name],Table7[Disseminated])</f>
        <v>N/A</v>
      </c>
      <c r="AA10">
        <f t="shared" si="2"/>
        <v>0</v>
      </c>
      <c r="AD10" s="325">
        <v>4</v>
      </c>
      <c r="AE10" s="43">
        <v>0</v>
      </c>
      <c r="AF10" s="128"/>
      <c r="AG10">
        <f t="shared" si="26"/>
        <v>0</v>
      </c>
      <c r="AH10">
        <f t="shared" si="27"/>
        <v>0</v>
      </c>
      <c r="AJ10" s="207">
        <v>4</v>
      </c>
      <c r="AK10" s="127" t="str">
        <f t="shared" si="3"/>
        <v/>
      </c>
      <c r="AL10" s="128" t="str">
        <f t="shared" si="4"/>
        <v/>
      </c>
      <c r="AM10">
        <f t="shared" si="28"/>
        <v>0</v>
      </c>
      <c r="AO10">
        <f t="shared" si="29"/>
        <v>0</v>
      </c>
      <c r="BB10" s="134" t="str">
        <f t="shared" si="5"/>
        <v/>
      </c>
      <c r="BC10" s="44">
        <v>4</v>
      </c>
      <c r="BD10" s="149" t="str">
        <f t="shared" si="6"/>
        <v/>
      </c>
      <c r="BE10" s="149" t="str">
        <f t="shared" si="7"/>
        <v/>
      </c>
      <c r="BF10" s="149" t="str">
        <f t="shared" si="8"/>
        <v/>
      </c>
      <c r="BG10" s="149" t="str">
        <f t="shared" si="9"/>
        <v/>
      </c>
      <c r="BH10" s="149" t="str">
        <f t="shared" si="10"/>
        <v/>
      </c>
      <c r="BI10" s="149" t="str">
        <f t="shared" si="11"/>
        <v/>
      </c>
      <c r="BJ10" s="149" t="str">
        <f t="shared" si="12"/>
        <v/>
      </c>
      <c r="BK10" s="149" t="str">
        <f>IFERROR(#REF!/$BB10,"")</f>
        <v/>
      </c>
      <c r="BL10" s="149" t="str">
        <f>IFERROR(#REF!/$BB10,"")</f>
        <v/>
      </c>
      <c r="BM10" s="149" t="str">
        <f t="shared" si="13"/>
        <v/>
      </c>
      <c r="BN10" s="149" t="str">
        <f t="shared" si="14"/>
        <v/>
      </c>
      <c r="BO10" s="149" t="str">
        <f t="shared" si="15"/>
        <v/>
      </c>
      <c r="BP10" s="149" t="str">
        <f t="shared" si="16"/>
        <v/>
      </c>
      <c r="BQ10" s="149" t="str">
        <f t="shared" si="17"/>
        <v/>
      </c>
      <c r="BR10" s="149" t="str">
        <f>IFERROR(#REF!/$BB10,"")</f>
        <v/>
      </c>
      <c r="BS10" s="149" t="str">
        <f>IFERROR(#REF!/$BB10,"")</f>
        <v/>
      </c>
      <c r="BT10" s="149" t="str">
        <f t="shared" si="18"/>
        <v/>
      </c>
      <c r="BU10" s="149" t="str">
        <f t="shared" si="19"/>
        <v/>
      </c>
      <c r="BV10" s="149" t="str">
        <f t="shared" si="20"/>
        <v/>
      </c>
      <c r="BW10" s="149" t="str">
        <f t="shared" si="21"/>
        <v/>
      </c>
      <c r="BX10" s="149" t="str">
        <f t="shared" si="22"/>
        <v/>
      </c>
      <c r="BY10" s="149" t="str">
        <f>IFERROR(#REF!/$BB10,"")</f>
        <v/>
      </c>
      <c r="BZ10" s="149" t="str">
        <f>IFERROR(#REF!/$BB10,"")</f>
        <v/>
      </c>
      <c r="CA10" s="149" t="str">
        <f t="shared" si="23"/>
        <v/>
      </c>
      <c r="CB10" s="149" t="str">
        <f t="shared" si="24"/>
        <v/>
      </c>
      <c r="CC10" s="207" t="str">
        <f t="shared" si="25"/>
        <v/>
      </c>
      <c r="CD10" s="208" t="str">
        <f t="shared" si="30"/>
        <v/>
      </c>
    </row>
    <row r="11" spans="3:82" x14ac:dyDescent="0.25">
      <c r="C11" s="44">
        <v>5</v>
      </c>
      <c r="D11" s="149"/>
      <c r="E11" s="149"/>
      <c r="F11" s="55">
        <v>0</v>
      </c>
      <c r="G11" s="55"/>
      <c r="H11" s="55"/>
      <c r="I11" s="55"/>
      <c r="J11" s="55"/>
      <c r="K11" s="55">
        <v>6</v>
      </c>
      <c r="L11" s="55"/>
      <c r="M11" s="55"/>
      <c r="N11" s="55"/>
      <c r="O11" s="55"/>
      <c r="P11" s="55"/>
      <c r="Q11" s="55"/>
      <c r="W11" s="127">
        <f t="shared" si="0"/>
        <v>6</v>
      </c>
      <c r="X11">
        <f t="shared" si="1"/>
        <v>1</v>
      </c>
      <c r="Y11" t="b">
        <f>LOOKUP($C11,Table7[Sample Name],Table7[Positive])</f>
        <v>1</v>
      </c>
      <c r="Z11" t="b">
        <f>LOOKUP($C11,Table7[Sample Name],Table7[Disseminated])</f>
        <v>1</v>
      </c>
      <c r="AA11">
        <f t="shared" si="2"/>
        <v>6</v>
      </c>
      <c r="AD11" s="325">
        <v>5</v>
      </c>
      <c r="AE11" s="43">
        <v>6</v>
      </c>
      <c r="AF11" s="128"/>
      <c r="AG11">
        <f t="shared" si="26"/>
        <v>6</v>
      </c>
      <c r="AH11">
        <f t="shared" si="27"/>
        <v>1</v>
      </c>
      <c r="AJ11" s="207">
        <v>5</v>
      </c>
      <c r="AK11" s="127" t="str">
        <f t="shared" si="3"/>
        <v/>
      </c>
      <c r="AL11" s="128" t="str">
        <f t="shared" si="4"/>
        <v/>
      </c>
      <c r="AM11">
        <f t="shared" si="28"/>
        <v>0</v>
      </c>
      <c r="AO11">
        <f t="shared" si="29"/>
        <v>-6</v>
      </c>
      <c r="BB11" s="134">
        <f t="shared" si="5"/>
        <v>6</v>
      </c>
      <c r="BC11" s="44">
        <v>5</v>
      </c>
      <c r="BD11" s="149">
        <f t="shared" si="6"/>
        <v>0</v>
      </c>
      <c r="BE11" s="149">
        <f t="shared" si="7"/>
        <v>0</v>
      </c>
      <c r="BF11" s="149">
        <f t="shared" si="8"/>
        <v>0</v>
      </c>
      <c r="BG11" s="149">
        <f t="shared" si="9"/>
        <v>0</v>
      </c>
      <c r="BH11" s="149">
        <f t="shared" si="10"/>
        <v>0</v>
      </c>
      <c r="BI11" s="149">
        <f t="shared" si="11"/>
        <v>0</v>
      </c>
      <c r="BJ11" s="149">
        <f t="shared" si="12"/>
        <v>0</v>
      </c>
      <c r="BK11" s="149" t="str">
        <f>IFERROR(#REF!/$BB11,"")</f>
        <v/>
      </c>
      <c r="BL11" s="149" t="str">
        <f>IFERROR(#REF!/$BB11,"")</f>
        <v/>
      </c>
      <c r="BM11" s="149">
        <f t="shared" si="13"/>
        <v>1</v>
      </c>
      <c r="BN11" s="149">
        <f t="shared" si="14"/>
        <v>0</v>
      </c>
      <c r="BO11" s="149">
        <f t="shared" si="15"/>
        <v>0</v>
      </c>
      <c r="BP11" s="149">
        <f t="shared" si="16"/>
        <v>0</v>
      </c>
      <c r="BQ11" s="149">
        <f t="shared" si="17"/>
        <v>0</v>
      </c>
      <c r="BR11" s="149" t="str">
        <f>IFERROR(#REF!/$BB11,"")</f>
        <v/>
      </c>
      <c r="BS11" s="149" t="str">
        <f>IFERROR(#REF!/$BB11,"")</f>
        <v/>
      </c>
      <c r="BT11" s="149">
        <f t="shared" si="18"/>
        <v>0</v>
      </c>
      <c r="BU11" s="149">
        <f t="shared" si="19"/>
        <v>0</v>
      </c>
      <c r="BV11" s="149">
        <f t="shared" si="20"/>
        <v>0</v>
      </c>
      <c r="BW11" s="149">
        <f t="shared" si="21"/>
        <v>0</v>
      </c>
      <c r="BX11" s="149">
        <f t="shared" si="22"/>
        <v>0</v>
      </c>
      <c r="BY11" s="149" t="str">
        <f>IFERROR(#REF!/$BB11,"")</f>
        <v/>
      </c>
      <c r="BZ11" s="149" t="str">
        <f>IFERROR(#REF!/$BB11,"")</f>
        <v/>
      </c>
      <c r="CA11" s="149">
        <f t="shared" si="23"/>
        <v>0</v>
      </c>
      <c r="CB11" s="149">
        <f t="shared" si="24"/>
        <v>0</v>
      </c>
      <c r="CC11" s="207">
        <f t="shared" si="25"/>
        <v>1</v>
      </c>
      <c r="CD11" s="208" t="b">
        <f t="shared" si="30"/>
        <v>1</v>
      </c>
    </row>
    <row r="12" spans="3:82" x14ac:dyDescent="0.25">
      <c r="C12" s="44">
        <v>6</v>
      </c>
      <c r="D12" s="149"/>
      <c r="E12" s="149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W12" s="127">
        <f t="shared" si="0"/>
        <v>0</v>
      </c>
      <c r="X12">
        <f t="shared" si="1"/>
        <v>0</v>
      </c>
      <c r="Y12" t="b">
        <f>LOOKUP($C12,Table7[Sample Name],Table7[Positive])</f>
        <v>1</v>
      </c>
      <c r="Z12" t="str">
        <f>LOOKUP($C12,Table7[Sample Name],Table7[Disseminated])</f>
        <v>N/A</v>
      </c>
      <c r="AA12">
        <f t="shared" si="2"/>
        <v>0</v>
      </c>
      <c r="AD12" s="325">
        <v>6</v>
      </c>
      <c r="AE12" s="43">
        <v>0</v>
      </c>
      <c r="AF12" s="128"/>
      <c r="AG12">
        <f t="shared" si="26"/>
        <v>0</v>
      </c>
      <c r="AH12">
        <f t="shared" si="27"/>
        <v>0</v>
      </c>
      <c r="AJ12" s="207">
        <v>6</v>
      </c>
      <c r="AK12" s="127" t="str">
        <f t="shared" si="3"/>
        <v/>
      </c>
      <c r="AL12" s="128" t="str">
        <f t="shared" si="4"/>
        <v/>
      </c>
      <c r="AM12">
        <f t="shared" si="28"/>
        <v>0</v>
      </c>
      <c r="AO12">
        <f t="shared" si="29"/>
        <v>0</v>
      </c>
      <c r="BB12" s="134" t="str">
        <f t="shared" si="5"/>
        <v/>
      </c>
      <c r="BC12" s="44">
        <v>6</v>
      </c>
      <c r="BD12" s="149" t="str">
        <f t="shared" si="6"/>
        <v/>
      </c>
      <c r="BE12" s="149" t="str">
        <f t="shared" si="7"/>
        <v/>
      </c>
      <c r="BF12" s="149" t="str">
        <f t="shared" si="8"/>
        <v/>
      </c>
      <c r="BG12" s="149" t="str">
        <f t="shared" si="9"/>
        <v/>
      </c>
      <c r="BH12" s="149" t="str">
        <f t="shared" si="10"/>
        <v/>
      </c>
      <c r="BI12" s="149" t="str">
        <f t="shared" si="11"/>
        <v/>
      </c>
      <c r="BJ12" s="149" t="str">
        <f t="shared" si="12"/>
        <v/>
      </c>
      <c r="BK12" s="149" t="str">
        <f>IFERROR(#REF!/$BB12,"")</f>
        <v/>
      </c>
      <c r="BL12" s="149" t="str">
        <f>IFERROR(#REF!/$BB12,"")</f>
        <v/>
      </c>
      <c r="BM12" s="149" t="str">
        <f t="shared" si="13"/>
        <v/>
      </c>
      <c r="BN12" s="149" t="str">
        <f t="shared" si="14"/>
        <v/>
      </c>
      <c r="BO12" s="149" t="str">
        <f t="shared" si="15"/>
        <v/>
      </c>
      <c r="BP12" s="149" t="str">
        <f t="shared" si="16"/>
        <v/>
      </c>
      <c r="BQ12" s="149" t="str">
        <f t="shared" si="17"/>
        <v/>
      </c>
      <c r="BR12" s="149" t="str">
        <f>IFERROR(#REF!/$BB12,"")</f>
        <v/>
      </c>
      <c r="BS12" s="149" t="str">
        <f>IFERROR(#REF!/$BB12,"")</f>
        <v/>
      </c>
      <c r="BT12" s="149" t="str">
        <f t="shared" si="18"/>
        <v/>
      </c>
      <c r="BU12" s="149" t="str">
        <f t="shared" si="19"/>
        <v/>
      </c>
      <c r="BV12" s="149" t="str">
        <f t="shared" si="20"/>
        <v/>
      </c>
      <c r="BW12" s="149" t="str">
        <f t="shared" si="21"/>
        <v/>
      </c>
      <c r="BX12" s="149" t="str">
        <f t="shared" si="22"/>
        <v/>
      </c>
      <c r="BY12" s="149" t="str">
        <f>IFERROR(#REF!/$BB12,"")</f>
        <v/>
      </c>
      <c r="BZ12" s="149" t="str">
        <f>IFERROR(#REF!/$BB12,"")</f>
        <v/>
      </c>
      <c r="CA12" s="149" t="str">
        <f t="shared" si="23"/>
        <v/>
      </c>
      <c r="CB12" s="149" t="str">
        <f t="shared" si="24"/>
        <v/>
      </c>
      <c r="CC12" s="207" t="str">
        <f t="shared" si="25"/>
        <v/>
      </c>
      <c r="CD12" s="208" t="str">
        <f t="shared" si="30"/>
        <v/>
      </c>
    </row>
    <row r="13" spans="3:82" x14ac:dyDescent="0.25">
      <c r="C13" s="44">
        <v>7</v>
      </c>
      <c r="D13" s="149"/>
      <c r="E13" s="149"/>
      <c r="F13" s="55">
        <v>0</v>
      </c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W13" s="127">
        <f t="shared" si="0"/>
        <v>0</v>
      </c>
      <c r="X13">
        <f t="shared" si="1"/>
        <v>0</v>
      </c>
      <c r="Y13" t="b">
        <f>LOOKUP($C13,Table7[Sample Name],Table7[Positive])</f>
        <v>1</v>
      </c>
      <c r="Z13" t="b">
        <f>LOOKUP($C13,Table7[Sample Name],Table7[Disseminated])</f>
        <v>1</v>
      </c>
      <c r="AA13">
        <f t="shared" si="2"/>
        <v>0</v>
      </c>
      <c r="AD13" s="325">
        <v>7</v>
      </c>
      <c r="AE13" s="43">
        <v>0</v>
      </c>
      <c r="AF13" s="128"/>
      <c r="AG13">
        <f t="shared" si="26"/>
        <v>0</v>
      </c>
      <c r="AH13">
        <f t="shared" si="27"/>
        <v>0</v>
      </c>
      <c r="AJ13" s="207">
        <v>7</v>
      </c>
      <c r="AK13" s="127" t="str">
        <f t="shared" si="3"/>
        <v/>
      </c>
      <c r="AL13" s="128" t="str">
        <f t="shared" si="4"/>
        <v/>
      </c>
      <c r="AM13">
        <f t="shared" si="28"/>
        <v>0</v>
      </c>
      <c r="AO13">
        <f t="shared" si="29"/>
        <v>0</v>
      </c>
      <c r="BB13" s="134">
        <f t="shared" si="5"/>
        <v>0</v>
      </c>
      <c r="BC13" s="44">
        <v>7</v>
      </c>
      <c r="BD13" s="149" t="str">
        <f t="shared" si="6"/>
        <v/>
      </c>
      <c r="BE13" s="149" t="str">
        <f t="shared" si="7"/>
        <v/>
      </c>
      <c r="BF13" s="149" t="str">
        <f t="shared" si="8"/>
        <v/>
      </c>
      <c r="BG13" s="149" t="str">
        <f t="shared" si="9"/>
        <v/>
      </c>
      <c r="BH13" s="149" t="str">
        <f t="shared" si="10"/>
        <v/>
      </c>
      <c r="BI13" s="149" t="str">
        <f t="shared" si="11"/>
        <v/>
      </c>
      <c r="BJ13" s="149" t="str">
        <f t="shared" si="12"/>
        <v/>
      </c>
      <c r="BK13" s="149" t="str">
        <f>IFERROR(#REF!/$BB13,"")</f>
        <v/>
      </c>
      <c r="BL13" s="149" t="str">
        <f>IFERROR(#REF!/$BB13,"")</f>
        <v/>
      </c>
      <c r="BM13" s="149" t="str">
        <f t="shared" si="13"/>
        <v/>
      </c>
      <c r="BN13" s="149" t="str">
        <f t="shared" si="14"/>
        <v/>
      </c>
      <c r="BO13" s="149" t="str">
        <f t="shared" si="15"/>
        <v/>
      </c>
      <c r="BP13" s="149" t="str">
        <f t="shared" si="16"/>
        <v/>
      </c>
      <c r="BQ13" s="149" t="str">
        <f t="shared" si="17"/>
        <v/>
      </c>
      <c r="BR13" s="149" t="str">
        <f>IFERROR(#REF!/$BB13,"")</f>
        <v/>
      </c>
      <c r="BS13" s="149" t="str">
        <f>IFERROR(#REF!/$BB13,"")</f>
        <v/>
      </c>
      <c r="BT13" s="149" t="str">
        <f t="shared" si="18"/>
        <v/>
      </c>
      <c r="BU13" s="149" t="str">
        <f t="shared" si="19"/>
        <v/>
      </c>
      <c r="BV13" s="149" t="str">
        <f t="shared" si="20"/>
        <v/>
      </c>
      <c r="BW13" s="149" t="str">
        <f t="shared" si="21"/>
        <v/>
      </c>
      <c r="BX13" s="149" t="str">
        <f t="shared" si="22"/>
        <v/>
      </c>
      <c r="BY13" s="149" t="str">
        <f>IFERROR(#REF!/$BB13,"")</f>
        <v/>
      </c>
      <c r="BZ13" s="149" t="str">
        <f>IFERROR(#REF!/$BB13,"")</f>
        <v/>
      </c>
      <c r="CA13" s="149" t="str">
        <f t="shared" si="23"/>
        <v/>
      </c>
      <c r="CB13" s="149" t="str">
        <f t="shared" si="24"/>
        <v/>
      </c>
      <c r="CC13" s="207" t="str">
        <f t="shared" si="25"/>
        <v/>
      </c>
      <c r="CD13" s="208" t="str">
        <f t="shared" si="30"/>
        <v/>
      </c>
    </row>
    <row r="14" spans="3:82" x14ac:dyDescent="0.25">
      <c r="C14" s="44">
        <v>8</v>
      </c>
      <c r="D14" s="149"/>
      <c r="E14" s="149"/>
      <c r="F14" s="55">
        <v>0</v>
      </c>
      <c r="G14" s="55"/>
      <c r="H14" s="55"/>
      <c r="I14" s="55"/>
      <c r="J14" s="55"/>
      <c r="K14" s="55">
        <v>5</v>
      </c>
      <c r="L14" s="55"/>
      <c r="M14" s="55"/>
      <c r="N14" s="55"/>
      <c r="O14" s="55"/>
      <c r="P14" s="55"/>
      <c r="Q14" s="55"/>
      <c r="W14" s="127">
        <f t="shared" si="0"/>
        <v>5</v>
      </c>
      <c r="X14">
        <f t="shared" si="1"/>
        <v>1</v>
      </c>
      <c r="Y14" t="b">
        <f>LOOKUP($C14,Table7[Sample Name],Table7[Positive])</f>
        <v>1</v>
      </c>
      <c r="Z14" t="b">
        <f>LOOKUP($C14,Table7[Sample Name],Table7[Disseminated])</f>
        <v>1</v>
      </c>
      <c r="AA14">
        <f t="shared" si="2"/>
        <v>5</v>
      </c>
      <c r="AD14" s="325">
        <v>8</v>
      </c>
      <c r="AE14" s="43">
        <v>5</v>
      </c>
      <c r="AF14" s="128"/>
      <c r="AG14">
        <f t="shared" si="26"/>
        <v>5</v>
      </c>
      <c r="AH14">
        <f t="shared" si="27"/>
        <v>1</v>
      </c>
      <c r="AJ14" s="207">
        <v>8</v>
      </c>
      <c r="AK14" s="127" t="str">
        <f t="shared" si="3"/>
        <v/>
      </c>
      <c r="AL14" s="128" t="str">
        <f t="shared" si="4"/>
        <v/>
      </c>
      <c r="AM14">
        <f t="shared" si="28"/>
        <v>0</v>
      </c>
      <c r="AO14">
        <f t="shared" si="29"/>
        <v>-5</v>
      </c>
      <c r="BB14" s="134">
        <f t="shared" si="5"/>
        <v>5</v>
      </c>
      <c r="BC14" s="44">
        <v>8</v>
      </c>
      <c r="BD14" s="149">
        <f t="shared" si="6"/>
        <v>0</v>
      </c>
      <c r="BE14" s="149">
        <f t="shared" si="7"/>
        <v>0</v>
      </c>
      <c r="BF14" s="149">
        <f t="shared" si="8"/>
        <v>0</v>
      </c>
      <c r="BG14" s="149">
        <f t="shared" si="9"/>
        <v>0</v>
      </c>
      <c r="BH14" s="149">
        <f t="shared" si="10"/>
        <v>0</v>
      </c>
      <c r="BI14" s="149">
        <f t="shared" si="11"/>
        <v>0</v>
      </c>
      <c r="BJ14" s="149">
        <f t="shared" si="12"/>
        <v>0</v>
      </c>
      <c r="BK14" s="149" t="str">
        <f>IFERROR(#REF!/$BB14,"")</f>
        <v/>
      </c>
      <c r="BL14" s="149" t="str">
        <f>IFERROR(#REF!/$BB14,"")</f>
        <v/>
      </c>
      <c r="BM14" s="149">
        <f t="shared" si="13"/>
        <v>1</v>
      </c>
      <c r="BN14" s="149">
        <f t="shared" si="14"/>
        <v>0</v>
      </c>
      <c r="BO14" s="149">
        <f t="shared" si="15"/>
        <v>0</v>
      </c>
      <c r="BP14" s="149">
        <f t="shared" si="16"/>
        <v>0</v>
      </c>
      <c r="BQ14" s="149">
        <f t="shared" si="17"/>
        <v>0</v>
      </c>
      <c r="BR14" s="149" t="str">
        <f>IFERROR(#REF!/$BB14,"")</f>
        <v/>
      </c>
      <c r="BS14" s="149" t="str">
        <f>IFERROR(#REF!/$BB14,"")</f>
        <v/>
      </c>
      <c r="BT14" s="149">
        <f t="shared" si="18"/>
        <v>0</v>
      </c>
      <c r="BU14" s="149">
        <f t="shared" si="19"/>
        <v>0</v>
      </c>
      <c r="BV14" s="149">
        <f t="shared" si="20"/>
        <v>0</v>
      </c>
      <c r="BW14" s="149">
        <f t="shared" si="21"/>
        <v>0</v>
      </c>
      <c r="BX14" s="149">
        <f t="shared" si="22"/>
        <v>0</v>
      </c>
      <c r="BY14" s="149" t="str">
        <f>IFERROR(#REF!/$BB14,"")</f>
        <v/>
      </c>
      <c r="BZ14" s="149" t="str">
        <f>IFERROR(#REF!/$BB14,"")</f>
        <v/>
      </c>
      <c r="CA14" s="149">
        <f t="shared" si="23"/>
        <v>0</v>
      </c>
      <c r="CB14" s="149">
        <f t="shared" si="24"/>
        <v>0</v>
      </c>
      <c r="CC14" s="207">
        <f t="shared" si="25"/>
        <v>1</v>
      </c>
      <c r="CD14" s="208" t="b">
        <f t="shared" si="30"/>
        <v>1</v>
      </c>
    </row>
    <row r="15" spans="3:82" x14ac:dyDescent="0.25">
      <c r="C15" s="44">
        <v>9</v>
      </c>
      <c r="D15" s="149"/>
      <c r="E15" s="149"/>
      <c r="F15" s="55">
        <v>0</v>
      </c>
      <c r="G15" s="55"/>
      <c r="H15" s="55"/>
      <c r="I15" s="55"/>
      <c r="J15" s="55">
        <v>12</v>
      </c>
      <c r="K15" s="55"/>
      <c r="L15" s="55"/>
      <c r="M15" s="55"/>
      <c r="N15" s="55"/>
      <c r="O15" s="55"/>
      <c r="P15" s="55"/>
      <c r="Q15" s="55"/>
      <c r="W15" s="127">
        <f t="shared" si="0"/>
        <v>12</v>
      </c>
      <c r="X15">
        <f t="shared" si="1"/>
        <v>1</v>
      </c>
      <c r="Y15" t="b">
        <f>LOOKUP($C15,Table7[Sample Name],Table7[Positive])</f>
        <v>1</v>
      </c>
      <c r="Z15" t="b">
        <f>LOOKUP($C15,Table7[Sample Name],Table7[Disseminated])</f>
        <v>1</v>
      </c>
      <c r="AA15">
        <f t="shared" si="2"/>
        <v>12</v>
      </c>
      <c r="AD15" s="325">
        <v>9</v>
      </c>
      <c r="AE15" s="43">
        <v>12</v>
      </c>
      <c r="AF15" s="128"/>
      <c r="AG15">
        <f t="shared" si="26"/>
        <v>12</v>
      </c>
      <c r="AH15">
        <f t="shared" si="27"/>
        <v>1</v>
      </c>
      <c r="AJ15" s="207">
        <v>9</v>
      </c>
      <c r="AK15" s="127" t="str">
        <f t="shared" si="3"/>
        <v/>
      </c>
      <c r="AL15" s="128" t="str">
        <f t="shared" si="4"/>
        <v/>
      </c>
      <c r="AM15">
        <f t="shared" si="28"/>
        <v>0</v>
      </c>
      <c r="AO15">
        <f t="shared" si="29"/>
        <v>-12</v>
      </c>
      <c r="BB15" s="134">
        <f t="shared" si="5"/>
        <v>12</v>
      </c>
      <c r="BC15" s="44">
        <v>9</v>
      </c>
      <c r="BD15" s="149">
        <f t="shared" si="6"/>
        <v>0</v>
      </c>
      <c r="BE15" s="149">
        <f t="shared" si="7"/>
        <v>0</v>
      </c>
      <c r="BF15" s="149">
        <f t="shared" si="8"/>
        <v>0</v>
      </c>
      <c r="BG15" s="149">
        <f t="shared" si="9"/>
        <v>0</v>
      </c>
      <c r="BH15" s="149">
        <f t="shared" si="10"/>
        <v>0</v>
      </c>
      <c r="BI15" s="149">
        <f t="shared" si="11"/>
        <v>0</v>
      </c>
      <c r="BJ15" s="149">
        <f t="shared" si="12"/>
        <v>1</v>
      </c>
      <c r="BK15" s="149" t="str">
        <f>IFERROR(#REF!/$BB15,"")</f>
        <v/>
      </c>
      <c r="BL15" s="149" t="str">
        <f>IFERROR(#REF!/$BB15,"")</f>
        <v/>
      </c>
      <c r="BM15" s="149">
        <f t="shared" si="13"/>
        <v>0</v>
      </c>
      <c r="BN15" s="149">
        <f t="shared" si="14"/>
        <v>0</v>
      </c>
      <c r="BO15" s="149">
        <f t="shared" si="15"/>
        <v>0</v>
      </c>
      <c r="BP15" s="149">
        <f t="shared" si="16"/>
        <v>0</v>
      </c>
      <c r="BQ15" s="149">
        <f t="shared" si="17"/>
        <v>0</v>
      </c>
      <c r="BR15" s="149" t="str">
        <f>IFERROR(#REF!/$BB15,"")</f>
        <v/>
      </c>
      <c r="BS15" s="149" t="str">
        <f>IFERROR(#REF!/$BB15,"")</f>
        <v/>
      </c>
      <c r="BT15" s="149">
        <f t="shared" si="18"/>
        <v>0</v>
      </c>
      <c r="BU15" s="149">
        <f t="shared" si="19"/>
        <v>0</v>
      </c>
      <c r="BV15" s="149">
        <f t="shared" si="20"/>
        <v>0</v>
      </c>
      <c r="BW15" s="149">
        <f t="shared" si="21"/>
        <v>0</v>
      </c>
      <c r="BX15" s="149">
        <f t="shared" si="22"/>
        <v>0</v>
      </c>
      <c r="BY15" s="149" t="str">
        <f>IFERROR(#REF!/$BB15,"")</f>
        <v/>
      </c>
      <c r="BZ15" s="149" t="str">
        <f>IFERROR(#REF!/$BB15,"")</f>
        <v/>
      </c>
      <c r="CA15" s="149">
        <f t="shared" si="23"/>
        <v>0</v>
      </c>
      <c r="CB15" s="149">
        <f t="shared" si="24"/>
        <v>0</v>
      </c>
      <c r="CC15" s="207">
        <f t="shared" si="25"/>
        <v>1</v>
      </c>
      <c r="CD15" s="208" t="b">
        <f t="shared" si="30"/>
        <v>1</v>
      </c>
    </row>
    <row r="16" spans="3:82" x14ac:dyDescent="0.25">
      <c r="C16" s="44">
        <v>10</v>
      </c>
      <c r="D16" s="149"/>
      <c r="E16" s="149"/>
      <c r="F16" s="55">
        <v>0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W16" s="127">
        <f t="shared" si="0"/>
        <v>0</v>
      </c>
      <c r="X16">
        <f t="shared" si="1"/>
        <v>0</v>
      </c>
      <c r="Y16" t="b">
        <f>LOOKUP($C16,Table7[Sample Name],Table7[Positive])</f>
        <v>0</v>
      </c>
      <c r="Z16" t="str">
        <f>LOOKUP($C16,Table7[Sample Name],Table7[Disseminated])</f>
        <v>N/A</v>
      </c>
      <c r="AA16">
        <f t="shared" si="2"/>
        <v>0</v>
      </c>
      <c r="AD16" s="325">
        <v>10</v>
      </c>
      <c r="AE16" s="43">
        <v>0</v>
      </c>
      <c r="AF16" s="128"/>
      <c r="AG16">
        <f t="shared" si="26"/>
        <v>0</v>
      </c>
      <c r="AH16">
        <f t="shared" si="27"/>
        <v>0</v>
      </c>
      <c r="AJ16" s="207">
        <v>10</v>
      </c>
      <c r="AK16" s="127" t="str">
        <f t="shared" si="3"/>
        <v/>
      </c>
      <c r="AL16" s="128" t="str">
        <f t="shared" si="4"/>
        <v/>
      </c>
      <c r="AM16">
        <f t="shared" si="28"/>
        <v>0</v>
      </c>
      <c r="AO16">
        <f t="shared" si="29"/>
        <v>0</v>
      </c>
      <c r="BB16" s="134">
        <f t="shared" si="5"/>
        <v>0</v>
      </c>
      <c r="BC16" s="44">
        <v>10</v>
      </c>
      <c r="BD16" s="149" t="str">
        <f t="shared" si="6"/>
        <v/>
      </c>
      <c r="BE16" s="149" t="str">
        <f t="shared" si="7"/>
        <v/>
      </c>
      <c r="BF16" s="149" t="str">
        <f t="shared" si="8"/>
        <v/>
      </c>
      <c r="BG16" s="149" t="str">
        <f t="shared" si="9"/>
        <v/>
      </c>
      <c r="BH16" s="149" t="str">
        <f t="shared" si="10"/>
        <v/>
      </c>
      <c r="BI16" s="149" t="str">
        <f t="shared" si="11"/>
        <v/>
      </c>
      <c r="BJ16" s="149" t="str">
        <f t="shared" si="12"/>
        <v/>
      </c>
      <c r="BK16" s="149" t="str">
        <f>IFERROR(#REF!/$BB16,"")</f>
        <v/>
      </c>
      <c r="BL16" s="149" t="str">
        <f>IFERROR(#REF!/$BB16,"")</f>
        <v/>
      </c>
      <c r="BM16" s="149" t="str">
        <f t="shared" si="13"/>
        <v/>
      </c>
      <c r="BN16" s="149" t="str">
        <f t="shared" si="14"/>
        <v/>
      </c>
      <c r="BO16" s="149" t="str">
        <f t="shared" si="15"/>
        <v/>
      </c>
      <c r="BP16" s="149" t="str">
        <f t="shared" si="16"/>
        <v/>
      </c>
      <c r="BQ16" s="149" t="str">
        <f t="shared" si="17"/>
        <v/>
      </c>
      <c r="BR16" s="149" t="str">
        <f>IFERROR(#REF!/$BB16,"")</f>
        <v/>
      </c>
      <c r="BS16" s="149" t="str">
        <f>IFERROR(#REF!/$BB16,"")</f>
        <v/>
      </c>
      <c r="BT16" s="149" t="str">
        <f t="shared" si="18"/>
        <v/>
      </c>
      <c r="BU16" s="149" t="str">
        <f t="shared" si="19"/>
        <v/>
      </c>
      <c r="BV16" s="149" t="str">
        <f t="shared" si="20"/>
        <v/>
      </c>
      <c r="BW16" s="149" t="str">
        <f t="shared" si="21"/>
        <v/>
      </c>
      <c r="BX16" s="149" t="str">
        <f t="shared" si="22"/>
        <v/>
      </c>
      <c r="BY16" s="149" t="str">
        <f>IFERROR(#REF!/$BB16,"")</f>
        <v/>
      </c>
      <c r="BZ16" s="149" t="str">
        <f>IFERROR(#REF!/$BB16,"")</f>
        <v/>
      </c>
      <c r="CA16" s="149" t="str">
        <f t="shared" si="23"/>
        <v/>
      </c>
      <c r="CB16" s="149" t="str">
        <f t="shared" si="24"/>
        <v/>
      </c>
      <c r="CC16" s="207" t="str">
        <f t="shared" si="25"/>
        <v/>
      </c>
      <c r="CD16" s="208" t="str">
        <f t="shared" si="30"/>
        <v/>
      </c>
    </row>
    <row r="17" spans="3:82" x14ac:dyDescent="0.25">
      <c r="C17" s="44">
        <v>11</v>
      </c>
      <c r="D17" s="149"/>
      <c r="E17" s="149"/>
      <c r="F17" s="55">
        <v>0</v>
      </c>
      <c r="G17" s="55"/>
      <c r="H17" s="55"/>
      <c r="I17" s="55"/>
      <c r="J17" s="55"/>
      <c r="K17" s="55"/>
      <c r="L17" s="55"/>
      <c r="M17" s="55"/>
      <c r="N17" s="55"/>
      <c r="O17" s="55"/>
      <c r="P17" s="55">
        <v>0</v>
      </c>
      <c r="Q17" s="55"/>
      <c r="U17">
        <v>0</v>
      </c>
      <c r="W17" s="127">
        <f t="shared" si="0"/>
        <v>0</v>
      </c>
      <c r="X17">
        <f t="shared" si="1"/>
        <v>0</v>
      </c>
      <c r="Y17" t="b">
        <f>LOOKUP($C17,Table7[Sample Name],Table7[Positive])</f>
        <v>0</v>
      </c>
      <c r="Z17" t="str">
        <f>LOOKUP($C17,Table7[Sample Name],Table7[Disseminated])</f>
        <v>N/A</v>
      </c>
      <c r="AA17">
        <f t="shared" si="2"/>
        <v>0</v>
      </c>
      <c r="AD17" s="325">
        <v>11</v>
      </c>
      <c r="AE17" s="43">
        <v>0</v>
      </c>
      <c r="AF17" s="128"/>
      <c r="AG17">
        <f t="shared" si="26"/>
        <v>0</v>
      </c>
      <c r="AH17">
        <f t="shared" si="27"/>
        <v>0</v>
      </c>
      <c r="AJ17" s="207">
        <v>11</v>
      </c>
      <c r="AK17" s="127" t="str">
        <f t="shared" si="3"/>
        <v/>
      </c>
      <c r="AL17" s="128" t="str">
        <f t="shared" si="4"/>
        <v/>
      </c>
      <c r="AM17">
        <f t="shared" si="28"/>
        <v>0</v>
      </c>
      <c r="AO17">
        <f t="shared" si="29"/>
        <v>0</v>
      </c>
      <c r="BB17" s="134">
        <f t="shared" si="5"/>
        <v>0</v>
      </c>
      <c r="BC17" s="44">
        <v>11</v>
      </c>
      <c r="BD17" s="149" t="str">
        <f t="shared" si="6"/>
        <v/>
      </c>
      <c r="BE17" s="149" t="str">
        <f t="shared" si="7"/>
        <v/>
      </c>
      <c r="BF17" s="149" t="str">
        <f t="shared" si="8"/>
        <v/>
      </c>
      <c r="BG17" s="149" t="str">
        <f t="shared" si="9"/>
        <v/>
      </c>
      <c r="BH17" s="149" t="str">
        <f t="shared" si="10"/>
        <v/>
      </c>
      <c r="BI17" s="149" t="str">
        <f t="shared" si="11"/>
        <v/>
      </c>
      <c r="BJ17" s="149" t="str">
        <f t="shared" si="12"/>
        <v/>
      </c>
      <c r="BK17" s="149" t="str">
        <f>IFERROR(#REF!/$BB17,"")</f>
        <v/>
      </c>
      <c r="BL17" s="149" t="str">
        <f>IFERROR(#REF!/$BB17,"")</f>
        <v/>
      </c>
      <c r="BM17" s="149" t="str">
        <f t="shared" si="13"/>
        <v/>
      </c>
      <c r="BN17" s="149" t="str">
        <f t="shared" si="14"/>
        <v/>
      </c>
      <c r="BO17" s="149" t="str">
        <f t="shared" si="15"/>
        <v/>
      </c>
      <c r="BP17" s="149" t="str">
        <f t="shared" si="16"/>
        <v/>
      </c>
      <c r="BQ17" s="149" t="str">
        <f t="shared" si="17"/>
        <v/>
      </c>
      <c r="BR17" s="149" t="str">
        <f>IFERROR(#REF!/$BB17,"")</f>
        <v/>
      </c>
      <c r="BS17" s="149" t="str">
        <f>IFERROR(#REF!/$BB17,"")</f>
        <v/>
      </c>
      <c r="BT17" s="149" t="str">
        <f t="shared" si="18"/>
        <v/>
      </c>
      <c r="BU17" s="149" t="str">
        <f t="shared" si="19"/>
        <v/>
      </c>
      <c r="BV17" s="149" t="str">
        <f t="shared" si="20"/>
        <v/>
      </c>
      <c r="BW17" s="149" t="str">
        <f t="shared" si="21"/>
        <v/>
      </c>
      <c r="BX17" s="149" t="str">
        <f t="shared" si="22"/>
        <v/>
      </c>
      <c r="BY17" s="149" t="str">
        <f>IFERROR(#REF!/$BB17,"")</f>
        <v/>
      </c>
      <c r="BZ17" s="149" t="str">
        <f>IFERROR(#REF!/$BB17,"")</f>
        <v/>
      </c>
      <c r="CA17" s="149" t="str">
        <f t="shared" si="23"/>
        <v/>
      </c>
      <c r="CB17" s="149" t="str">
        <f t="shared" si="24"/>
        <v/>
      </c>
      <c r="CC17" s="207" t="str">
        <f t="shared" si="25"/>
        <v/>
      </c>
      <c r="CD17" s="208" t="str">
        <f t="shared" si="30"/>
        <v/>
      </c>
    </row>
    <row r="18" spans="3:82" x14ac:dyDescent="0.25">
      <c r="C18" s="44">
        <v>12</v>
      </c>
      <c r="D18" s="149"/>
      <c r="E18" s="149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W18" s="127">
        <f t="shared" si="0"/>
        <v>0</v>
      </c>
      <c r="X18">
        <f t="shared" si="1"/>
        <v>0</v>
      </c>
      <c r="Y18" t="b">
        <f>LOOKUP($C18,Table7[Sample Name],Table7[Positive])</f>
        <v>1</v>
      </c>
      <c r="Z18" t="b">
        <f>LOOKUP($C18,Table7[Sample Name],Table7[Disseminated])</f>
        <v>0</v>
      </c>
      <c r="AA18">
        <f t="shared" si="2"/>
        <v>0</v>
      </c>
      <c r="AD18" s="325">
        <v>12</v>
      </c>
      <c r="AE18" s="43">
        <v>0</v>
      </c>
      <c r="AF18" s="128"/>
      <c r="AG18">
        <f t="shared" si="26"/>
        <v>0</v>
      </c>
      <c r="AH18">
        <f t="shared" si="27"/>
        <v>0</v>
      </c>
      <c r="AJ18" s="207">
        <v>12</v>
      </c>
      <c r="AK18" s="127" t="str">
        <f t="shared" si="3"/>
        <v/>
      </c>
      <c r="AL18" s="128" t="str">
        <f t="shared" si="4"/>
        <v/>
      </c>
      <c r="AM18">
        <f t="shared" si="28"/>
        <v>0</v>
      </c>
      <c r="AO18">
        <f t="shared" si="29"/>
        <v>0</v>
      </c>
      <c r="BB18" s="134" t="str">
        <f t="shared" si="5"/>
        <v/>
      </c>
      <c r="BC18" s="44">
        <v>12</v>
      </c>
      <c r="BD18" s="149" t="str">
        <f t="shared" si="6"/>
        <v/>
      </c>
      <c r="BE18" s="149" t="str">
        <f t="shared" si="7"/>
        <v/>
      </c>
      <c r="BF18" s="149" t="str">
        <f t="shared" si="8"/>
        <v/>
      </c>
      <c r="BG18" s="149" t="str">
        <f t="shared" si="9"/>
        <v/>
      </c>
      <c r="BH18" s="149" t="str">
        <f t="shared" si="10"/>
        <v/>
      </c>
      <c r="BI18" s="149" t="str">
        <f t="shared" si="11"/>
        <v/>
      </c>
      <c r="BJ18" s="149" t="str">
        <f t="shared" si="12"/>
        <v/>
      </c>
      <c r="BK18" s="149" t="str">
        <f>IFERROR(#REF!/$BB18,"")</f>
        <v/>
      </c>
      <c r="BL18" s="149" t="str">
        <f>IFERROR(#REF!/$BB18,"")</f>
        <v/>
      </c>
      <c r="BM18" s="149" t="str">
        <f t="shared" si="13"/>
        <v/>
      </c>
      <c r="BN18" s="149" t="str">
        <f t="shared" si="14"/>
        <v/>
      </c>
      <c r="BO18" s="149" t="str">
        <f t="shared" si="15"/>
        <v/>
      </c>
      <c r="BP18" s="149" t="str">
        <f t="shared" si="16"/>
        <v/>
      </c>
      <c r="BQ18" s="149" t="str">
        <f t="shared" si="17"/>
        <v/>
      </c>
      <c r="BR18" s="149" t="str">
        <f>IFERROR(#REF!/$BB18,"")</f>
        <v/>
      </c>
      <c r="BS18" s="149" t="str">
        <f>IFERROR(#REF!/$BB18,"")</f>
        <v/>
      </c>
      <c r="BT18" s="149" t="str">
        <f t="shared" si="18"/>
        <v/>
      </c>
      <c r="BU18" s="149" t="str">
        <f t="shared" si="19"/>
        <v/>
      </c>
      <c r="BV18" s="149" t="str">
        <f t="shared" si="20"/>
        <v/>
      </c>
      <c r="BW18" s="149" t="str">
        <f t="shared" si="21"/>
        <v/>
      </c>
      <c r="BX18" s="149" t="str">
        <f t="shared" si="22"/>
        <v/>
      </c>
      <c r="BY18" s="149" t="str">
        <f>IFERROR(#REF!/$BB18,"")</f>
        <v/>
      </c>
      <c r="BZ18" s="149" t="str">
        <f>IFERROR(#REF!/$BB18,"")</f>
        <v/>
      </c>
      <c r="CA18" s="149" t="str">
        <f t="shared" si="23"/>
        <v/>
      </c>
      <c r="CB18" s="149" t="str">
        <f t="shared" si="24"/>
        <v/>
      </c>
      <c r="CC18" s="207" t="str">
        <f t="shared" si="25"/>
        <v/>
      </c>
      <c r="CD18" s="208" t="str">
        <f t="shared" si="30"/>
        <v/>
      </c>
    </row>
    <row r="19" spans="3:82" x14ac:dyDescent="0.25">
      <c r="C19" s="44">
        <v>13</v>
      </c>
      <c r="D19" s="149"/>
      <c r="E19" s="149"/>
      <c r="F19" s="55">
        <v>0</v>
      </c>
      <c r="G19" s="55"/>
      <c r="H19" s="55"/>
      <c r="I19" s="55"/>
      <c r="J19" s="55"/>
      <c r="K19" s="55">
        <v>3</v>
      </c>
      <c r="L19" s="55">
        <v>4</v>
      </c>
      <c r="M19" s="55"/>
      <c r="N19" s="55"/>
      <c r="O19" s="55"/>
      <c r="P19" s="55"/>
      <c r="Q19" s="55"/>
      <c r="W19" s="127">
        <f t="shared" si="0"/>
        <v>7</v>
      </c>
      <c r="X19">
        <f t="shared" si="1"/>
        <v>2</v>
      </c>
      <c r="Y19" t="b">
        <f>LOOKUP($C19,Table7[Sample Name],Table7[Positive])</f>
        <v>1</v>
      </c>
      <c r="Z19" t="b">
        <f>LOOKUP($C19,Table7[Sample Name],Table7[Disseminated])</f>
        <v>0</v>
      </c>
      <c r="AA19">
        <f t="shared" si="2"/>
        <v>4</v>
      </c>
      <c r="AD19" s="325">
        <v>13</v>
      </c>
      <c r="AE19" s="43">
        <v>3</v>
      </c>
      <c r="AF19" s="128">
        <v>4</v>
      </c>
      <c r="AG19">
        <f t="shared" si="26"/>
        <v>7</v>
      </c>
      <c r="AH19">
        <f t="shared" si="27"/>
        <v>2</v>
      </c>
      <c r="AJ19" s="207">
        <v>13</v>
      </c>
      <c r="AK19" s="127" t="str">
        <f t="shared" si="3"/>
        <v/>
      </c>
      <c r="AL19" s="128" t="str">
        <f t="shared" si="4"/>
        <v/>
      </c>
      <c r="AM19">
        <f t="shared" si="28"/>
        <v>0</v>
      </c>
      <c r="AO19">
        <f t="shared" si="29"/>
        <v>-7</v>
      </c>
      <c r="BB19" s="134">
        <f t="shared" si="5"/>
        <v>4</v>
      </c>
      <c r="BC19" s="44">
        <v>13</v>
      </c>
      <c r="BD19" s="149">
        <f t="shared" si="6"/>
        <v>0</v>
      </c>
      <c r="BE19" s="149">
        <f t="shared" si="7"/>
        <v>0</v>
      </c>
      <c r="BF19" s="149">
        <f t="shared" si="8"/>
        <v>0</v>
      </c>
      <c r="BG19" s="149">
        <f t="shared" si="9"/>
        <v>0</v>
      </c>
      <c r="BH19" s="149">
        <f t="shared" si="10"/>
        <v>0</v>
      </c>
      <c r="BI19" s="149">
        <f t="shared" si="11"/>
        <v>0</v>
      </c>
      <c r="BJ19" s="149">
        <f t="shared" si="12"/>
        <v>0</v>
      </c>
      <c r="BK19" s="149" t="str">
        <f>IFERROR(#REF!/$BB19,"")</f>
        <v/>
      </c>
      <c r="BL19" s="149" t="str">
        <f>IFERROR(#REF!/$BB19,"")</f>
        <v/>
      </c>
      <c r="BM19" s="149">
        <f t="shared" si="13"/>
        <v>0.75</v>
      </c>
      <c r="BN19" s="149">
        <f t="shared" si="14"/>
        <v>1</v>
      </c>
      <c r="BO19" s="149">
        <f t="shared" si="15"/>
        <v>0</v>
      </c>
      <c r="BP19" s="149">
        <f t="shared" si="16"/>
        <v>0</v>
      </c>
      <c r="BQ19" s="149">
        <f t="shared" si="17"/>
        <v>0</v>
      </c>
      <c r="BR19" s="149" t="str">
        <f>IFERROR(#REF!/$BB19,"")</f>
        <v/>
      </c>
      <c r="BS19" s="149" t="str">
        <f>IFERROR(#REF!/$BB19,"")</f>
        <v/>
      </c>
      <c r="BT19" s="149">
        <f t="shared" si="18"/>
        <v>0</v>
      </c>
      <c r="BU19" s="149">
        <f t="shared" si="19"/>
        <v>0</v>
      </c>
      <c r="BV19" s="149">
        <f t="shared" si="20"/>
        <v>0</v>
      </c>
      <c r="BW19" s="149">
        <f t="shared" si="21"/>
        <v>0</v>
      </c>
      <c r="BX19" s="149">
        <f t="shared" si="22"/>
        <v>0</v>
      </c>
      <c r="BY19" s="149" t="str">
        <f>IFERROR(#REF!/$BB19,"")</f>
        <v/>
      </c>
      <c r="BZ19" s="149" t="str">
        <f>IFERROR(#REF!/$BB19,"")</f>
        <v/>
      </c>
      <c r="CA19" s="149">
        <f t="shared" si="23"/>
        <v>0</v>
      </c>
      <c r="CB19" s="149">
        <f t="shared" si="24"/>
        <v>0</v>
      </c>
      <c r="CC19" s="207">
        <f t="shared" si="25"/>
        <v>1.75</v>
      </c>
      <c r="CD19" s="208" t="b">
        <f t="shared" si="30"/>
        <v>0</v>
      </c>
    </row>
    <row r="20" spans="3:82" x14ac:dyDescent="0.25">
      <c r="C20" s="44">
        <v>14</v>
      </c>
      <c r="D20" s="149"/>
      <c r="E20" s="149"/>
      <c r="F20" s="55">
        <v>0</v>
      </c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W20" s="127">
        <f t="shared" si="0"/>
        <v>0</v>
      </c>
      <c r="X20">
        <f t="shared" si="1"/>
        <v>0</v>
      </c>
      <c r="Y20" t="b">
        <f>LOOKUP($C20,Table7[Sample Name],Table7[Positive])</f>
        <v>1</v>
      </c>
      <c r="Z20" t="b">
        <f>LOOKUP($C20,Table7[Sample Name],Table7[Disseminated])</f>
        <v>1</v>
      </c>
      <c r="AA20">
        <f t="shared" si="2"/>
        <v>0</v>
      </c>
      <c r="AD20" s="325">
        <v>14</v>
      </c>
      <c r="AE20" s="43">
        <v>0</v>
      </c>
      <c r="AF20" s="128"/>
      <c r="AG20">
        <f t="shared" si="26"/>
        <v>0</v>
      </c>
      <c r="AH20">
        <f t="shared" si="27"/>
        <v>0</v>
      </c>
      <c r="AJ20" s="207">
        <v>14</v>
      </c>
      <c r="AK20" s="127" t="str">
        <f t="shared" si="3"/>
        <v/>
      </c>
      <c r="AL20" s="128" t="str">
        <f t="shared" si="4"/>
        <v/>
      </c>
      <c r="AM20">
        <f t="shared" si="28"/>
        <v>0</v>
      </c>
      <c r="AO20">
        <f t="shared" si="29"/>
        <v>0</v>
      </c>
      <c r="BB20" s="134">
        <f t="shared" si="5"/>
        <v>0</v>
      </c>
      <c r="BC20" s="44">
        <v>14</v>
      </c>
      <c r="BD20" s="149" t="str">
        <f t="shared" si="6"/>
        <v/>
      </c>
      <c r="BE20" s="149" t="str">
        <f t="shared" si="7"/>
        <v/>
      </c>
      <c r="BF20" s="149" t="str">
        <f t="shared" si="8"/>
        <v/>
      </c>
      <c r="BG20" s="149" t="str">
        <f t="shared" si="9"/>
        <v/>
      </c>
      <c r="BH20" s="149" t="str">
        <f t="shared" si="10"/>
        <v/>
      </c>
      <c r="BI20" s="149" t="str">
        <f t="shared" si="11"/>
        <v/>
      </c>
      <c r="BJ20" s="149" t="str">
        <f t="shared" si="12"/>
        <v/>
      </c>
      <c r="BK20" s="149" t="str">
        <f>IFERROR(#REF!/$BB20,"")</f>
        <v/>
      </c>
      <c r="BL20" s="149" t="str">
        <f>IFERROR(#REF!/$BB20,"")</f>
        <v/>
      </c>
      <c r="BM20" s="149" t="str">
        <f t="shared" si="13"/>
        <v/>
      </c>
      <c r="BN20" s="149" t="str">
        <f t="shared" si="14"/>
        <v/>
      </c>
      <c r="BO20" s="149" t="str">
        <f t="shared" si="15"/>
        <v/>
      </c>
      <c r="BP20" s="149" t="str">
        <f t="shared" si="16"/>
        <v/>
      </c>
      <c r="BQ20" s="149" t="str">
        <f t="shared" si="17"/>
        <v/>
      </c>
      <c r="BR20" s="149" t="str">
        <f>IFERROR(#REF!/$BB20,"")</f>
        <v/>
      </c>
      <c r="BS20" s="149" t="str">
        <f>IFERROR(#REF!/$BB20,"")</f>
        <v/>
      </c>
      <c r="BT20" s="149" t="str">
        <f t="shared" si="18"/>
        <v/>
      </c>
      <c r="BU20" s="149" t="str">
        <f t="shared" si="19"/>
        <v/>
      </c>
      <c r="BV20" s="149" t="str">
        <f t="shared" si="20"/>
        <v/>
      </c>
      <c r="BW20" s="149" t="str">
        <f t="shared" si="21"/>
        <v/>
      </c>
      <c r="BX20" s="149" t="str">
        <f t="shared" si="22"/>
        <v/>
      </c>
      <c r="BY20" s="149" t="str">
        <f>IFERROR(#REF!/$BB20,"")</f>
        <v/>
      </c>
      <c r="BZ20" s="149" t="str">
        <f>IFERROR(#REF!/$BB20,"")</f>
        <v/>
      </c>
      <c r="CA20" s="149" t="str">
        <f t="shared" si="23"/>
        <v/>
      </c>
      <c r="CB20" s="149" t="str">
        <f t="shared" si="24"/>
        <v/>
      </c>
      <c r="CC20" s="207" t="str">
        <f t="shared" si="25"/>
        <v/>
      </c>
      <c r="CD20" s="208" t="str">
        <f t="shared" si="30"/>
        <v/>
      </c>
    </row>
    <row r="21" spans="3:82" x14ac:dyDescent="0.25">
      <c r="C21" s="44">
        <v>15</v>
      </c>
      <c r="D21" s="149"/>
      <c r="E21" s="149"/>
      <c r="F21" s="55">
        <v>0</v>
      </c>
      <c r="G21" s="55"/>
      <c r="H21" s="55"/>
      <c r="I21" s="55">
        <v>36</v>
      </c>
      <c r="J21" s="55"/>
      <c r="K21" s="55"/>
      <c r="L21" s="55"/>
      <c r="M21" s="55"/>
      <c r="N21" s="55"/>
      <c r="O21" s="55"/>
      <c r="P21" s="55"/>
      <c r="Q21" s="55"/>
      <c r="W21" s="127">
        <f t="shared" si="0"/>
        <v>36</v>
      </c>
      <c r="X21">
        <f t="shared" si="1"/>
        <v>1</v>
      </c>
      <c r="Y21" t="b">
        <f>LOOKUP($C21,Table7[Sample Name],Table7[Positive])</f>
        <v>1</v>
      </c>
      <c r="Z21" t="b">
        <f>LOOKUP($C21,Table7[Sample Name],Table7[Disseminated])</f>
        <v>1</v>
      </c>
      <c r="AA21">
        <f t="shared" si="2"/>
        <v>36</v>
      </c>
      <c r="AD21" s="325">
        <v>15</v>
      </c>
      <c r="AE21" s="43">
        <v>36</v>
      </c>
      <c r="AF21" s="128"/>
      <c r="AG21">
        <f t="shared" si="26"/>
        <v>36</v>
      </c>
      <c r="AH21">
        <f t="shared" si="27"/>
        <v>1</v>
      </c>
      <c r="AJ21" s="207">
        <v>15</v>
      </c>
      <c r="AK21" s="127" t="str">
        <f t="shared" si="3"/>
        <v/>
      </c>
      <c r="AL21" s="128" t="str">
        <f t="shared" si="4"/>
        <v/>
      </c>
      <c r="AM21">
        <f t="shared" si="28"/>
        <v>0</v>
      </c>
      <c r="AO21">
        <f t="shared" si="29"/>
        <v>-36</v>
      </c>
      <c r="BB21" s="134">
        <f t="shared" si="5"/>
        <v>36</v>
      </c>
      <c r="BC21" s="44">
        <v>15</v>
      </c>
      <c r="BD21" s="149">
        <f t="shared" si="6"/>
        <v>0</v>
      </c>
      <c r="BE21" s="149">
        <f t="shared" si="7"/>
        <v>0</v>
      </c>
      <c r="BF21" s="149">
        <f t="shared" si="8"/>
        <v>0</v>
      </c>
      <c r="BG21" s="149">
        <f t="shared" si="9"/>
        <v>0</v>
      </c>
      <c r="BH21" s="149">
        <f t="shared" si="10"/>
        <v>0</v>
      </c>
      <c r="BI21" s="149">
        <f t="shared" si="11"/>
        <v>1</v>
      </c>
      <c r="BJ21" s="149">
        <f t="shared" si="12"/>
        <v>0</v>
      </c>
      <c r="BK21" s="149" t="str">
        <f>IFERROR(#REF!/$BB21,"")</f>
        <v/>
      </c>
      <c r="BL21" s="149" t="str">
        <f>IFERROR(#REF!/$BB21,"")</f>
        <v/>
      </c>
      <c r="BM21" s="149">
        <f t="shared" si="13"/>
        <v>0</v>
      </c>
      <c r="BN21" s="149">
        <f t="shared" si="14"/>
        <v>0</v>
      </c>
      <c r="BO21" s="149">
        <f t="shared" si="15"/>
        <v>0</v>
      </c>
      <c r="BP21" s="149">
        <f t="shared" si="16"/>
        <v>0</v>
      </c>
      <c r="BQ21" s="149">
        <f t="shared" si="17"/>
        <v>0</v>
      </c>
      <c r="BR21" s="149" t="str">
        <f>IFERROR(#REF!/$BB21,"")</f>
        <v/>
      </c>
      <c r="BS21" s="149" t="str">
        <f>IFERROR(#REF!/$BB21,"")</f>
        <v/>
      </c>
      <c r="BT21" s="149">
        <f t="shared" si="18"/>
        <v>0</v>
      </c>
      <c r="BU21" s="149">
        <f t="shared" si="19"/>
        <v>0</v>
      </c>
      <c r="BV21" s="149">
        <f t="shared" si="20"/>
        <v>0</v>
      </c>
      <c r="BW21" s="149">
        <f t="shared" si="21"/>
        <v>0</v>
      </c>
      <c r="BX21" s="149">
        <f t="shared" si="22"/>
        <v>0</v>
      </c>
      <c r="BY21" s="149" t="str">
        <f>IFERROR(#REF!/$BB21,"")</f>
        <v/>
      </c>
      <c r="BZ21" s="149" t="str">
        <f>IFERROR(#REF!/$BB21,"")</f>
        <v/>
      </c>
      <c r="CA21" s="149">
        <f t="shared" si="23"/>
        <v>0</v>
      </c>
      <c r="CB21" s="149">
        <f t="shared" si="24"/>
        <v>0</v>
      </c>
      <c r="CC21" s="207">
        <f t="shared" si="25"/>
        <v>1</v>
      </c>
      <c r="CD21" s="208" t="b">
        <f t="shared" si="30"/>
        <v>1</v>
      </c>
    </row>
    <row r="22" spans="3:82" x14ac:dyDescent="0.25">
      <c r="C22" s="44">
        <v>16</v>
      </c>
      <c r="D22" s="149"/>
      <c r="E22" s="149"/>
      <c r="F22" s="55">
        <v>0</v>
      </c>
      <c r="G22" s="55"/>
      <c r="H22" s="55"/>
      <c r="I22" s="55"/>
      <c r="J22" s="55"/>
      <c r="K22" s="55"/>
      <c r="L22" s="55"/>
      <c r="M22" s="55"/>
      <c r="N22" s="55"/>
      <c r="O22" s="55"/>
      <c r="P22" s="55">
        <v>0</v>
      </c>
      <c r="Q22" s="55"/>
      <c r="U22">
        <v>0</v>
      </c>
      <c r="W22" s="127">
        <f t="shared" si="0"/>
        <v>0</v>
      </c>
      <c r="X22">
        <f t="shared" si="1"/>
        <v>0</v>
      </c>
      <c r="Y22" t="b">
        <f>LOOKUP($C22,Table7[Sample Name],Table7[Positive])</f>
        <v>1</v>
      </c>
      <c r="Z22" t="b">
        <f>LOOKUP($C22,Table7[Sample Name],Table7[Disseminated])</f>
        <v>1</v>
      </c>
      <c r="AA22">
        <f t="shared" si="2"/>
        <v>0</v>
      </c>
      <c r="AD22" s="325">
        <v>16</v>
      </c>
      <c r="AE22" s="43">
        <v>0</v>
      </c>
      <c r="AF22" s="128"/>
      <c r="AG22">
        <f t="shared" si="26"/>
        <v>0</v>
      </c>
      <c r="AH22">
        <f t="shared" si="27"/>
        <v>0</v>
      </c>
      <c r="AJ22" s="207">
        <v>16</v>
      </c>
      <c r="AK22" s="127" t="str">
        <f t="shared" si="3"/>
        <v/>
      </c>
      <c r="AL22" s="128" t="str">
        <f t="shared" si="4"/>
        <v/>
      </c>
      <c r="AM22">
        <f t="shared" si="28"/>
        <v>0</v>
      </c>
      <c r="AO22">
        <f t="shared" si="29"/>
        <v>0</v>
      </c>
      <c r="BB22" s="134">
        <f t="shared" si="5"/>
        <v>0</v>
      </c>
      <c r="BC22" s="44">
        <v>16</v>
      </c>
      <c r="BD22" s="149" t="str">
        <f t="shared" si="6"/>
        <v/>
      </c>
      <c r="BE22" s="149" t="str">
        <f t="shared" si="7"/>
        <v/>
      </c>
      <c r="BF22" s="149" t="str">
        <f t="shared" si="8"/>
        <v/>
      </c>
      <c r="BG22" s="149" t="str">
        <f t="shared" si="9"/>
        <v/>
      </c>
      <c r="BH22" s="149" t="str">
        <f t="shared" si="10"/>
        <v/>
      </c>
      <c r="BI22" s="149" t="str">
        <f t="shared" si="11"/>
        <v/>
      </c>
      <c r="BJ22" s="149" t="str">
        <f t="shared" si="12"/>
        <v/>
      </c>
      <c r="BK22" s="149" t="str">
        <f>IFERROR(#REF!/$BB22,"")</f>
        <v/>
      </c>
      <c r="BL22" s="149" t="str">
        <f>IFERROR(#REF!/$BB22,"")</f>
        <v/>
      </c>
      <c r="BM22" s="149" t="str">
        <f t="shared" si="13"/>
        <v/>
      </c>
      <c r="BN22" s="149" t="str">
        <f t="shared" si="14"/>
        <v/>
      </c>
      <c r="BO22" s="149" t="str">
        <f t="shared" si="15"/>
        <v/>
      </c>
      <c r="BP22" s="149" t="str">
        <f t="shared" si="16"/>
        <v/>
      </c>
      <c r="BQ22" s="149" t="str">
        <f t="shared" si="17"/>
        <v/>
      </c>
      <c r="BR22" s="149" t="str">
        <f>IFERROR(#REF!/$BB22,"")</f>
        <v/>
      </c>
      <c r="BS22" s="149" t="str">
        <f>IFERROR(#REF!/$BB22,"")</f>
        <v/>
      </c>
      <c r="BT22" s="149" t="str">
        <f t="shared" si="18"/>
        <v/>
      </c>
      <c r="BU22" s="149" t="str">
        <f t="shared" si="19"/>
        <v/>
      </c>
      <c r="BV22" s="149" t="str">
        <f t="shared" si="20"/>
        <v/>
      </c>
      <c r="BW22" s="149" t="str">
        <f t="shared" si="21"/>
        <v/>
      </c>
      <c r="BX22" s="149" t="str">
        <f t="shared" si="22"/>
        <v/>
      </c>
      <c r="BY22" s="149" t="str">
        <f>IFERROR(#REF!/$BB22,"")</f>
        <v/>
      </c>
      <c r="BZ22" s="149" t="str">
        <f>IFERROR(#REF!/$BB22,"")</f>
        <v/>
      </c>
      <c r="CA22" s="149" t="str">
        <f t="shared" si="23"/>
        <v/>
      </c>
      <c r="CB22" s="149" t="str">
        <f t="shared" si="24"/>
        <v/>
      </c>
      <c r="CC22" s="207" t="str">
        <f t="shared" si="25"/>
        <v/>
      </c>
      <c r="CD22" s="208" t="str">
        <f t="shared" si="30"/>
        <v/>
      </c>
    </row>
    <row r="23" spans="3:82" x14ac:dyDescent="0.25">
      <c r="C23" s="44">
        <v>17</v>
      </c>
      <c r="D23" s="149"/>
      <c r="E23" s="149"/>
      <c r="F23" s="55">
        <v>0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W23" s="127">
        <f t="shared" si="0"/>
        <v>0</v>
      </c>
      <c r="X23">
        <f t="shared" si="1"/>
        <v>0</v>
      </c>
      <c r="Y23" t="b">
        <f>LOOKUP($C23,Table7[Sample Name],Table7[Positive])</f>
        <v>1</v>
      </c>
      <c r="Z23" t="b">
        <f>LOOKUP($C23,Table7[Sample Name],Table7[Disseminated])</f>
        <v>1</v>
      </c>
      <c r="AA23">
        <f t="shared" si="2"/>
        <v>0</v>
      </c>
      <c r="AD23" s="325">
        <v>17</v>
      </c>
      <c r="AE23" s="43">
        <v>0</v>
      </c>
      <c r="AF23" s="128"/>
      <c r="AG23">
        <f t="shared" si="26"/>
        <v>0</v>
      </c>
      <c r="AH23">
        <f t="shared" si="27"/>
        <v>0</v>
      </c>
      <c r="AJ23" s="207">
        <v>17</v>
      </c>
      <c r="AK23" s="127" t="str">
        <f t="shared" si="3"/>
        <v/>
      </c>
      <c r="AL23" s="128" t="str">
        <f t="shared" si="4"/>
        <v/>
      </c>
      <c r="AM23">
        <f t="shared" si="28"/>
        <v>0</v>
      </c>
      <c r="AO23">
        <f t="shared" si="29"/>
        <v>0</v>
      </c>
      <c r="BB23" s="134">
        <f t="shared" si="5"/>
        <v>0</v>
      </c>
      <c r="BC23" s="44">
        <v>17</v>
      </c>
      <c r="BD23" s="149" t="str">
        <f t="shared" si="6"/>
        <v/>
      </c>
      <c r="BE23" s="149" t="str">
        <f t="shared" si="7"/>
        <v/>
      </c>
      <c r="BF23" s="149" t="str">
        <f t="shared" si="8"/>
        <v/>
      </c>
      <c r="BG23" s="149" t="str">
        <f t="shared" si="9"/>
        <v/>
      </c>
      <c r="BH23" s="149" t="str">
        <f t="shared" si="10"/>
        <v/>
      </c>
      <c r="BI23" s="149" t="str">
        <f t="shared" si="11"/>
        <v/>
      </c>
      <c r="BJ23" s="149" t="str">
        <f t="shared" si="12"/>
        <v/>
      </c>
      <c r="BK23" s="149" t="str">
        <f>IFERROR(#REF!/$BB23,"")</f>
        <v/>
      </c>
      <c r="BL23" s="149" t="str">
        <f>IFERROR(#REF!/$BB23,"")</f>
        <v/>
      </c>
      <c r="BM23" s="149" t="str">
        <f t="shared" si="13"/>
        <v/>
      </c>
      <c r="BN23" s="149" t="str">
        <f t="shared" si="14"/>
        <v/>
      </c>
      <c r="BO23" s="149" t="str">
        <f t="shared" si="15"/>
        <v/>
      </c>
      <c r="BP23" s="149" t="str">
        <f t="shared" si="16"/>
        <v/>
      </c>
      <c r="BQ23" s="149" t="str">
        <f t="shared" si="17"/>
        <v/>
      </c>
      <c r="BR23" s="149" t="str">
        <f>IFERROR(#REF!/$BB23,"")</f>
        <v/>
      </c>
      <c r="BS23" s="149" t="str">
        <f>IFERROR(#REF!/$BB23,"")</f>
        <v/>
      </c>
      <c r="BT23" s="149" t="str">
        <f t="shared" si="18"/>
        <v/>
      </c>
      <c r="BU23" s="149" t="str">
        <f t="shared" si="19"/>
        <v/>
      </c>
      <c r="BV23" s="149" t="str">
        <f t="shared" si="20"/>
        <v/>
      </c>
      <c r="BW23" s="149" t="str">
        <f t="shared" si="21"/>
        <v/>
      </c>
      <c r="BX23" s="149" t="str">
        <f t="shared" si="22"/>
        <v/>
      </c>
      <c r="BY23" s="149" t="str">
        <f>IFERROR(#REF!/$BB23,"")</f>
        <v/>
      </c>
      <c r="BZ23" s="149" t="str">
        <f>IFERROR(#REF!/$BB23,"")</f>
        <v/>
      </c>
      <c r="CA23" s="149" t="str">
        <f t="shared" si="23"/>
        <v/>
      </c>
      <c r="CB23" s="149" t="str">
        <f t="shared" si="24"/>
        <v/>
      </c>
      <c r="CC23" s="207" t="str">
        <f t="shared" si="25"/>
        <v/>
      </c>
      <c r="CD23" s="208" t="str">
        <f t="shared" si="30"/>
        <v/>
      </c>
    </row>
    <row r="24" spans="3:82" x14ac:dyDescent="0.25">
      <c r="C24" s="44">
        <v>18</v>
      </c>
      <c r="D24" s="149"/>
      <c r="E24" s="149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W24" s="127">
        <f t="shared" si="0"/>
        <v>0</v>
      </c>
      <c r="X24">
        <f t="shared" si="1"/>
        <v>0</v>
      </c>
      <c r="Y24" t="b">
        <f>LOOKUP($C24,Table7[Sample Name],Table7[Positive])</f>
        <v>1</v>
      </c>
      <c r="Z24" t="b">
        <f>LOOKUP($C24,Table7[Sample Name],Table7[Disseminated])</f>
        <v>1</v>
      </c>
      <c r="AA24">
        <f t="shared" si="2"/>
        <v>0</v>
      </c>
      <c r="AD24" s="325">
        <v>18</v>
      </c>
      <c r="AE24" s="43">
        <v>0</v>
      </c>
      <c r="AF24" s="128"/>
      <c r="AG24">
        <f t="shared" si="26"/>
        <v>0</v>
      </c>
      <c r="AH24">
        <f t="shared" si="27"/>
        <v>0</v>
      </c>
      <c r="AJ24" s="207">
        <v>18</v>
      </c>
      <c r="AK24" s="127" t="str">
        <f t="shared" si="3"/>
        <v/>
      </c>
      <c r="AL24" s="128" t="str">
        <f t="shared" si="4"/>
        <v/>
      </c>
      <c r="AM24">
        <f t="shared" si="28"/>
        <v>0</v>
      </c>
      <c r="AO24">
        <f t="shared" si="29"/>
        <v>0</v>
      </c>
      <c r="BB24" s="134" t="str">
        <f t="shared" si="5"/>
        <v/>
      </c>
      <c r="BC24" s="44">
        <v>18</v>
      </c>
      <c r="BD24" s="149" t="str">
        <f t="shared" si="6"/>
        <v/>
      </c>
      <c r="BE24" s="149" t="str">
        <f t="shared" si="7"/>
        <v/>
      </c>
      <c r="BF24" s="149" t="str">
        <f t="shared" si="8"/>
        <v/>
      </c>
      <c r="BG24" s="149" t="str">
        <f t="shared" si="9"/>
        <v/>
      </c>
      <c r="BH24" s="149" t="str">
        <f t="shared" si="10"/>
        <v/>
      </c>
      <c r="BI24" s="149" t="str">
        <f t="shared" si="11"/>
        <v/>
      </c>
      <c r="BJ24" s="149" t="str">
        <f t="shared" si="12"/>
        <v/>
      </c>
      <c r="BK24" s="149" t="str">
        <f>IFERROR(#REF!/$BB24,"")</f>
        <v/>
      </c>
      <c r="BL24" s="149" t="str">
        <f>IFERROR(#REF!/$BB24,"")</f>
        <v/>
      </c>
      <c r="BM24" s="149" t="str">
        <f t="shared" si="13"/>
        <v/>
      </c>
      <c r="BN24" s="149" t="str">
        <f t="shared" si="14"/>
        <v/>
      </c>
      <c r="BO24" s="149" t="str">
        <f t="shared" si="15"/>
        <v/>
      </c>
      <c r="BP24" s="149" t="str">
        <f t="shared" si="16"/>
        <v/>
      </c>
      <c r="BQ24" s="149" t="str">
        <f t="shared" si="17"/>
        <v/>
      </c>
      <c r="BR24" s="149" t="str">
        <f>IFERROR(#REF!/$BB24,"")</f>
        <v/>
      </c>
      <c r="BS24" s="149" t="str">
        <f>IFERROR(#REF!/$BB24,"")</f>
        <v/>
      </c>
      <c r="BT24" s="149" t="str">
        <f t="shared" si="18"/>
        <v/>
      </c>
      <c r="BU24" s="149" t="str">
        <f t="shared" si="19"/>
        <v/>
      </c>
      <c r="BV24" s="149" t="str">
        <f t="shared" si="20"/>
        <v/>
      </c>
      <c r="BW24" s="149" t="str">
        <f t="shared" si="21"/>
        <v/>
      </c>
      <c r="BX24" s="149" t="str">
        <f t="shared" si="22"/>
        <v/>
      </c>
      <c r="BY24" s="149" t="str">
        <f>IFERROR(#REF!/$BB24,"")</f>
        <v/>
      </c>
      <c r="BZ24" s="149" t="str">
        <f>IFERROR(#REF!/$BB24,"")</f>
        <v/>
      </c>
      <c r="CA24" s="149" t="str">
        <f t="shared" si="23"/>
        <v/>
      </c>
      <c r="CB24" s="149" t="str">
        <f t="shared" si="24"/>
        <v/>
      </c>
      <c r="CC24" s="207" t="str">
        <f t="shared" si="25"/>
        <v/>
      </c>
      <c r="CD24" s="208" t="str">
        <f t="shared" si="30"/>
        <v/>
      </c>
    </row>
    <row r="25" spans="3:82" x14ac:dyDescent="0.25">
      <c r="C25" s="44">
        <v>19</v>
      </c>
      <c r="D25" s="149"/>
      <c r="E25" s="149"/>
      <c r="F25" s="55">
        <v>1</v>
      </c>
      <c r="G25" s="55"/>
      <c r="H25" s="55"/>
      <c r="I25" s="55">
        <v>35</v>
      </c>
      <c r="J25" s="55"/>
      <c r="K25" s="55"/>
      <c r="L25" s="55"/>
      <c r="M25" s="55"/>
      <c r="N25" s="55"/>
      <c r="O25" s="55"/>
      <c r="P25" s="55"/>
      <c r="Q25" s="55"/>
      <c r="W25" s="127">
        <f t="shared" si="0"/>
        <v>36</v>
      </c>
      <c r="X25">
        <f t="shared" si="1"/>
        <v>2</v>
      </c>
      <c r="Y25" t="b">
        <f>LOOKUP($C25,Table7[Sample Name],Table7[Positive])</f>
        <v>1</v>
      </c>
      <c r="Z25" t="b">
        <f>LOOKUP($C25,Table7[Sample Name],Table7[Disseminated])</f>
        <v>1</v>
      </c>
      <c r="AA25">
        <f t="shared" si="2"/>
        <v>35</v>
      </c>
      <c r="AD25" s="325">
        <v>19</v>
      </c>
      <c r="AE25" s="43">
        <v>1</v>
      </c>
      <c r="AF25" s="128">
        <v>35</v>
      </c>
      <c r="AG25">
        <f t="shared" si="26"/>
        <v>36</v>
      </c>
      <c r="AH25">
        <f t="shared" si="27"/>
        <v>2</v>
      </c>
      <c r="AJ25" s="207">
        <v>19</v>
      </c>
      <c r="AK25" s="127" t="str">
        <f t="shared" si="3"/>
        <v/>
      </c>
      <c r="AL25" s="128" t="str">
        <f t="shared" si="4"/>
        <v/>
      </c>
      <c r="AM25">
        <f t="shared" si="28"/>
        <v>0</v>
      </c>
      <c r="AO25">
        <f t="shared" si="29"/>
        <v>-36</v>
      </c>
      <c r="BB25" s="134">
        <f t="shared" si="5"/>
        <v>35</v>
      </c>
      <c r="BC25" s="44">
        <v>19</v>
      </c>
      <c r="BD25" s="149">
        <f t="shared" si="6"/>
        <v>0</v>
      </c>
      <c r="BE25" s="149">
        <f t="shared" si="7"/>
        <v>0</v>
      </c>
      <c r="BF25" s="149">
        <f t="shared" si="8"/>
        <v>2.8571428571428571E-2</v>
      </c>
      <c r="BG25" s="149">
        <f t="shared" si="9"/>
        <v>0</v>
      </c>
      <c r="BH25" s="149">
        <f t="shared" si="10"/>
        <v>0</v>
      </c>
      <c r="BI25" s="149">
        <f t="shared" si="11"/>
        <v>1</v>
      </c>
      <c r="BJ25" s="149">
        <f t="shared" si="12"/>
        <v>0</v>
      </c>
      <c r="BK25" s="149" t="str">
        <f>IFERROR(#REF!/$BB25,"")</f>
        <v/>
      </c>
      <c r="BL25" s="149" t="str">
        <f>IFERROR(#REF!/$BB25,"")</f>
        <v/>
      </c>
      <c r="BM25" s="149">
        <f t="shared" si="13"/>
        <v>0</v>
      </c>
      <c r="BN25" s="149">
        <f t="shared" si="14"/>
        <v>0</v>
      </c>
      <c r="BO25" s="149">
        <f t="shared" si="15"/>
        <v>0</v>
      </c>
      <c r="BP25" s="149">
        <f t="shared" si="16"/>
        <v>0</v>
      </c>
      <c r="BQ25" s="149">
        <f t="shared" si="17"/>
        <v>0</v>
      </c>
      <c r="BR25" s="149" t="str">
        <f>IFERROR(#REF!/$BB25,"")</f>
        <v/>
      </c>
      <c r="BS25" s="149" t="str">
        <f>IFERROR(#REF!/$BB25,"")</f>
        <v/>
      </c>
      <c r="BT25" s="149">
        <f t="shared" si="18"/>
        <v>0</v>
      </c>
      <c r="BU25" s="149">
        <f t="shared" si="19"/>
        <v>0</v>
      </c>
      <c r="BV25" s="149">
        <f t="shared" si="20"/>
        <v>0</v>
      </c>
      <c r="BW25" s="149">
        <f t="shared" si="21"/>
        <v>0</v>
      </c>
      <c r="BX25" s="149">
        <f t="shared" si="22"/>
        <v>0</v>
      </c>
      <c r="BY25" s="149" t="str">
        <f>IFERROR(#REF!/$BB25,"")</f>
        <v/>
      </c>
      <c r="BZ25" s="149" t="str">
        <f>IFERROR(#REF!/$BB25,"")</f>
        <v/>
      </c>
      <c r="CA25" s="149">
        <f t="shared" si="23"/>
        <v>0</v>
      </c>
      <c r="CB25" s="149">
        <f t="shared" si="24"/>
        <v>0</v>
      </c>
      <c r="CC25" s="207">
        <f t="shared" si="25"/>
        <v>1.0285714285714285</v>
      </c>
      <c r="CD25" s="208" t="b">
        <f t="shared" si="30"/>
        <v>0</v>
      </c>
    </row>
    <row r="26" spans="3:82" x14ac:dyDescent="0.25">
      <c r="C26" s="44">
        <v>20</v>
      </c>
      <c r="D26" s="149"/>
      <c r="E26" s="149"/>
      <c r="F26" s="55">
        <v>0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W26" s="127">
        <f t="shared" si="0"/>
        <v>0</v>
      </c>
      <c r="X26">
        <f t="shared" si="1"/>
        <v>0</v>
      </c>
      <c r="Y26" t="b">
        <f>LOOKUP($C26,Table7[Sample Name],Table7[Positive])</f>
        <v>1</v>
      </c>
      <c r="Z26" t="b">
        <f>LOOKUP($C26,Table7[Sample Name],Table7[Disseminated])</f>
        <v>1</v>
      </c>
      <c r="AA26">
        <f t="shared" si="2"/>
        <v>0</v>
      </c>
      <c r="AD26" s="325">
        <v>20</v>
      </c>
      <c r="AE26" s="43">
        <v>0</v>
      </c>
      <c r="AF26" s="128"/>
      <c r="AG26">
        <f t="shared" si="26"/>
        <v>0</v>
      </c>
      <c r="AH26">
        <f t="shared" si="27"/>
        <v>0</v>
      </c>
      <c r="AJ26" s="207">
        <v>20</v>
      </c>
      <c r="AK26" s="127" t="str">
        <f t="shared" si="3"/>
        <v/>
      </c>
      <c r="AL26" s="128" t="str">
        <f t="shared" si="4"/>
        <v/>
      </c>
      <c r="AM26">
        <f t="shared" si="28"/>
        <v>0</v>
      </c>
      <c r="AO26">
        <f t="shared" si="29"/>
        <v>0</v>
      </c>
      <c r="BB26" s="134">
        <f t="shared" si="5"/>
        <v>0</v>
      </c>
      <c r="BC26" s="44">
        <v>20</v>
      </c>
      <c r="BD26" s="149" t="str">
        <f t="shared" si="6"/>
        <v/>
      </c>
      <c r="BE26" s="149" t="str">
        <f t="shared" si="7"/>
        <v/>
      </c>
      <c r="BF26" s="149" t="str">
        <f t="shared" si="8"/>
        <v/>
      </c>
      <c r="BG26" s="149" t="str">
        <f t="shared" si="9"/>
        <v/>
      </c>
      <c r="BH26" s="149" t="str">
        <f t="shared" si="10"/>
        <v/>
      </c>
      <c r="BI26" s="149" t="str">
        <f t="shared" si="11"/>
        <v/>
      </c>
      <c r="BJ26" s="149" t="str">
        <f t="shared" si="12"/>
        <v/>
      </c>
      <c r="BK26" s="149" t="str">
        <f>IFERROR(#REF!/$BB26,"")</f>
        <v/>
      </c>
      <c r="BL26" s="149" t="str">
        <f>IFERROR(#REF!/$BB26,"")</f>
        <v/>
      </c>
      <c r="BM26" s="149" t="str">
        <f t="shared" si="13"/>
        <v/>
      </c>
      <c r="BN26" s="149" t="str">
        <f t="shared" si="14"/>
        <v/>
      </c>
      <c r="BO26" s="149" t="str">
        <f t="shared" si="15"/>
        <v/>
      </c>
      <c r="BP26" s="149" t="str">
        <f t="shared" si="16"/>
        <v/>
      </c>
      <c r="BQ26" s="149" t="str">
        <f t="shared" si="17"/>
        <v/>
      </c>
      <c r="BR26" s="149" t="str">
        <f>IFERROR(#REF!/$BB26,"")</f>
        <v/>
      </c>
      <c r="BS26" s="149" t="str">
        <f>IFERROR(#REF!/$BB26,"")</f>
        <v/>
      </c>
      <c r="BT26" s="149" t="str">
        <f t="shared" si="18"/>
        <v/>
      </c>
      <c r="BU26" s="149" t="str">
        <f t="shared" si="19"/>
        <v/>
      </c>
      <c r="BV26" s="149" t="str">
        <f t="shared" si="20"/>
        <v/>
      </c>
      <c r="BW26" s="149" t="str">
        <f t="shared" si="21"/>
        <v/>
      </c>
      <c r="BX26" s="149" t="str">
        <f t="shared" si="22"/>
        <v/>
      </c>
      <c r="BY26" s="149" t="str">
        <f>IFERROR(#REF!/$BB26,"")</f>
        <v/>
      </c>
      <c r="BZ26" s="149" t="str">
        <f>IFERROR(#REF!/$BB26,"")</f>
        <v/>
      </c>
      <c r="CA26" s="149" t="str">
        <f t="shared" si="23"/>
        <v/>
      </c>
      <c r="CB26" s="149" t="str">
        <f t="shared" si="24"/>
        <v/>
      </c>
      <c r="CC26" s="207" t="str">
        <f t="shared" si="25"/>
        <v/>
      </c>
      <c r="CD26" s="208" t="str">
        <f t="shared" si="30"/>
        <v/>
      </c>
    </row>
    <row r="27" spans="3:82" x14ac:dyDescent="0.25">
      <c r="C27" s="44">
        <v>21</v>
      </c>
      <c r="D27" s="149"/>
      <c r="E27" s="149"/>
      <c r="F27" s="55">
        <v>7</v>
      </c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W27" s="127">
        <f t="shared" si="0"/>
        <v>7</v>
      </c>
      <c r="X27">
        <f t="shared" si="1"/>
        <v>1</v>
      </c>
      <c r="Y27" t="b">
        <f>LOOKUP($C27,Table7[Sample Name],Table7[Positive])</f>
        <v>1</v>
      </c>
      <c r="Z27" t="b">
        <f>LOOKUP($C27,Table7[Sample Name],Table7[Disseminated])</f>
        <v>1</v>
      </c>
      <c r="AA27">
        <f t="shared" si="2"/>
        <v>7</v>
      </c>
      <c r="AD27" s="325">
        <v>21</v>
      </c>
      <c r="AE27" s="43">
        <v>7</v>
      </c>
      <c r="AF27" s="128"/>
      <c r="AG27">
        <f t="shared" si="26"/>
        <v>7</v>
      </c>
      <c r="AH27">
        <f t="shared" si="27"/>
        <v>1</v>
      </c>
      <c r="AJ27" s="207">
        <v>21</v>
      </c>
      <c r="AK27" s="127" t="str">
        <f t="shared" si="3"/>
        <v/>
      </c>
      <c r="AL27" s="128" t="str">
        <f t="shared" si="4"/>
        <v/>
      </c>
      <c r="AM27">
        <f t="shared" si="28"/>
        <v>0</v>
      </c>
      <c r="AO27">
        <f t="shared" si="29"/>
        <v>-7</v>
      </c>
      <c r="BB27" s="134">
        <f t="shared" si="5"/>
        <v>7</v>
      </c>
      <c r="BC27" s="44">
        <v>21</v>
      </c>
      <c r="BD27" s="149">
        <f t="shared" si="6"/>
        <v>0</v>
      </c>
      <c r="BE27" s="149">
        <f t="shared" si="7"/>
        <v>0</v>
      </c>
      <c r="BF27" s="149">
        <f t="shared" si="8"/>
        <v>1</v>
      </c>
      <c r="BG27" s="149">
        <f t="shared" si="9"/>
        <v>0</v>
      </c>
      <c r="BH27" s="149">
        <f t="shared" si="10"/>
        <v>0</v>
      </c>
      <c r="BI27" s="149">
        <f t="shared" si="11"/>
        <v>0</v>
      </c>
      <c r="BJ27" s="149">
        <f t="shared" si="12"/>
        <v>0</v>
      </c>
      <c r="BK27" s="149" t="str">
        <f>IFERROR(#REF!/$BB27,"")</f>
        <v/>
      </c>
      <c r="BL27" s="149" t="str">
        <f>IFERROR(#REF!/$BB27,"")</f>
        <v/>
      </c>
      <c r="BM27" s="149">
        <f t="shared" si="13"/>
        <v>0</v>
      </c>
      <c r="BN27" s="149">
        <f t="shared" si="14"/>
        <v>0</v>
      </c>
      <c r="BO27" s="149">
        <f t="shared" si="15"/>
        <v>0</v>
      </c>
      <c r="BP27" s="149">
        <f t="shared" si="16"/>
        <v>0</v>
      </c>
      <c r="BQ27" s="149">
        <f t="shared" si="17"/>
        <v>0</v>
      </c>
      <c r="BR27" s="149" t="str">
        <f>IFERROR(#REF!/$BB27,"")</f>
        <v/>
      </c>
      <c r="BS27" s="149" t="str">
        <f>IFERROR(#REF!/$BB27,"")</f>
        <v/>
      </c>
      <c r="BT27" s="149">
        <f t="shared" si="18"/>
        <v>0</v>
      </c>
      <c r="BU27" s="149">
        <f t="shared" si="19"/>
        <v>0</v>
      </c>
      <c r="BV27" s="149">
        <f t="shared" si="20"/>
        <v>0</v>
      </c>
      <c r="BW27" s="149">
        <f t="shared" si="21"/>
        <v>0</v>
      </c>
      <c r="BX27" s="149">
        <f t="shared" si="22"/>
        <v>0</v>
      </c>
      <c r="BY27" s="149" t="str">
        <f>IFERROR(#REF!/$BB27,"")</f>
        <v/>
      </c>
      <c r="BZ27" s="149" t="str">
        <f>IFERROR(#REF!/$BB27,"")</f>
        <v/>
      </c>
      <c r="CA27" s="149">
        <f t="shared" si="23"/>
        <v>0</v>
      </c>
      <c r="CB27" s="149">
        <f t="shared" si="24"/>
        <v>0</v>
      </c>
      <c r="CC27" s="207">
        <f t="shared" si="25"/>
        <v>1</v>
      </c>
      <c r="CD27" s="208" t="b">
        <f t="shared" si="30"/>
        <v>1</v>
      </c>
    </row>
    <row r="28" spans="3:82" x14ac:dyDescent="0.25">
      <c r="C28" s="44">
        <v>22</v>
      </c>
      <c r="D28" s="149"/>
      <c r="E28" s="149"/>
      <c r="F28" s="55">
        <v>1</v>
      </c>
      <c r="G28" s="55"/>
      <c r="H28" s="55"/>
      <c r="I28" s="55"/>
      <c r="J28" s="55"/>
      <c r="K28" s="55"/>
      <c r="L28" s="55"/>
      <c r="M28" s="55"/>
      <c r="N28" s="55"/>
      <c r="O28" s="55"/>
      <c r="P28" s="55">
        <v>3</v>
      </c>
      <c r="Q28" s="55"/>
      <c r="W28" s="127">
        <f t="shared" si="0"/>
        <v>4</v>
      </c>
      <c r="X28">
        <f t="shared" si="1"/>
        <v>2</v>
      </c>
      <c r="Y28" t="b">
        <f>LOOKUP($C28,Table7[Sample Name],Table7[Positive])</f>
        <v>1</v>
      </c>
      <c r="Z28" t="b">
        <f>LOOKUP($C28,Table7[Sample Name],Table7[Disseminated])</f>
        <v>1</v>
      </c>
      <c r="AA28">
        <f t="shared" si="2"/>
        <v>3</v>
      </c>
      <c r="AD28" s="325">
        <v>22</v>
      </c>
      <c r="AE28" s="43">
        <v>1</v>
      </c>
      <c r="AF28" s="128">
        <v>3</v>
      </c>
      <c r="AG28">
        <f t="shared" si="26"/>
        <v>4</v>
      </c>
      <c r="AH28">
        <f t="shared" si="27"/>
        <v>2</v>
      </c>
      <c r="AJ28" s="207">
        <v>22</v>
      </c>
      <c r="AK28" s="127" t="str">
        <f t="shared" si="3"/>
        <v/>
      </c>
      <c r="AL28" s="128" t="str">
        <f t="shared" si="4"/>
        <v/>
      </c>
      <c r="AM28">
        <f t="shared" si="28"/>
        <v>0</v>
      </c>
      <c r="AO28">
        <f t="shared" si="29"/>
        <v>-4</v>
      </c>
      <c r="BB28" s="134">
        <f t="shared" si="5"/>
        <v>3</v>
      </c>
      <c r="BC28" s="44">
        <v>22</v>
      </c>
      <c r="BD28" s="149">
        <f t="shared" si="6"/>
        <v>0</v>
      </c>
      <c r="BE28" s="149">
        <f t="shared" si="7"/>
        <v>0</v>
      </c>
      <c r="BF28" s="149">
        <f t="shared" si="8"/>
        <v>0.33333333333333331</v>
      </c>
      <c r="BG28" s="149">
        <f t="shared" si="9"/>
        <v>0</v>
      </c>
      <c r="BH28" s="149">
        <f t="shared" si="10"/>
        <v>0</v>
      </c>
      <c r="BI28" s="149">
        <f t="shared" si="11"/>
        <v>0</v>
      </c>
      <c r="BJ28" s="149">
        <f t="shared" si="12"/>
        <v>0</v>
      </c>
      <c r="BK28" s="149" t="str">
        <f>IFERROR(#REF!/$BB28,"")</f>
        <v/>
      </c>
      <c r="BL28" s="149" t="str">
        <f>IFERROR(#REF!/$BB28,"")</f>
        <v/>
      </c>
      <c r="BM28" s="149">
        <f t="shared" si="13"/>
        <v>0</v>
      </c>
      <c r="BN28" s="149">
        <f t="shared" si="14"/>
        <v>0</v>
      </c>
      <c r="BO28" s="149">
        <f t="shared" si="15"/>
        <v>0</v>
      </c>
      <c r="BP28" s="149">
        <f t="shared" si="16"/>
        <v>0</v>
      </c>
      <c r="BQ28" s="149">
        <f t="shared" si="17"/>
        <v>0</v>
      </c>
      <c r="BR28" s="149" t="str">
        <f>IFERROR(#REF!/$BB28,"")</f>
        <v/>
      </c>
      <c r="BS28" s="149" t="str">
        <f>IFERROR(#REF!/$BB28,"")</f>
        <v/>
      </c>
      <c r="BT28" s="149">
        <f t="shared" si="18"/>
        <v>1</v>
      </c>
      <c r="BU28" s="149">
        <f t="shared" si="19"/>
        <v>0</v>
      </c>
      <c r="BV28" s="149">
        <f t="shared" si="20"/>
        <v>0</v>
      </c>
      <c r="BW28" s="149">
        <f t="shared" si="21"/>
        <v>0</v>
      </c>
      <c r="BX28" s="149">
        <f t="shared" si="22"/>
        <v>0</v>
      </c>
      <c r="BY28" s="149" t="str">
        <f>IFERROR(#REF!/$BB28,"")</f>
        <v/>
      </c>
      <c r="BZ28" s="149" t="str">
        <f>IFERROR(#REF!/$BB28,"")</f>
        <v/>
      </c>
      <c r="CA28" s="149">
        <f t="shared" si="23"/>
        <v>0</v>
      </c>
      <c r="CB28" s="149">
        <f t="shared" si="24"/>
        <v>0</v>
      </c>
      <c r="CC28" s="207">
        <f t="shared" si="25"/>
        <v>1.3333333333333333</v>
      </c>
      <c r="CD28" s="208" t="b">
        <f t="shared" si="30"/>
        <v>0</v>
      </c>
    </row>
    <row r="29" spans="3:82" x14ac:dyDescent="0.25">
      <c r="C29" s="44">
        <v>23</v>
      </c>
      <c r="D29" s="149"/>
      <c r="E29" s="149"/>
      <c r="F29" s="55">
        <v>0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W29" s="127">
        <f t="shared" si="0"/>
        <v>0</v>
      </c>
      <c r="X29">
        <f t="shared" si="1"/>
        <v>0</v>
      </c>
      <c r="Y29" t="b">
        <f>LOOKUP($C29,Table7[Sample Name],Table7[Positive])</f>
        <v>0</v>
      </c>
      <c r="Z29" t="str">
        <f>LOOKUP($C29,Table7[Sample Name],Table7[Disseminated])</f>
        <v>N/A</v>
      </c>
      <c r="AA29">
        <f t="shared" si="2"/>
        <v>0</v>
      </c>
      <c r="AD29" s="325">
        <v>23</v>
      </c>
      <c r="AE29" s="43">
        <v>0</v>
      </c>
      <c r="AF29" s="128"/>
      <c r="AG29">
        <f t="shared" si="26"/>
        <v>0</v>
      </c>
      <c r="AH29">
        <f t="shared" si="27"/>
        <v>0</v>
      </c>
      <c r="AJ29" s="207">
        <v>23</v>
      </c>
      <c r="AK29" s="127" t="str">
        <f t="shared" si="3"/>
        <v/>
      </c>
      <c r="AL29" s="128" t="str">
        <f t="shared" si="4"/>
        <v/>
      </c>
      <c r="AM29">
        <f t="shared" si="28"/>
        <v>0</v>
      </c>
      <c r="AO29">
        <f t="shared" si="29"/>
        <v>0</v>
      </c>
      <c r="BB29" s="134">
        <f t="shared" si="5"/>
        <v>0</v>
      </c>
      <c r="BC29" s="44">
        <v>23</v>
      </c>
      <c r="BD29" s="149" t="str">
        <f t="shared" si="6"/>
        <v/>
      </c>
      <c r="BE29" s="149" t="str">
        <f t="shared" si="7"/>
        <v/>
      </c>
      <c r="BF29" s="149" t="str">
        <f t="shared" si="8"/>
        <v/>
      </c>
      <c r="BG29" s="149" t="str">
        <f t="shared" si="9"/>
        <v/>
      </c>
      <c r="BH29" s="149" t="str">
        <f t="shared" si="10"/>
        <v/>
      </c>
      <c r="BI29" s="149" t="str">
        <f t="shared" si="11"/>
        <v/>
      </c>
      <c r="BJ29" s="149" t="str">
        <f t="shared" si="12"/>
        <v/>
      </c>
      <c r="BK29" s="149" t="str">
        <f>IFERROR(#REF!/$BB29,"")</f>
        <v/>
      </c>
      <c r="BL29" s="149" t="str">
        <f>IFERROR(#REF!/$BB29,"")</f>
        <v/>
      </c>
      <c r="BM29" s="149" t="str">
        <f t="shared" si="13"/>
        <v/>
      </c>
      <c r="BN29" s="149" t="str">
        <f t="shared" si="14"/>
        <v/>
      </c>
      <c r="BO29" s="149" t="str">
        <f t="shared" si="15"/>
        <v/>
      </c>
      <c r="BP29" s="149" t="str">
        <f t="shared" si="16"/>
        <v/>
      </c>
      <c r="BQ29" s="149" t="str">
        <f t="shared" si="17"/>
        <v/>
      </c>
      <c r="BR29" s="149" t="str">
        <f>IFERROR(#REF!/$BB29,"")</f>
        <v/>
      </c>
      <c r="BS29" s="149" t="str">
        <f>IFERROR(#REF!/$BB29,"")</f>
        <v/>
      </c>
      <c r="BT29" s="149" t="str">
        <f t="shared" si="18"/>
        <v/>
      </c>
      <c r="BU29" s="149" t="str">
        <f t="shared" si="19"/>
        <v/>
      </c>
      <c r="BV29" s="149" t="str">
        <f t="shared" si="20"/>
        <v/>
      </c>
      <c r="BW29" s="149" t="str">
        <f t="shared" si="21"/>
        <v/>
      </c>
      <c r="BX29" s="149" t="str">
        <f t="shared" si="22"/>
        <v/>
      </c>
      <c r="BY29" s="149" t="str">
        <f>IFERROR(#REF!/$BB29,"")</f>
        <v/>
      </c>
      <c r="BZ29" s="149" t="str">
        <f>IFERROR(#REF!/$BB29,"")</f>
        <v/>
      </c>
      <c r="CA29" s="149" t="str">
        <f t="shared" si="23"/>
        <v/>
      </c>
      <c r="CB29" s="149" t="str">
        <f t="shared" si="24"/>
        <v/>
      </c>
      <c r="CC29" s="207" t="str">
        <f t="shared" si="25"/>
        <v/>
      </c>
      <c r="CD29" s="208" t="str">
        <f t="shared" si="30"/>
        <v/>
      </c>
    </row>
    <row r="30" spans="3:82" x14ac:dyDescent="0.25">
      <c r="C30" s="44">
        <v>24</v>
      </c>
      <c r="D30" s="149"/>
      <c r="E30" s="149"/>
      <c r="F30" s="55">
        <v>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W30" s="127">
        <f t="shared" si="0"/>
        <v>0</v>
      </c>
      <c r="X30">
        <f t="shared" si="1"/>
        <v>0</v>
      </c>
      <c r="Y30" t="b">
        <f>LOOKUP($C30,Table7[Sample Name],Table7[Positive])</f>
        <v>1</v>
      </c>
      <c r="Z30" t="b">
        <f>LOOKUP($C30,Table7[Sample Name],Table7[Disseminated])</f>
        <v>1</v>
      </c>
      <c r="AA30">
        <f t="shared" si="2"/>
        <v>0</v>
      </c>
      <c r="AD30" s="325">
        <v>24</v>
      </c>
      <c r="AE30" s="43">
        <v>0</v>
      </c>
      <c r="AF30" s="128"/>
      <c r="AG30">
        <f t="shared" si="26"/>
        <v>0</v>
      </c>
      <c r="AH30">
        <f t="shared" si="27"/>
        <v>0</v>
      </c>
      <c r="AJ30" s="207">
        <v>24</v>
      </c>
      <c r="AK30" s="127" t="str">
        <f t="shared" si="3"/>
        <v/>
      </c>
      <c r="AL30" s="128" t="str">
        <f t="shared" si="4"/>
        <v/>
      </c>
      <c r="AM30">
        <f t="shared" si="28"/>
        <v>0</v>
      </c>
      <c r="AO30">
        <f t="shared" si="29"/>
        <v>0</v>
      </c>
      <c r="BB30" s="134">
        <f t="shared" si="5"/>
        <v>0</v>
      </c>
      <c r="BC30" s="44">
        <v>24</v>
      </c>
      <c r="BD30" s="149" t="str">
        <f t="shared" si="6"/>
        <v/>
      </c>
      <c r="BE30" s="149" t="str">
        <f t="shared" si="7"/>
        <v/>
      </c>
      <c r="BF30" s="149" t="str">
        <f t="shared" si="8"/>
        <v/>
      </c>
      <c r="BG30" s="149" t="str">
        <f t="shared" si="9"/>
        <v/>
      </c>
      <c r="BH30" s="149" t="str">
        <f t="shared" si="10"/>
        <v/>
      </c>
      <c r="BI30" s="149" t="str">
        <f t="shared" si="11"/>
        <v/>
      </c>
      <c r="BJ30" s="149" t="str">
        <f t="shared" si="12"/>
        <v/>
      </c>
      <c r="BK30" s="149" t="str">
        <f>IFERROR(#REF!/$BB30,"")</f>
        <v/>
      </c>
      <c r="BL30" s="149" t="str">
        <f>IFERROR(#REF!/$BB30,"")</f>
        <v/>
      </c>
      <c r="BM30" s="149" t="str">
        <f t="shared" si="13"/>
        <v/>
      </c>
      <c r="BN30" s="149" t="str">
        <f t="shared" si="14"/>
        <v/>
      </c>
      <c r="BO30" s="149" t="str">
        <f t="shared" si="15"/>
        <v/>
      </c>
      <c r="BP30" s="149" t="str">
        <f t="shared" si="16"/>
        <v/>
      </c>
      <c r="BQ30" s="149" t="str">
        <f t="shared" si="17"/>
        <v/>
      </c>
      <c r="BR30" s="149" t="str">
        <f>IFERROR(#REF!/$BB30,"")</f>
        <v/>
      </c>
      <c r="BS30" s="149" t="str">
        <f>IFERROR(#REF!/$BB30,"")</f>
        <v/>
      </c>
      <c r="BT30" s="149" t="str">
        <f t="shared" si="18"/>
        <v/>
      </c>
      <c r="BU30" s="149" t="str">
        <f t="shared" si="19"/>
        <v/>
      </c>
      <c r="BV30" s="149" t="str">
        <f t="shared" si="20"/>
        <v/>
      </c>
      <c r="BW30" s="149" t="str">
        <f t="shared" si="21"/>
        <v/>
      </c>
      <c r="BX30" s="149" t="str">
        <f t="shared" si="22"/>
        <v/>
      </c>
      <c r="BY30" s="149" t="str">
        <f>IFERROR(#REF!/$BB30,"")</f>
        <v/>
      </c>
      <c r="BZ30" s="149" t="str">
        <f>IFERROR(#REF!/$BB30,"")</f>
        <v/>
      </c>
      <c r="CA30" s="149" t="str">
        <f t="shared" si="23"/>
        <v/>
      </c>
      <c r="CB30" s="149" t="str">
        <f t="shared" si="24"/>
        <v/>
      </c>
      <c r="CC30" s="207" t="str">
        <f t="shared" si="25"/>
        <v/>
      </c>
      <c r="CD30" s="208" t="str">
        <f t="shared" si="30"/>
        <v/>
      </c>
    </row>
    <row r="31" spans="3:82" x14ac:dyDescent="0.25">
      <c r="C31" s="44">
        <v>25</v>
      </c>
      <c r="D31" s="149"/>
      <c r="E31" s="149"/>
      <c r="F31" s="55">
        <v>0</v>
      </c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W31" s="127">
        <f t="shared" si="0"/>
        <v>0</v>
      </c>
      <c r="X31">
        <f t="shared" si="1"/>
        <v>0</v>
      </c>
      <c r="Y31" t="b">
        <f>LOOKUP($C31,Table7[Sample Name],Table7[Positive])</f>
        <v>1</v>
      </c>
      <c r="Z31" t="b">
        <f>LOOKUP($C31,Table7[Sample Name],Table7[Disseminated])</f>
        <v>1</v>
      </c>
      <c r="AA31">
        <f t="shared" si="2"/>
        <v>0</v>
      </c>
      <c r="AD31" s="325">
        <v>25</v>
      </c>
      <c r="AE31" s="43">
        <v>0</v>
      </c>
      <c r="AF31" s="128"/>
      <c r="AG31">
        <f t="shared" si="26"/>
        <v>0</v>
      </c>
      <c r="AH31">
        <f t="shared" si="27"/>
        <v>0</v>
      </c>
      <c r="AJ31" s="207">
        <v>25</v>
      </c>
      <c r="AK31" s="127" t="str">
        <f t="shared" si="3"/>
        <v/>
      </c>
      <c r="AL31" s="128" t="str">
        <f t="shared" si="4"/>
        <v/>
      </c>
      <c r="AM31">
        <f t="shared" si="28"/>
        <v>0</v>
      </c>
      <c r="AO31">
        <f t="shared" si="29"/>
        <v>0</v>
      </c>
      <c r="BB31" s="134">
        <f t="shared" si="5"/>
        <v>0</v>
      </c>
      <c r="BC31" s="44">
        <v>25</v>
      </c>
      <c r="BD31" s="149" t="str">
        <f t="shared" si="6"/>
        <v/>
      </c>
      <c r="BE31" s="149" t="str">
        <f t="shared" si="7"/>
        <v/>
      </c>
      <c r="BF31" s="149" t="str">
        <f t="shared" si="8"/>
        <v/>
      </c>
      <c r="BG31" s="149" t="str">
        <f t="shared" si="9"/>
        <v/>
      </c>
      <c r="BH31" s="149" t="str">
        <f t="shared" si="10"/>
        <v/>
      </c>
      <c r="BI31" s="149" t="str">
        <f t="shared" si="11"/>
        <v/>
      </c>
      <c r="BJ31" s="149" t="str">
        <f t="shared" si="12"/>
        <v/>
      </c>
      <c r="BK31" s="149" t="str">
        <f>IFERROR(#REF!/$BB31,"")</f>
        <v/>
      </c>
      <c r="BL31" s="149" t="str">
        <f>IFERROR(#REF!/$BB31,"")</f>
        <v/>
      </c>
      <c r="BM31" s="149" t="str">
        <f t="shared" si="13"/>
        <v/>
      </c>
      <c r="BN31" s="149" t="str">
        <f t="shared" si="14"/>
        <v/>
      </c>
      <c r="BO31" s="149" t="str">
        <f t="shared" si="15"/>
        <v/>
      </c>
      <c r="BP31" s="149" t="str">
        <f t="shared" si="16"/>
        <v/>
      </c>
      <c r="BQ31" s="149" t="str">
        <f t="shared" si="17"/>
        <v/>
      </c>
      <c r="BR31" s="149" t="str">
        <f>IFERROR(#REF!/$BB31,"")</f>
        <v/>
      </c>
      <c r="BS31" s="149" t="str">
        <f>IFERROR(#REF!/$BB31,"")</f>
        <v/>
      </c>
      <c r="BT31" s="149" t="str">
        <f t="shared" si="18"/>
        <v/>
      </c>
      <c r="BU31" s="149" t="str">
        <f t="shared" si="19"/>
        <v/>
      </c>
      <c r="BV31" s="149" t="str">
        <f t="shared" si="20"/>
        <v/>
      </c>
      <c r="BW31" s="149" t="str">
        <f t="shared" si="21"/>
        <v/>
      </c>
      <c r="BX31" s="149" t="str">
        <f t="shared" si="22"/>
        <v/>
      </c>
      <c r="BY31" s="149" t="str">
        <f>IFERROR(#REF!/$BB31,"")</f>
        <v/>
      </c>
      <c r="BZ31" s="149" t="str">
        <f>IFERROR(#REF!/$BB31,"")</f>
        <v/>
      </c>
      <c r="CA31" s="149" t="str">
        <f t="shared" si="23"/>
        <v/>
      </c>
      <c r="CB31" s="149" t="str">
        <f t="shared" si="24"/>
        <v/>
      </c>
      <c r="CC31" s="207" t="str">
        <f t="shared" si="25"/>
        <v/>
      </c>
      <c r="CD31" s="208" t="str">
        <f t="shared" si="30"/>
        <v/>
      </c>
    </row>
    <row r="32" spans="3:82" x14ac:dyDescent="0.25">
      <c r="C32" s="44">
        <v>26</v>
      </c>
      <c r="D32" s="149"/>
      <c r="E32" s="149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W32" s="127">
        <f t="shared" si="0"/>
        <v>0</v>
      </c>
      <c r="X32">
        <f t="shared" si="1"/>
        <v>0</v>
      </c>
      <c r="Y32" t="b">
        <f>LOOKUP($C32,Table7[Sample Name],Table7[Positive])</f>
        <v>0</v>
      </c>
      <c r="Z32" t="str">
        <f>LOOKUP($C32,Table7[Sample Name],Table7[Disseminated])</f>
        <v>N/A</v>
      </c>
      <c r="AA32">
        <f t="shared" si="2"/>
        <v>0</v>
      </c>
      <c r="AD32" s="325">
        <v>26</v>
      </c>
      <c r="AE32" s="43">
        <v>0</v>
      </c>
      <c r="AF32" s="128"/>
      <c r="AG32">
        <f t="shared" si="26"/>
        <v>0</v>
      </c>
      <c r="AH32">
        <f t="shared" si="27"/>
        <v>0</v>
      </c>
      <c r="AJ32" s="207">
        <v>26</v>
      </c>
      <c r="AK32" s="127" t="str">
        <f t="shared" si="3"/>
        <v/>
      </c>
      <c r="AL32" s="128" t="str">
        <f t="shared" si="4"/>
        <v/>
      </c>
      <c r="AM32">
        <f t="shared" si="28"/>
        <v>0</v>
      </c>
      <c r="AO32">
        <f t="shared" si="29"/>
        <v>0</v>
      </c>
      <c r="BB32" s="134" t="str">
        <f t="shared" si="5"/>
        <v/>
      </c>
      <c r="BC32" s="44">
        <v>26</v>
      </c>
      <c r="BD32" s="149" t="str">
        <f t="shared" si="6"/>
        <v/>
      </c>
      <c r="BE32" s="149" t="str">
        <f t="shared" si="7"/>
        <v/>
      </c>
      <c r="BF32" s="149" t="str">
        <f t="shared" si="8"/>
        <v/>
      </c>
      <c r="BG32" s="149" t="str">
        <f t="shared" si="9"/>
        <v/>
      </c>
      <c r="BH32" s="149" t="str">
        <f t="shared" si="10"/>
        <v/>
      </c>
      <c r="BI32" s="149" t="str">
        <f t="shared" si="11"/>
        <v/>
      </c>
      <c r="BJ32" s="149" t="str">
        <f t="shared" si="12"/>
        <v/>
      </c>
      <c r="BK32" s="149" t="str">
        <f>IFERROR(#REF!/$BB32,"")</f>
        <v/>
      </c>
      <c r="BL32" s="149" t="str">
        <f>IFERROR(#REF!/$BB32,"")</f>
        <v/>
      </c>
      <c r="BM32" s="149" t="str">
        <f t="shared" si="13"/>
        <v/>
      </c>
      <c r="BN32" s="149" t="str">
        <f t="shared" si="14"/>
        <v/>
      </c>
      <c r="BO32" s="149" t="str">
        <f t="shared" si="15"/>
        <v/>
      </c>
      <c r="BP32" s="149" t="str">
        <f t="shared" si="16"/>
        <v/>
      </c>
      <c r="BQ32" s="149" t="str">
        <f t="shared" si="17"/>
        <v/>
      </c>
      <c r="BR32" s="149" t="str">
        <f>IFERROR(#REF!/$BB32,"")</f>
        <v/>
      </c>
      <c r="BS32" s="149" t="str">
        <f>IFERROR(#REF!/$BB32,"")</f>
        <v/>
      </c>
      <c r="BT32" s="149" t="str">
        <f t="shared" si="18"/>
        <v/>
      </c>
      <c r="BU32" s="149" t="str">
        <f t="shared" si="19"/>
        <v/>
      </c>
      <c r="BV32" s="149" t="str">
        <f t="shared" si="20"/>
        <v/>
      </c>
      <c r="BW32" s="149" t="str">
        <f t="shared" si="21"/>
        <v/>
      </c>
      <c r="BX32" s="149" t="str">
        <f t="shared" si="22"/>
        <v/>
      </c>
      <c r="BY32" s="149" t="str">
        <f>IFERROR(#REF!/$BB32,"")</f>
        <v/>
      </c>
      <c r="BZ32" s="149" t="str">
        <f>IFERROR(#REF!/$BB32,"")</f>
        <v/>
      </c>
      <c r="CA32" s="149" t="str">
        <f t="shared" si="23"/>
        <v/>
      </c>
      <c r="CB32" s="149" t="str">
        <f t="shared" si="24"/>
        <v/>
      </c>
      <c r="CC32" s="207" t="str">
        <f t="shared" si="25"/>
        <v/>
      </c>
      <c r="CD32" s="208" t="str">
        <f t="shared" si="30"/>
        <v/>
      </c>
    </row>
    <row r="33" spans="3:82" x14ac:dyDescent="0.25">
      <c r="C33" s="44">
        <v>27</v>
      </c>
      <c r="D33" s="149"/>
      <c r="E33" s="149"/>
      <c r="F33" s="55">
        <v>0</v>
      </c>
      <c r="G33" s="55"/>
      <c r="H33" s="55"/>
      <c r="I33" s="55"/>
      <c r="J33" s="55"/>
      <c r="K33" s="55"/>
      <c r="L33" s="55"/>
      <c r="M33" s="55"/>
      <c r="N33" s="55"/>
      <c r="O33" s="55"/>
      <c r="P33" s="55">
        <v>1</v>
      </c>
      <c r="Q33" s="55"/>
      <c r="W33" s="127">
        <f t="shared" si="0"/>
        <v>1</v>
      </c>
      <c r="X33">
        <f t="shared" si="1"/>
        <v>1</v>
      </c>
      <c r="Y33" t="b">
        <f>LOOKUP($C33,Table7[Sample Name],Table7[Positive])</f>
        <v>1</v>
      </c>
      <c r="Z33" t="b">
        <f>LOOKUP($C33,Table7[Sample Name],Table7[Disseminated])</f>
        <v>1</v>
      </c>
      <c r="AA33">
        <f t="shared" si="2"/>
        <v>1</v>
      </c>
      <c r="AD33" s="325">
        <v>27</v>
      </c>
      <c r="AE33" s="43">
        <v>1</v>
      </c>
      <c r="AF33" s="128"/>
      <c r="AG33">
        <f t="shared" si="26"/>
        <v>1</v>
      </c>
      <c r="AH33">
        <f t="shared" si="27"/>
        <v>1</v>
      </c>
      <c r="AJ33" s="207">
        <v>27</v>
      </c>
      <c r="AK33" s="127" t="str">
        <f t="shared" si="3"/>
        <v/>
      </c>
      <c r="AL33" s="128" t="str">
        <f t="shared" si="4"/>
        <v/>
      </c>
      <c r="AM33">
        <f t="shared" si="28"/>
        <v>0</v>
      </c>
      <c r="AO33">
        <f t="shared" si="29"/>
        <v>-1</v>
      </c>
      <c r="BB33" s="134">
        <f t="shared" si="5"/>
        <v>1</v>
      </c>
      <c r="BC33" s="44">
        <v>27</v>
      </c>
      <c r="BD33" s="149">
        <f t="shared" si="6"/>
        <v>0</v>
      </c>
      <c r="BE33" s="149">
        <f t="shared" si="7"/>
        <v>0</v>
      </c>
      <c r="BF33" s="149">
        <f t="shared" si="8"/>
        <v>0</v>
      </c>
      <c r="BG33" s="149">
        <f t="shared" si="9"/>
        <v>0</v>
      </c>
      <c r="BH33" s="149">
        <f t="shared" si="10"/>
        <v>0</v>
      </c>
      <c r="BI33" s="149">
        <f t="shared" si="11"/>
        <v>0</v>
      </c>
      <c r="BJ33" s="149">
        <f t="shared" si="12"/>
        <v>0</v>
      </c>
      <c r="BK33" s="149" t="str">
        <f>IFERROR(#REF!/$BB33,"")</f>
        <v/>
      </c>
      <c r="BL33" s="149" t="str">
        <f>IFERROR(#REF!/$BB33,"")</f>
        <v/>
      </c>
      <c r="BM33" s="149">
        <f t="shared" si="13"/>
        <v>0</v>
      </c>
      <c r="BN33" s="149">
        <f t="shared" si="14"/>
        <v>0</v>
      </c>
      <c r="BO33" s="149">
        <f t="shared" si="15"/>
        <v>0</v>
      </c>
      <c r="BP33" s="149">
        <f t="shared" si="16"/>
        <v>0</v>
      </c>
      <c r="BQ33" s="149">
        <f t="shared" si="17"/>
        <v>0</v>
      </c>
      <c r="BR33" s="149" t="str">
        <f>IFERROR(#REF!/$BB33,"")</f>
        <v/>
      </c>
      <c r="BS33" s="149" t="str">
        <f>IFERROR(#REF!/$BB33,"")</f>
        <v/>
      </c>
      <c r="BT33" s="149">
        <f t="shared" si="18"/>
        <v>1</v>
      </c>
      <c r="BU33" s="149">
        <f t="shared" si="19"/>
        <v>0</v>
      </c>
      <c r="BV33" s="149">
        <f t="shared" si="20"/>
        <v>0</v>
      </c>
      <c r="BW33" s="149">
        <f t="shared" si="21"/>
        <v>0</v>
      </c>
      <c r="BX33" s="149">
        <f t="shared" si="22"/>
        <v>0</v>
      </c>
      <c r="BY33" s="149" t="str">
        <f>IFERROR(#REF!/$BB33,"")</f>
        <v/>
      </c>
      <c r="BZ33" s="149" t="str">
        <f>IFERROR(#REF!/$BB33,"")</f>
        <v/>
      </c>
      <c r="CA33" s="149">
        <f t="shared" si="23"/>
        <v>0</v>
      </c>
      <c r="CB33" s="149">
        <f t="shared" si="24"/>
        <v>0</v>
      </c>
      <c r="CC33" s="207">
        <f t="shared" si="25"/>
        <v>1</v>
      </c>
      <c r="CD33" s="208" t="b">
        <f t="shared" si="30"/>
        <v>1</v>
      </c>
    </row>
    <row r="34" spans="3:82" x14ac:dyDescent="0.25">
      <c r="C34" s="44">
        <v>28</v>
      </c>
      <c r="D34" s="149"/>
      <c r="E34" s="149"/>
      <c r="F34" s="55">
        <v>0</v>
      </c>
      <c r="G34" s="55"/>
      <c r="H34" s="55"/>
      <c r="I34" s="55"/>
      <c r="J34" s="55"/>
      <c r="K34" s="55">
        <v>1</v>
      </c>
      <c r="L34" s="55"/>
      <c r="M34" s="55"/>
      <c r="N34" s="55"/>
      <c r="O34" s="55"/>
      <c r="P34" s="55"/>
      <c r="Q34" s="55"/>
      <c r="W34" s="127">
        <f t="shared" si="0"/>
        <v>1</v>
      </c>
      <c r="X34">
        <f t="shared" si="1"/>
        <v>1</v>
      </c>
      <c r="Y34" t="b">
        <f>LOOKUP($C34,Table7[Sample Name],Table7[Positive])</f>
        <v>1</v>
      </c>
      <c r="Z34" t="b">
        <f>LOOKUP($C34,Table7[Sample Name],Table7[Disseminated])</f>
        <v>0</v>
      </c>
      <c r="AA34">
        <f t="shared" si="2"/>
        <v>1</v>
      </c>
      <c r="AD34" s="325">
        <v>28</v>
      </c>
      <c r="AE34" s="43">
        <v>1</v>
      </c>
      <c r="AF34" s="128"/>
      <c r="AG34">
        <f t="shared" si="26"/>
        <v>1</v>
      </c>
      <c r="AH34">
        <f t="shared" si="27"/>
        <v>1</v>
      </c>
      <c r="AJ34" s="207">
        <v>28</v>
      </c>
      <c r="AK34" s="127" t="str">
        <f t="shared" si="3"/>
        <v/>
      </c>
      <c r="AL34" s="128" t="str">
        <f t="shared" si="4"/>
        <v/>
      </c>
      <c r="AM34">
        <f t="shared" si="28"/>
        <v>0</v>
      </c>
      <c r="AO34">
        <f t="shared" si="29"/>
        <v>-1</v>
      </c>
      <c r="BB34" s="134">
        <f t="shared" si="5"/>
        <v>1</v>
      </c>
      <c r="BC34" s="44">
        <v>28</v>
      </c>
      <c r="BD34" s="149">
        <f t="shared" si="6"/>
        <v>0</v>
      </c>
      <c r="BE34" s="149">
        <f t="shared" si="7"/>
        <v>0</v>
      </c>
      <c r="BF34" s="149">
        <f t="shared" si="8"/>
        <v>0</v>
      </c>
      <c r="BG34" s="149">
        <f t="shared" si="9"/>
        <v>0</v>
      </c>
      <c r="BH34" s="149">
        <f t="shared" si="10"/>
        <v>0</v>
      </c>
      <c r="BI34" s="149">
        <f t="shared" si="11"/>
        <v>0</v>
      </c>
      <c r="BJ34" s="149">
        <f t="shared" si="12"/>
        <v>0</v>
      </c>
      <c r="BK34" s="149" t="str">
        <f>IFERROR(#REF!/$BB34,"")</f>
        <v/>
      </c>
      <c r="BL34" s="149" t="str">
        <f>IFERROR(#REF!/$BB34,"")</f>
        <v/>
      </c>
      <c r="BM34" s="149">
        <f t="shared" si="13"/>
        <v>1</v>
      </c>
      <c r="BN34" s="149">
        <f t="shared" si="14"/>
        <v>0</v>
      </c>
      <c r="BO34" s="149">
        <f t="shared" si="15"/>
        <v>0</v>
      </c>
      <c r="BP34" s="149">
        <f t="shared" si="16"/>
        <v>0</v>
      </c>
      <c r="BQ34" s="149">
        <f t="shared" si="17"/>
        <v>0</v>
      </c>
      <c r="BR34" s="149" t="str">
        <f>IFERROR(#REF!/$BB34,"")</f>
        <v/>
      </c>
      <c r="BS34" s="149" t="str">
        <f>IFERROR(#REF!/$BB34,"")</f>
        <v/>
      </c>
      <c r="BT34" s="149">
        <f t="shared" si="18"/>
        <v>0</v>
      </c>
      <c r="BU34" s="149">
        <f t="shared" si="19"/>
        <v>0</v>
      </c>
      <c r="BV34" s="149">
        <f t="shared" si="20"/>
        <v>0</v>
      </c>
      <c r="BW34" s="149">
        <f t="shared" si="21"/>
        <v>0</v>
      </c>
      <c r="BX34" s="149">
        <f t="shared" si="22"/>
        <v>0</v>
      </c>
      <c r="BY34" s="149" t="str">
        <f>IFERROR(#REF!/$BB34,"")</f>
        <v/>
      </c>
      <c r="BZ34" s="149" t="str">
        <f>IFERROR(#REF!/$BB34,"")</f>
        <v/>
      </c>
      <c r="CA34" s="149">
        <f t="shared" si="23"/>
        <v>0</v>
      </c>
      <c r="CB34" s="149">
        <f t="shared" si="24"/>
        <v>0</v>
      </c>
      <c r="CC34" s="207">
        <f t="shared" si="25"/>
        <v>1</v>
      </c>
      <c r="CD34" s="208" t="b">
        <f t="shared" si="30"/>
        <v>1</v>
      </c>
    </row>
    <row r="35" spans="3:82" x14ac:dyDescent="0.25">
      <c r="C35" s="44">
        <v>29</v>
      </c>
      <c r="D35" s="149"/>
      <c r="E35" s="149"/>
      <c r="F35" s="55">
        <v>0</v>
      </c>
      <c r="G35" s="55"/>
      <c r="H35" s="55"/>
      <c r="I35" s="55"/>
      <c r="J35" s="55"/>
      <c r="K35" s="55"/>
      <c r="L35" s="55"/>
      <c r="M35" s="55"/>
      <c r="N35" s="55"/>
      <c r="O35" s="55"/>
      <c r="P35" s="55">
        <v>0</v>
      </c>
      <c r="Q35" s="55"/>
      <c r="U35">
        <v>0</v>
      </c>
      <c r="W35" s="127">
        <f t="shared" si="0"/>
        <v>0</v>
      </c>
      <c r="X35">
        <f t="shared" si="1"/>
        <v>0</v>
      </c>
      <c r="Y35" t="b">
        <f>LOOKUP($C35,Table7[Sample Name],Table7[Positive])</f>
        <v>0</v>
      </c>
      <c r="Z35" t="str">
        <f>LOOKUP($C35,Table7[Sample Name],Table7[Disseminated])</f>
        <v>N/A</v>
      </c>
      <c r="AA35">
        <f t="shared" si="2"/>
        <v>0</v>
      </c>
      <c r="AD35" s="325">
        <v>29</v>
      </c>
      <c r="AE35" s="43">
        <v>0</v>
      </c>
      <c r="AF35" s="128"/>
      <c r="AG35">
        <f t="shared" si="26"/>
        <v>0</v>
      </c>
      <c r="AH35">
        <f t="shared" si="27"/>
        <v>0</v>
      </c>
      <c r="AJ35" s="207">
        <v>29</v>
      </c>
      <c r="AK35" s="127" t="str">
        <f t="shared" si="3"/>
        <v/>
      </c>
      <c r="AL35" s="128" t="str">
        <f t="shared" si="4"/>
        <v/>
      </c>
      <c r="AM35">
        <f t="shared" si="28"/>
        <v>0</v>
      </c>
      <c r="AO35">
        <f t="shared" si="29"/>
        <v>0</v>
      </c>
      <c r="BB35" s="134">
        <f t="shared" si="5"/>
        <v>0</v>
      </c>
      <c r="BC35" s="44">
        <v>29</v>
      </c>
      <c r="BD35" s="149" t="str">
        <f t="shared" si="6"/>
        <v/>
      </c>
      <c r="BE35" s="149" t="str">
        <f t="shared" si="7"/>
        <v/>
      </c>
      <c r="BF35" s="149" t="str">
        <f t="shared" si="8"/>
        <v/>
      </c>
      <c r="BG35" s="149" t="str">
        <f t="shared" si="9"/>
        <v/>
      </c>
      <c r="BH35" s="149" t="str">
        <f t="shared" si="10"/>
        <v/>
      </c>
      <c r="BI35" s="149" t="str">
        <f t="shared" si="11"/>
        <v/>
      </c>
      <c r="BJ35" s="149" t="str">
        <f t="shared" si="12"/>
        <v/>
      </c>
      <c r="BK35" s="149" t="str">
        <f>IFERROR(#REF!/$BB35,"")</f>
        <v/>
      </c>
      <c r="BL35" s="149" t="str">
        <f>IFERROR(#REF!/$BB35,"")</f>
        <v/>
      </c>
      <c r="BM35" s="149" t="str">
        <f t="shared" si="13"/>
        <v/>
      </c>
      <c r="BN35" s="149" t="str">
        <f t="shared" si="14"/>
        <v/>
      </c>
      <c r="BO35" s="149" t="str">
        <f t="shared" si="15"/>
        <v/>
      </c>
      <c r="BP35" s="149" t="str">
        <f t="shared" si="16"/>
        <v/>
      </c>
      <c r="BQ35" s="149" t="str">
        <f t="shared" si="17"/>
        <v/>
      </c>
      <c r="BR35" s="149" t="str">
        <f>IFERROR(#REF!/$BB35,"")</f>
        <v/>
      </c>
      <c r="BS35" s="149" t="str">
        <f>IFERROR(#REF!/$BB35,"")</f>
        <v/>
      </c>
      <c r="BT35" s="149" t="str">
        <f t="shared" si="18"/>
        <v/>
      </c>
      <c r="BU35" s="149" t="str">
        <f t="shared" si="19"/>
        <v/>
      </c>
      <c r="BV35" s="149" t="str">
        <f t="shared" si="20"/>
        <v/>
      </c>
      <c r="BW35" s="149" t="str">
        <f t="shared" si="21"/>
        <v/>
      </c>
      <c r="BX35" s="149" t="str">
        <f t="shared" si="22"/>
        <v/>
      </c>
      <c r="BY35" s="149" t="str">
        <f>IFERROR(#REF!/$BB35,"")</f>
        <v/>
      </c>
      <c r="BZ35" s="149" t="str">
        <f>IFERROR(#REF!/$BB35,"")</f>
        <v/>
      </c>
      <c r="CA35" s="149" t="str">
        <f t="shared" si="23"/>
        <v/>
      </c>
      <c r="CB35" s="149" t="str">
        <f t="shared" si="24"/>
        <v/>
      </c>
      <c r="CC35" s="207" t="str">
        <f t="shared" si="25"/>
        <v/>
      </c>
      <c r="CD35" s="208" t="str">
        <f t="shared" si="30"/>
        <v/>
      </c>
    </row>
    <row r="36" spans="3:82" x14ac:dyDescent="0.25">
      <c r="C36" s="44">
        <v>30</v>
      </c>
      <c r="D36" s="149"/>
      <c r="E36" s="149"/>
      <c r="F36" s="55">
        <v>0</v>
      </c>
      <c r="G36" s="55"/>
      <c r="H36" s="55"/>
      <c r="I36" s="55"/>
      <c r="J36" s="55"/>
      <c r="K36" s="55">
        <v>22</v>
      </c>
      <c r="L36" s="55"/>
      <c r="M36" s="55"/>
      <c r="N36" s="55"/>
      <c r="O36" s="55"/>
      <c r="P36" s="55"/>
      <c r="Q36" s="55"/>
      <c r="W36" s="127">
        <f t="shared" si="0"/>
        <v>22</v>
      </c>
      <c r="X36">
        <f t="shared" si="1"/>
        <v>1</v>
      </c>
      <c r="Y36" t="b">
        <f>LOOKUP($C36,Table7[Sample Name],Table7[Positive])</f>
        <v>1</v>
      </c>
      <c r="Z36" t="b">
        <f>LOOKUP($C36,Table7[Sample Name],Table7[Disseminated])</f>
        <v>1</v>
      </c>
      <c r="AA36">
        <f t="shared" si="2"/>
        <v>22</v>
      </c>
      <c r="AD36" s="325">
        <v>30</v>
      </c>
      <c r="AE36" s="43">
        <v>22</v>
      </c>
      <c r="AF36" s="128"/>
      <c r="AG36">
        <f t="shared" si="26"/>
        <v>22</v>
      </c>
      <c r="AH36">
        <f t="shared" si="27"/>
        <v>1</v>
      </c>
      <c r="AJ36" s="207">
        <v>30</v>
      </c>
      <c r="AK36" s="127" t="str">
        <f t="shared" si="3"/>
        <v/>
      </c>
      <c r="AL36" s="128" t="str">
        <f t="shared" si="4"/>
        <v/>
      </c>
      <c r="AM36">
        <f t="shared" si="28"/>
        <v>0</v>
      </c>
      <c r="AO36">
        <f t="shared" si="29"/>
        <v>-22</v>
      </c>
      <c r="BB36" s="134">
        <f t="shared" si="5"/>
        <v>22</v>
      </c>
      <c r="BC36" s="44">
        <v>30</v>
      </c>
      <c r="BD36" s="149">
        <f t="shared" si="6"/>
        <v>0</v>
      </c>
      <c r="BE36" s="149">
        <f t="shared" si="7"/>
        <v>0</v>
      </c>
      <c r="BF36" s="149">
        <f t="shared" si="8"/>
        <v>0</v>
      </c>
      <c r="BG36" s="149">
        <f t="shared" si="9"/>
        <v>0</v>
      </c>
      <c r="BH36" s="149">
        <f t="shared" si="10"/>
        <v>0</v>
      </c>
      <c r="BI36" s="149">
        <f t="shared" si="11"/>
        <v>0</v>
      </c>
      <c r="BJ36" s="149">
        <f t="shared" si="12"/>
        <v>0</v>
      </c>
      <c r="BK36" s="149" t="str">
        <f>IFERROR(#REF!/$BB36,"")</f>
        <v/>
      </c>
      <c r="BL36" s="149" t="str">
        <f>IFERROR(#REF!/$BB36,"")</f>
        <v/>
      </c>
      <c r="BM36" s="149">
        <f t="shared" si="13"/>
        <v>1</v>
      </c>
      <c r="BN36" s="149">
        <f t="shared" si="14"/>
        <v>0</v>
      </c>
      <c r="BO36" s="149">
        <f t="shared" si="15"/>
        <v>0</v>
      </c>
      <c r="BP36" s="149">
        <f t="shared" si="16"/>
        <v>0</v>
      </c>
      <c r="BQ36" s="149">
        <f t="shared" si="17"/>
        <v>0</v>
      </c>
      <c r="BR36" s="149" t="str">
        <f>IFERROR(#REF!/$BB36,"")</f>
        <v/>
      </c>
      <c r="BS36" s="149" t="str">
        <f>IFERROR(#REF!/$BB36,"")</f>
        <v/>
      </c>
      <c r="BT36" s="149">
        <f t="shared" si="18"/>
        <v>0</v>
      </c>
      <c r="BU36" s="149">
        <f t="shared" si="19"/>
        <v>0</v>
      </c>
      <c r="BV36" s="149">
        <f t="shared" si="20"/>
        <v>0</v>
      </c>
      <c r="BW36" s="149">
        <f t="shared" si="21"/>
        <v>0</v>
      </c>
      <c r="BX36" s="149">
        <f t="shared" si="22"/>
        <v>0</v>
      </c>
      <c r="BY36" s="149" t="str">
        <f>IFERROR(#REF!/$BB36,"")</f>
        <v/>
      </c>
      <c r="BZ36" s="149" t="str">
        <f>IFERROR(#REF!/$BB36,"")</f>
        <v/>
      </c>
      <c r="CA36" s="149">
        <f t="shared" si="23"/>
        <v>0</v>
      </c>
      <c r="CB36" s="149">
        <f t="shared" si="24"/>
        <v>0</v>
      </c>
      <c r="CC36" s="207">
        <f t="shared" si="25"/>
        <v>1</v>
      </c>
      <c r="CD36" s="208" t="b">
        <f t="shared" si="30"/>
        <v>1</v>
      </c>
    </row>
    <row r="37" spans="3:82" x14ac:dyDescent="0.25">
      <c r="C37" s="44">
        <v>31</v>
      </c>
      <c r="D37" s="149"/>
      <c r="E37" s="149"/>
      <c r="F37" s="55">
        <v>0</v>
      </c>
      <c r="G37" s="55"/>
      <c r="H37" s="55"/>
      <c r="I37" s="55"/>
      <c r="J37" s="55"/>
      <c r="K37" s="55"/>
      <c r="L37" s="55"/>
      <c r="M37" s="55"/>
      <c r="N37" s="55">
        <v>18</v>
      </c>
      <c r="O37" s="55"/>
      <c r="P37" s="55">
        <v>17</v>
      </c>
      <c r="Q37" s="55"/>
      <c r="W37" s="127">
        <f t="shared" si="0"/>
        <v>35</v>
      </c>
      <c r="X37">
        <f t="shared" si="1"/>
        <v>2</v>
      </c>
      <c r="Y37" t="b">
        <f>LOOKUP($C37,Table7[Sample Name],Table7[Positive])</f>
        <v>1</v>
      </c>
      <c r="Z37" t="b">
        <f>LOOKUP($C37,Table7[Sample Name],Table7[Disseminated])</f>
        <v>1</v>
      </c>
      <c r="AA37">
        <f t="shared" si="2"/>
        <v>18</v>
      </c>
      <c r="AD37" s="325">
        <v>31</v>
      </c>
      <c r="AE37" s="43">
        <v>18</v>
      </c>
      <c r="AF37" s="128">
        <v>17</v>
      </c>
      <c r="AG37">
        <f t="shared" si="26"/>
        <v>35</v>
      </c>
      <c r="AH37">
        <f t="shared" si="27"/>
        <v>2</v>
      </c>
      <c r="AJ37" s="207">
        <v>31</v>
      </c>
      <c r="AK37" s="127" t="str">
        <f t="shared" si="3"/>
        <v/>
      </c>
      <c r="AL37" s="128" t="str">
        <f t="shared" si="4"/>
        <v/>
      </c>
      <c r="AM37">
        <f t="shared" si="28"/>
        <v>0</v>
      </c>
      <c r="AO37">
        <f t="shared" si="29"/>
        <v>-35</v>
      </c>
      <c r="BB37" s="134">
        <f t="shared" si="5"/>
        <v>18</v>
      </c>
      <c r="BC37" s="44">
        <v>31</v>
      </c>
      <c r="BD37" s="149">
        <f t="shared" si="6"/>
        <v>0</v>
      </c>
      <c r="BE37" s="149">
        <f t="shared" si="7"/>
        <v>0</v>
      </c>
      <c r="BF37" s="149">
        <f t="shared" si="8"/>
        <v>0</v>
      </c>
      <c r="BG37" s="149">
        <f t="shared" si="9"/>
        <v>0</v>
      </c>
      <c r="BH37" s="149">
        <f t="shared" si="10"/>
        <v>0</v>
      </c>
      <c r="BI37" s="149">
        <f t="shared" si="11"/>
        <v>0</v>
      </c>
      <c r="BJ37" s="149">
        <f t="shared" si="12"/>
        <v>0</v>
      </c>
      <c r="BK37" s="149" t="str">
        <f>IFERROR(#REF!/$BB37,"")</f>
        <v/>
      </c>
      <c r="BL37" s="149" t="str">
        <f>IFERROR(#REF!/$BB37,"")</f>
        <v/>
      </c>
      <c r="BM37" s="149">
        <f t="shared" si="13"/>
        <v>0</v>
      </c>
      <c r="BN37" s="149">
        <f t="shared" si="14"/>
        <v>0</v>
      </c>
      <c r="BO37" s="149">
        <f t="shared" si="15"/>
        <v>0</v>
      </c>
      <c r="BP37" s="149">
        <f t="shared" si="16"/>
        <v>1</v>
      </c>
      <c r="BQ37" s="149">
        <f t="shared" si="17"/>
        <v>0</v>
      </c>
      <c r="BR37" s="149" t="str">
        <f>IFERROR(#REF!/$BB37,"")</f>
        <v/>
      </c>
      <c r="BS37" s="149" t="str">
        <f>IFERROR(#REF!/$BB37,"")</f>
        <v/>
      </c>
      <c r="BT37" s="149">
        <f t="shared" si="18"/>
        <v>0.94444444444444442</v>
      </c>
      <c r="BU37" s="149">
        <f t="shared" si="19"/>
        <v>0</v>
      </c>
      <c r="BV37" s="149">
        <f t="shared" si="20"/>
        <v>0</v>
      </c>
      <c r="BW37" s="149">
        <f t="shared" si="21"/>
        <v>0</v>
      </c>
      <c r="BX37" s="149">
        <f t="shared" si="22"/>
        <v>0</v>
      </c>
      <c r="BY37" s="149" t="str">
        <f>IFERROR(#REF!/$BB37,"")</f>
        <v/>
      </c>
      <c r="BZ37" s="149" t="str">
        <f>IFERROR(#REF!/$BB37,"")</f>
        <v/>
      </c>
      <c r="CA37" s="149">
        <f t="shared" si="23"/>
        <v>0</v>
      </c>
      <c r="CB37" s="149">
        <f t="shared" si="24"/>
        <v>0</v>
      </c>
      <c r="CC37" s="207">
        <f t="shared" si="25"/>
        <v>1.9444444444444444</v>
      </c>
      <c r="CD37" s="208" t="b">
        <f t="shared" si="30"/>
        <v>0</v>
      </c>
    </row>
    <row r="38" spans="3:82" x14ac:dyDescent="0.25">
      <c r="C38" s="44">
        <v>32</v>
      </c>
      <c r="D38" s="149"/>
      <c r="E38" s="149"/>
      <c r="F38" s="55">
        <v>0</v>
      </c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W38" s="127">
        <f t="shared" si="0"/>
        <v>0</v>
      </c>
      <c r="X38">
        <f t="shared" si="1"/>
        <v>0</v>
      </c>
      <c r="Y38" t="b">
        <f>LOOKUP($C38,Table7[Sample Name],Table7[Positive])</f>
        <v>1</v>
      </c>
      <c r="Z38" t="b">
        <f>LOOKUP($C38,Table7[Sample Name],Table7[Disseminated])</f>
        <v>1</v>
      </c>
      <c r="AA38">
        <f t="shared" si="2"/>
        <v>0</v>
      </c>
      <c r="AD38" s="325">
        <v>32</v>
      </c>
      <c r="AE38" s="43">
        <v>0</v>
      </c>
      <c r="AF38" s="128"/>
      <c r="AG38">
        <f t="shared" si="26"/>
        <v>0</v>
      </c>
      <c r="AH38">
        <f t="shared" si="27"/>
        <v>0</v>
      </c>
      <c r="AJ38" s="207">
        <v>32</v>
      </c>
      <c r="AK38" s="127" t="str">
        <f t="shared" si="3"/>
        <v/>
      </c>
      <c r="AL38" s="128" t="str">
        <f t="shared" si="4"/>
        <v/>
      </c>
      <c r="AM38">
        <f t="shared" si="28"/>
        <v>0</v>
      </c>
      <c r="AO38">
        <f t="shared" si="29"/>
        <v>0</v>
      </c>
      <c r="BB38" s="134">
        <f t="shared" si="5"/>
        <v>0</v>
      </c>
      <c r="BC38" s="44">
        <v>32</v>
      </c>
      <c r="BD38" s="149" t="str">
        <f t="shared" si="6"/>
        <v/>
      </c>
      <c r="BE38" s="149" t="str">
        <f t="shared" si="7"/>
        <v/>
      </c>
      <c r="BF38" s="149" t="str">
        <f t="shared" si="8"/>
        <v/>
      </c>
      <c r="BG38" s="149" t="str">
        <f t="shared" si="9"/>
        <v/>
      </c>
      <c r="BH38" s="149" t="str">
        <f t="shared" si="10"/>
        <v/>
      </c>
      <c r="BI38" s="149" t="str">
        <f t="shared" si="11"/>
        <v/>
      </c>
      <c r="BJ38" s="149" t="str">
        <f t="shared" si="12"/>
        <v/>
      </c>
      <c r="BK38" s="149" t="str">
        <f>IFERROR(#REF!/$BB38,"")</f>
        <v/>
      </c>
      <c r="BL38" s="149" t="str">
        <f>IFERROR(#REF!/$BB38,"")</f>
        <v/>
      </c>
      <c r="BM38" s="149" t="str">
        <f t="shared" si="13"/>
        <v/>
      </c>
      <c r="BN38" s="149" t="str">
        <f t="shared" si="14"/>
        <v/>
      </c>
      <c r="BO38" s="149" t="str">
        <f t="shared" si="15"/>
        <v/>
      </c>
      <c r="BP38" s="149" t="str">
        <f t="shared" si="16"/>
        <v/>
      </c>
      <c r="BQ38" s="149" t="str">
        <f t="shared" si="17"/>
        <v/>
      </c>
      <c r="BR38" s="149" t="str">
        <f>IFERROR(#REF!/$BB38,"")</f>
        <v/>
      </c>
      <c r="BS38" s="149" t="str">
        <f>IFERROR(#REF!/$BB38,"")</f>
        <v/>
      </c>
      <c r="BT38" s="149" t="str">
        <f t="shared" si="18"/>
        <v/>
      </c>
      <c r="BU38" s="149" t="str">
        <f t="shared" si="19"/>
        <v/>
      </c>
      <c r="BV38" s="149" t="str">
        <f t="shared" si="20"/>
        <v/>
      </c>
      <c r="BW38" s="149" t="str">
        <f t="shared" si="21"/>
        <v/>
      </c>
      <c r="BX38" s="149" t="str">
        <f t="shared" si="22"/>
        <v/>
      </c>
      <c r="BY38" s="149" t="str">
        <f>IFERROR(#REF!/$BB38,"")</f>
        <v/>
      </c>
      <c r="BZ38" s="149" t="str">
        <f>IFERROR(#REF!/$BB38,"")</f>
        <v/>
      </c>
      <c r="CA38" s="149" t="str">
        <f t="shared" si="23"/>
        <v/>
      </c>
      <c r="CB38" s="149" t="str">
        <f t="shared" si="24"/>
        <v/>
      </c>
      <c r="CC38" s="207" t="str">
        <f t="shared" si="25"/>
        <v/>
      </c>
      <c r="CD38" s="208" t="str">
        <f t="shared" si="30"/>
        <v/>
      </c>
    </row>
    <row r="39" spans="3:82" x14ac:dyDescent="0.25">
      <c r="C39" s="44">
        <v>33</v>
      </c>
      <c r="D39" s="149"/>
      <c r="E39" s="149"/>
      <c r="F39" s="55">
        <v>0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W39" s="127">
        <f t="shared" ref="W39:W70" si="31">SUM(D39:V39)</f>
        <v>0</v>
      </c>
      <c r="X39">
        <f t="shared" ref="X39:X70" si="32">COUNTIF(D39:V39,"&gt;"&amp;0)</f>
        <v>0</v>
      </c>
      <c r="Y39" t="b">
        <f>LOOKUP($C39,Table7[Sample Name],Table7[Positive])</f>
        <v>1</v>
      </c>
      <c r="Z39" t="b">
        <f>LOOKUP($C39,Table7[Sample Name],Table7[Disseminated])</f>
        <v>1</v>
      </c>
      <c r="AA39">
        <f t="shared" ref="AA39:AA70" si="33">IFERROR(LARGE(D39:V39,1),0)</f>
        <v>0</v>
      </c>
      <c r="AD39" s="325">
        <v>33</v>
      </c>
      <c r="AE39" s="43">
        <v>0</v>
      </c>
      <c r="AF39" s="128"/>
      <c r="AG39">
        <f t="shared" si="26"/>
        <v>0</v>
      </c>
      <c r="AH39">
        <f t="shared" si="27"/>
        <v>0</v>
      </c>
      <c r="AJ39" s="207">
        <v>33</v>
      </c>
      <c r="AK39" s="127" t="str">
        <f t="shared" ref="AK39:AK70" si="34">IFERROR(SMALL($AE39:$AF39,COLUMN(C:C)),"")</f>
        <v/>
      </c>
      <c r="AL39" s="128" t="str">
        <f t="shared" ref="AL39:AL70" si="35">IFERROR(SMALL($AE39:$AF39,COLUMN(D:D)),"")</f>
        <v/>
      </c>
      <c r="AM39">
        <f t="shared" si="28"/>
        <v>0</v>
      </c>
      <c r="AO39">
        <f t="shared" si="29"/>
        <v>0</v>
      </c>
      <c r="BB39" s="134">
        <f t="shared" ref="BB39:BB70" si="36">IFERROR(LARGE(D39:V39,1),"")</f>
        <v>0</v>
      </c>
      <c r="BC39" s="44">
        <v>33</v>
      </c>
      <c r="BD39" s="149" t="str">
        <f t="shared" ref="BD39:BD70" si="37">IFERROR(D39/$BB39,"")</f>
        <v/>
      </c>
      <c r="BE39" s="149" t="str">
        <f t="shared" ref="BE39:BE70" si="38">IFERROR(E39/$BB39,"")</f>
        <v/>
      </c>
      <c r="BF39" s="149" t="str">
        <f t="shared" ref="BF39:BF70" si="39">IFERROR(F39/$BB39,"")</f>
        <v/>
      </c>
      <c r="BG39" s="149" t="str">
        <f t="shared" ref="BG39:BG70" si="40">IFERROR(G39/$BB39,"")</f>
        <v/>
      </c>
      <c r="BH39" s="149" t="str">
        <f t="shared" ref="BH39:BH70" si="41">IFERROR(H39/$BB39,"")</f>
        <v/>
      </c>
      <c r="BI39" s="149" t="str">
        <f t="shared" ref="BI39:BI70" si="42">IFERROR(I39/$BB39,"")</f>
        <v/>
      </c>
      <c r="BJ39" s="149" t="str">
        <f t="shared" ref="BJ39:BJ70" si="43">IFERROR(J39/$BB39,"")</f>
        <v/>
      </c>
      <c r="BK39" s="149" t="str">
        <f>IFERROR(#REF!/$BB39,"")</f>
        <v/>
      </c>
      <c r="BL39" s="149" t="str">
        <f>IFERROR(#REF!/$BB39,"")</f>
        <v/>
      </c>
      <c r="BM39" s="149" t="str">
        <f t="shared" ref="BM39:BM70" si="44">IFERROR(K39/$BB39,"")</f>
        <v/>
      </c>
      <c r="BN39" s="149" t="str">
        <f t="shared" ref="BN39:BN70" si="45">IFERROR(L39/$BB39,"")</f>
        <v/>
      </c>
      <c r="BO39" s="149" t="str">
        <f t="shared" ref="BO39:BO70" si="46">IFERROR(M39/$BB39,"")</f>
        <v/>
      </c>
      <c r="BP39" s="149" t="str">
        <f t="shared" ref="BP39:BP70" si="47">IFERROR(N39/$BB39,"")</f>
        <v/>
      </c>
      <c r="BQ39" s="149" t="str">
        <f t="shared" ref="BQ39:BQ70" si="48">IFERROR(O39/$BB39,"")</f>
        <v/>
      </c>
      <c r="BR39" s="149" t="str">
        <f>IFERROR(#REF!/$BB39,"")</f>
        <v/>
      </c>
      <c r="BS39" s="149" t="str">
        <f>IFERROR(#REF!/$BB39,"")</f>
        <v/>
      </c>
      <c r="BT39" s="149" t="str">
        <f t="shared" ref="BT39:BT70" si="49">IFERROR(P39/$BB39,"")</f>
        <v/>
      </c>
      <c r="BU39" s="149" t="str">
        <f t="shared" ref="BU39:BU70" si="50">IFERROR(Q39/$BB39,"")</f>
        <v/>
      </c>
      <c r="BV39" s="149" t="str">
        <f t="shared" ref="BV39:BV70" si="51">IFERROR(R39/$BB39,"")</f>
        <v/>
      </c>
      <c r="BW39" s="149" t="str">
        <f t="shared" ref="BW39:BW70" si="52">IFERROR(S39/$BB39,"")</f>
        <v/>
      </c>
      <c r="BX39" s="149" t="str">
        <f t="shared" ref="BX39:BX70" si="53">IFERROR(T39/$BB39,"")</f>
        <v/>
      </c>
      <c r="BY39" s="149" t="str">
        <f>IFERROR(#REF!/$BB39,"")</f>
        <v/>
      </c>
      <c r="BZ39" s="149" t="str">
        <f>IFERROR(#REF!/$BB39,"")</f>
        <v/>
      </c>
      <c r="CA39" s="149" t="str">
        <f t="shared" ref="CA39:CA70" si="54">IFERROR(U39/$BB39,"")</f>
        <v/>
      </c>
      <c r="CB39" s="149" t="str">
        <f t="shared" ref="CB39:CB70" si="55">IFERROR(V39/$BB39,"")</f>
        <v/>
      </c>
      <c r="CC39" s="207" t="str">
        <f t="shared" ref="CC39:CC70" si="56">IFERROR(W39/$BB39,"")</f>
        <v/>
      </c>
      <c r="CD39" s="208" t="str">
        <f t="shared" si="30"/>
        <v/>
      </c>
    </row>
    <row r="40" spans="3:82" x14ac:dyDescent="0.25">
      <c r="C40" s="44">
        <v>34</v>
      </c>
      <c r="D40" s="149"/>
      <c r="E40" s="149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W40" s="127">
        <f t="shared" si="31"/>
        <v>0</v>
      </c>
      <c r="X40">
        <f t="shared" si="32"/>
        <v>0</v>
      </c>
      <c r="Y40" t="b">
        <f>LOOKUP($C40,Table7[Sample Name],Table7[Positive])</f>
        <v>1</v>
      </c>
      <c r="Z40" t="b">
        <f>LOOKUP($C40,Table7[Sample Name],Table7[Disseminated])</f>
        <v>1</v>
      </c>
      <c r="AA40">
        <f t="shared" si="33"/>
        <v>0</v>
      </c>
      <c r="AD40" s="325">
        <v>34</v>
      </c>
      <c r="AE40" s="43">
        <v>0</v>
      </c>
      <c r="AF40" s="128"/>
      <c r="AG40">
        <f t="shared" si="26"/>
        <v>0</v>
      </c>
      <c r="AH40">
        <f t="shared" si="27"/>
        <v>0</v>
      </c>
      <c r="AJ40" s="207">
        <v>34</v>
      </c>
      <c r="AK40" s="127" t="str">
        <f t="shared" si="34"/>
        <v/>
      </c>
      <c r="AL40" s="128" t="str">
        <f t="shared" si="35"/>
        <v/>
      </c>
      <c r="AM40">
        <f t="shared" si="28"/>
        <v>0</v>
      </c>
      <c r="AO40">
        <f t="shared" si="29"/>
        <v>0</v>
      </c>
      <c r="BB40" s="134" t="str">
        <f t="shared" si="36"/>
        <v/>
      </c>
      <c r="BC40" s="44">
        <v>34</v>
      </c>
      <c r="BD40" s="149" t="str">
        <f t="shared" si="37"/>
        <v/>
      </c>
      <c r="BE40" s="149" t="str">
        <f t="shared" si="38"/>
        <v/>
      </c>
      <c r="BF40" s="149" t="str">
        <f t="shared" si="39"/>
        <v/>
      </c>
      <c r="BG40" s="149" t="str">
        <f t="shared" si="40"/>
        <v/>
      </c>
      <c r="BH40" s="149" t="str">
        <f t="shared" si="41"/>
        <v/>
      </c>
      <c r="BI40" s="149" t="str">
        <f t="shared" si="42"/>
        <v/>
      </c>
      <c r="BJ40" s="149" t="str">
        <f t="shared" si="43"/>
        <v/>
      </c>
      <c r="BK40" s="149" t="str">
        <f>IFERROR(#REF!/$BB40,"")</f>
        <v/>
      </c>
      <c r="BL40" s="149" t="str">
        <f>IFERROR(#REF!/$BB40,"")</f>
        <v/>
      </c>
      <c r="BM40" s="149" t="str">
        <f t="shared" si="44"/>
        <v/>
      </c>
      <c r="BN40" s="149" t="str">
        <f t="shared" si="45"/>
        <v/>
      </c>
      <c r="BO40" s="149" t="str">
        <f t="shared" si="46"/>
        <v/>
      </c>
      <c r="BP40" s="149" t="str">
        <f t="shared" si="47"/>
        <v/>
      </c>
      <c r="BQ40" s="149" t="str">
        <f t="shared" si="48"/>
        <v/>
      </c>
      <c r="BR40" s="149" t="str">
        <f>IFERROR(#REF!/$BB40,"")</f>
        <v/>
      </c>
      <c r="BS40" s="149" t="str">
        <f>IFERROR(#REF!/$BB40,"")</f>
        <v/>
      </c>
      <c r="BT40" s="149" t="str">
        <f t="shared" si="49"/>
        <v/>
      </c>
      <c r="BU40" s="149" t="str">
        <f t="shared" si="50"/>
        <v/>
      </c>
      <c r="BV40" s="149" t="str">
        <f t="shared" si="51"/>
        <v/>
      </c>
      <c r="BW40" s="149" t="str">
        <f t="shared" si="52"/>
        <v/>
      </c>
      <c r="BX40" s="149" t="str">
        <f t="shared" si="53"/>
        <v/>
      </c>
      <c r="BY40" s="149" t="str">
        <f>IFERROR(#REF!/$BB40,"")</f>
        <v/>
      </c>
      <c r="BZ40" s="149" t="str">
        <f>IFERROR(#REF!/$BB40,"")</f>
        <v/>
      </c>
      <c r="CA40" s="149" t="str">
        <f t="shared" si="54"/>
        <v/>
      </c>
      <c r="CB40" s="149" t="str">
        <f t="shared" si="55"/>
        <v/>
      </c>
      <c r="CC40" s="207" t="str">
        <f t="shared" si="56"/>
        <v/>
      </c>
      <c r="CD40" s="208" t="str">
        <f t="shared" si="30"/>
        <v/>
      </c>
    </row>
    <row r="41" spans="3:82" x14ac:dyDescent="0.25">
      <c r="C41" s="44">
        <v>35</v>
      </c>
      <c r="D41" s="149"/>
      <c r="E41" s="149">
        <v>50</v>
      </c>
      <c r="F41" s="55">
        <v>0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W41" s="127">
        <f t="shared" si="31"/>
        <v>50</v>
      </c>
      <c r="X41">
        <f t="shared" si="32"/>
        <v>1</v>
      </c>
      <c r="Y41" t="b">
        <f>LOOKUP($C41,Table7[Sample Name],Table7[Positive])</f>
        <v>1</v>
      </c>
      <c r="Z41" t="b">
        <f>LOOKUP($C41,Table7[Sample Name],Table7[Disseminated])</f>
        <v>1</v>
      </c>
      <c r="AA41">
        <f t="shared" si="33"/>
        <v>50</v>
      </c>
      <c r="AD41" s="325">
        <v>35</v>
      </c>
      <c r="AE41" s="43">
        <v>50</v>
      </c>
      <c r="AF41" s="128"/>
      <c r="AG41">
        <f t="shared" si="26"/>
        <v>50</v>
      </c>
      <c r="AH41">
        <f t="shared" si="27"/>
        <v>1</v>
      </c>
      <c r="AJ41" s="207">
        <v>35</v>
      </c>
      <c r="AK41" s="127" t="str">
        <f t="shared" si="34"/>
        <v/>
      </c>
      <c r="AL41" s="128" t="str">
        <f t="shared" si="35"/>
        <v/>
      </c>
      <c r="AM41">
        <f t="shared" si="28"/>
        <v>0</v>
      </c>
      <c r="AO41">
        <f t="shared" si="29"/>
        <v>-50</v>
      </c>
      <c r="BB41" s="134">
        <f t="shared" si="36"/>
        <v>50</v>
      </c>
      <c r="BC41" s="44">
        <v>35</v>
      </c>
      <c r="BD41" s="149">
        <f t="shared" si="37"/>
        <v>0</v>
      </c>
      <c r="BE41" s="149">
        <f t="shared" si="38"/>
        <v>1</v>
      </c>
      <c r="BF41" s="149">
        <f t="shared" si="39"/>
        <v>0</v>
      </c>
      <c r="BG41" s="149">
        <f t="shared" si="40"/>
        <v>0</v>
      </c>
      <c r="BH41" s="149">
        <f t="shared" si="41"/>
        <v>0</v>
      </c>
      <c r="BI41" s="149">
        <f t="shared" si="42"/>
        <v>0</v>
      </c>
      <c r="BJ41" s="149">
        <f t="shared" si="43"/>
        <v>0</v>
      </c>
      <c r="BK41" s="149" t="str">
        <f>IFERROR(#REF!/$BB41,"")</f>
        <v/>
      </c>
      <c r="BL41" s="149" t="str">
        <f>IFERROR(#REF!/$BB41,"")</f>
        <v/>
      </c>
      <c r="BM41" s="149">
        <f t="shared" si="44"/>
        <v>0</v>
      </c>
      <c r="BN41" s="149">
        <f t="shared" si="45"/>
        <v>0</v>
      </c>
      <c r="BO41" s="149">
        <f t="shared" si="46"/>
        <v>0</v>
      </c>
      <c r="BP41" s="149">
        <f t="shared" si="47"/>
        <v>0</v>
      </c>
      <c r="BQ41" s="149">
        <f t="shared" si="48"/>
        <v>0</v>
      </c>
      <c r="BR41" s="149" t="str">
        <f>IFERROR(#REF!/$BB41,"")</f>
        <v/>
      </c>
      <c r="BS41" s="149" t="str">
        <f>IFERROR(#REF!/$BB41,"")</f>
        <v/>
      </c>
      <c r="BT41" s="149">
        <f t="shared" si="49"/>
        <v>0</v>
      </c>
      <c r="BU41" s="149">
        <f t="shared" si="50"/>
        <v>0</v>
      </c>
      <c r="BV41" s="149">
        <f t="shared" si="51"/>
        <v>0</v>
      </c>
      <c r="BW41" s="149">
        <f t="shared" si="52"/>
        <v>0</v>
      </c>
      <c r="BX41" s="149">
        <f t="shared" si="53"/>
        <v>0</v>
      </c>
      <c r="BY41" s="149" t="str">
        <f>IFERROR(#REF!/$BB41,"")</f>
        <v/>
      </c>
      <c r="BZ41" s="149" t="str">
        <f>IFERROR(#REF!/$BB41,"")</f>
        <v/>
      </c>
      <c r="CA41" s="149">
        <f t="shared" si="54"/>
        <v>0</v>
      </c>
      <c r="CB41" s="149">
        <f t="shared" si="55"/>
        <v>0</v>
      </c>
      <c r="CC41" s="207">
        <f t="shared" si="56"/>
        <v>1</v>
      </c>
      <c r="CD41" s="208" t="b">
        <f t="shared" si="30"/>
        <v>1</v>
      </c>
    </row>
    <row r="42" spans="3:82" x14ac:dyDescent="0.25">
      <c r="C42" s="44">
        <v>36</v>
      </c>
      <c r="D42" s="149"/>
      <c r="E42" s="149"/>
      <c r="F42" s="55">
        <v>17</v>
      </c>
      <c r="G42" s="55"/>
      <c r="H42" s="55"/>
      <c r="I42" s="55">
        <v>23</v>
      </c>
      <c r="J42" s="55"/>
      <c r="K42" s="55"/>
      <c r="L42" s="55"/>
      <c r="M42" s="55"/>
      <c r="N42" s="55"/>
      <c r="O42" s="55"/>
      <c r="P42" s="55"/>
      <c r="Q42" s="55"/>
      <c r="W42" s="127">
        <f t="shared" si="31"/>
        <v>40</v>
      </c>
      <c r="X42">
        <f t="shared" si="32"/>
        <v>2</v>
      </c>
      <c r="Y42" t="b">
        <f>LOOKUP($C42,Table7[Sample Name],Table7[Positive])</f>
        <v>1</v>
      </c>
      <c r="Z42" t="b">
        <f>LOOKUP($C42,Table7[Sample Name],Table7[Disseminated])</f>
        <v>0</v>
      </c>
      <c r="AA42">
        <f t="shared" si="33"/>
        <v>23</v>
      </c>
      <c r="AD42" s="325">
        <v>36</v>
      </c>
      <c r="AE42" s="43">
        <v>17</v>
      </c>
      <c r="AF42" s="128">
        <v>23</v>
      </c>
      <c r="AG42">
        <f t="shared" si="26"/>
        <v>40</v>
      </c>
      <c r="AH42">
        <f t="shared" si="27"/>
        <v>2</v>
      </c>
      <c r="AJ42" s="207">
        <v>36</v>
      </c>
      <c r="AK42" s="127" t="str">
        <f t="shared" si="34"/>
        <v/>
      </c>
      <c r="AL42" s="128" t="str">
        <f t="shared" si="35"/>
        <v/>
      </c>
      <c r="AM42">
        <f t="shared" si="28"/>
        <v>0</v>
      </c>
      <c r="AO42">
        <f t="shared" si="29"/>
        <v>-40</v>
      </c>
      <c r="BB42" s="134">
        <f t="shared" si="36"/>
        <v>23</v>
      </c>
      <c r="BC42" s="44">
        <v>36</v>
      </c>
      <c r="BD42" s="149">
        <f t="shared" si="37"/>
        <v>0</v>
      </c>
      <c r="BE42" s="149">
        <f t="shared" si="38"/>
        <v>0</v>
      </c>
      <c r="BF42" s="149">
        <f t="shared" si="39"/>
        <v>0.73913043478260865</v>
      </c>
      <c r="BG42" s="149">
        <f t="shared" si="40"/>
        <v>0</v>
      </c>
      <c r="BH42" s="149">
        <f t="shared" si="41"/>
        <v>0</v>
      </c>
      <c r="BI42" s="149">
        <f t="shared" si="42"/>
        <v>1</v>
      </c>
      <c r="BJ42" s="149">
        <f t="shared" si="43"/>
        <v>0</v>
      </c>
      <c r="BK42" s="149" t="str">
        <f>IFERROR(#REF!/$BB42,"")</f>
        <v/>
      </c>
      <c r="BL42" s="149" t="str">
        <f>IFERROR(#REF!/$BB42,"")</f>
        <v/>
      </c>
      <c r="BM42" s="149">
        <f t="shared" si="44"/>
        <v>0</v>
      </c>
      <c r="BN42" s="149">
        <f t="shared" si="45"/>
        <v>0</v>
      </c>
      <c r="BO42" s="149">
        <f t="shared" si="46"/>
        <v>0</v>
      </c>
      <c r="BP42" s="149">
        <f t="shared" si="47"/>
        <v>0</v>
      </c>
      <c r="BQ42" s="149">
        <f t="shared" si="48"/>
        <v>0</v>
      </c>
      <c r="BR42" s="149" t="str">
        <f>IFERROR(#REF!/$BB42,"")</f>
        <v/>
      </c>
      <c r="BS42" s="149" t="str">
        <f>IFERROR(#REF!/$BB42,"")</f>
        <v/>
      </c>
      <c r="BT42" s="149">
        <f t="shared" si="49"/>
        <v>0</v>
      </c>
      <c r="BU42" s="149">
        <f t="shared" si="50"/>
        <v>0</v>
      </c>
      <c r="BV42" s="149">
        <f t="shared" si="51"/>
        <v>0</v>
      </c>
      <c r="BW42" s="149">
        <f t="shared" si="52"/>
        <v>0</v>
      </c>
      <c r="BX42" s="149">
        <f t="shared" si="53"/>
        <v>0</v>
      </c>
      <c r="BY42" s="149" t="str">
        <f>IFERROR(#REF!/$BB42,"")</f>
        <v/>
      </c>
      <c r="BZ42" s="149" t="str">
        <f>IFERROR(#REF!/$BB42,"")</f>
        <v/>
      </c>
      <c r="CA42" s="149">
        <f t="shared" si="54"/>
        <v>0</v>
      </c>
      <c r="CB42" s="149">
        <f t="shared" si="55"/>
        <v>0</v>
      </c>
      <c r="CC42" s="207">
        <f t="shared" si="56"/>
        <v>1.7391304347826086</v>
      </c>
      <c r="CD42" s="208" t="b">
        <f t="shared" si="30"/>
        <v>0</v>
      </c>
    </row>
    <row r="43" spans="3:82" x14ac:dyDescent="0.25">
      <c r="C43" s="44">
        <v>37</v>
      </c>
      <c r="D43" s="149"/>
      <c r="E43" s="149"/>
      <c r="F43" s="55">
        <v>0</v>
      </c>
      <c r="G43" s="55"/>
      <c r="H43" s="55"/>
      <c r="I43" s="55"/>
      <c r="J43" s="55"/>
      <c r="K43" s="55"/>
      <c r="L43" s="55"/>
      <c r="M43" s="55"/>
      <c r="N43" s="55"/>
      <c r="O43" s="55"/>
      <c r="P43" s="55">
        <v>0</v>
      </c>
      <c r="Q43" s="55"/>
      <c r="W43" s="127">
        <f t="shared" si="31"/>
        <v>0</v>
      </c>
      <c r="X43">
        <f t="shared" si="32"/>
        <v>0</v>
      </c>
      <c r="Y43" t="b">
        <f>LOOKUP($C43,Table7[Sample Name],Table7[Positive])</f>
        <v>1</v>
      </c>
      <c r="Z43" t="b">
        <f>LOOKUP($C43,Table7[Sample Name],Table7[Disseminated])</f>
        <v>1</v>
      </c>
      <c r="AA43">
        <f t="shared" si="33"/>
        <v>0</v>
      </c>
      <c r="AD43" s="325">
        <v>37</v>
      </c>
      <c r="AE43" s="43">
        <v>0</v>
      </c>
      <c r="AF43" s="128"/>
      <c r="AG43">
        <f t="shared" si="26"/>
        <v>0</v>
      </c>
      <c r="AH43">
        <f t="shared" si="27"/>
        <v>0</v>
      </c>
      <c r="AJ43" s="207">
        <v>37</v>
      </c>
      <c r="AK43" s="127" t="str">
        <f t="shared" si="34"/>
        <v/>
      </c>
      <c r="AL43" s="128" t="str">
        <f t="shared" si="35"/>
        <v/>
      </c>
      <c r="AM43">
        <f t="shared" si="28"/>
        <v>0</v>
      </c>
      <c r="AO43">
        <f t="shared" si="29"/>
        <v>0</v>
      </c>
      <c r="BB43" s="134">
        <f t="shared" si="36"/>
        <v>0</v>
      </c>
      <c r="BC43" s="44">
        <v>37</v>
      </c>
      <c r="BD43" s="149" t="str">
        <f t="shared" si="37"/>
        <v/>
      </c>
      <c r="BE43" s="149" t="str">
        <f t="shared" si="38"/>
        <v/>
      </c>
      <c r="BF43" s="149" t="str">
        <f t="shared" si="39"/>
        <v/>
      </c>
      <c r="BG43" s="149" t="str">
        <f t="shared" si="40"/>
        <v/>
      </c>
      <c r="BH43" s="149" t="str">
        <f t="shared" si="41"/>
        <v/>
      </c>
      <c r="BI43" s="149" t="str">
        <f t="shared" si="42"/>
        <v/>
      </c>
      <c r="BJ43" s="149" t="str">
        <f t="shared" si="43"/>
        <v/>
      </c>
      <c r="BK43" s="149" t="str">
        <f>IFERROR(#REF!/$BB43,"")</f>
        <v/>
      </c>
      <c r="BL43" s="149" t="str">
        <f>IFERROR(#REF!/$BB43,"")</f>
        <v/>
      </c>
      <c r="BM43" s="149" t="str">
        <f t="shared" si="44"/>
        <v/>
      </c>
      <c r="BN43" s="149" t="str">
        <f t="shared" si="45"/>
        <v/>
      </c>
      <c r="BO43" s="149" t="str">
        <f t="shared" si="46"/>
        <v/>
      </c>
      <c r="BP43" s="149" t="str">
        <f t="shared" si="47"/>
        <v/>
      </c>
      <c r="BQ43" s="149" t="str">
        <f t="shared" si="48"/>
        <v/>
      </c>
      <c r="BR43" s="149" t="str">
        <f>IFERROR(#REF!/$BB43,"")</f>
        <v/>
      </c>
      <c r="BS43" s="149" t="str">
        <f>IFERROR(#REF!/$BB43,"")</f>
        <v/>
      </c>
      <c r="BT43" s="149" t="str">
        <f t="shared" si="49"/>
        <v/>
      </c>
      <c r="BU43" s="149" t="str">
        <f t="shared" si="50"/>
        <v/>
      </c>
      <c r="BV43" s="149" t="str">
        <f t="shared" si="51"/>
        <v/>
      </c>
      <c r="BW43" s="149" t="str">
        <f t="shared" si="52"/>
        <v/>
      </c>
      <c r="BX43" s="149" t="str">
        <f t="shared" si="53"/>
        <v/>
      </c>
      <c r="BY43" s="149" t="str">
        <f>IFERROR(#REF!/$BB43,"")</f>
        <v/>
      </c>
      <c r="BZ43" s="149" t="str">
        <f>IFERROR(#REF!/$BB43,"")</f>
        <v/>
      </c>
      <c r="CA43" s="149" t="str">
        <f t="shared" si="54"/>
        <v/>
      </c>
      <c r="CB43" s="149" t="str">
        <f t="shared" si="55"/>
        <v/>
      </c>
      <c r="CC43" s="207" t="str">
        <f t="shared" si="56"/>
        <v/>
      </c>
      <c r="CD43" s="208" t="str">
        <f t="shared" si="30"/>
        <v/>
      </c>
    </row>
    <row r="44" spans="3:82" x14ac:dyDescent="0.25">
      <c r="C44" s="44">
        <v>38</v>
      </c>
      <c r="D44" s="149"/>
      <c r="E44" s="149"/>
      <c r="F44" s="55">
        <v>0</v>
      </c>
      <c r="G44" s="55"/>
      <c r="H44" s="55"/>
      <c r="I44" s="55"/>
      <c r="J44" s="55"/>
      <c r="K44" s="55"/>
      <c r="L44" s="55"/>
      <c r="M44" s="55"/>
      <c r="N44" s="55"/>
      <c r="O44" s="55"/>
      <c r="P44" s="55">
        <v>0</v>
      </c>
      <c r="Q44" s="55"/>
      <c r="W44" s="127">
        <f t="shared" si="31"/>
        <v>0</v>
      </c>
      <c r="X44">
        <f t="shared" si="32"/>
        <v>0</v>
      </c>
      <c r="Y44" t="b">
        <f>LOOKUP($C44,Table7[Sample Name],Table7[Positive])</f>
        <v>1</v>
      </c>
      <c r="Z44" t="b">
        <f>LOOKUP($C44,Table7[Sample Name],Table7[Disseminated])</f>
        <v>1</v>
      </c>
      <c r="AA44">
        <f t="shared" si="33"/>
        <v>0</v>
      </c>
      <c r="AD44" s="325">
        <v>38</v>
      </c>
      <c r="AE44" s="43">
        <v>0</v>
      </c>
      <c r="AF44" s="128"/>
      <c r="AG44">
        <f t="shared" si="26"/>
        <v>0</v>
      </c>
      <c r="AH44">
        <f t="shared" si="27"/>
        <v>0</v>
      </c>
      <c r="AJ44" s="207">
        <v>38</v>
      </c>
      <c r="AK44" s="127" t="str">
        <f t="shared" si="34"/>
        <v/>
      </c>
      <c r="AL44" s="128" t="str">
        <f t="shared" si="35"/>
        <v/>
      </c>
      <c r="AM44">
        <f t="shared" si="28"/>
        <v>0</v>
      </c>
      <c r="AO44">
        <f t="shared" si="29"/>
        <v>0</v>
      </c>
      <c r="BB44" s="134">
        <f t="shared" si="36"/>
        <v>0</v>
      </c>
      <c r="BC44" s="44">
        <v>38</v>
      </c>
      <c r="BD44" s="149" t="str">
        <f t="shared" si="37"/>
        <v/>
      </c>
      <c r="BE44" s="149" t="str">
        <f t="shared" si="38"/>
        <v/>
      </c>
      <c r="BF44" s="149" t="str">
        <f t="shared" si="39"/>
        <v/>
      </c>
      <c r="BG44" s="149" t="str">
        <f t="shared" si="40"/>
        <v/>
      </c>
      <c r="BH44" s="149" t="str">
        <f t="shared" si="41"/>
        <v/>
      </c>
      <c r="BI44" s="149" t="str">
        <f t="shared" si="42"/>
        <v/>
      </c>
      <c r="BJ44" s="149" t="str">
        <f t="shared" si="43"/>
        <v/>
      </c>
      <c r="BK44" s="149" t="str">
        <f>IFERROR(#REF!/$BB44,"")</f>
        <v/>
      </c>
      <c r="BL44" s="149" t="str">
        <f>IFERROR(#REF!/$BB44,"")</f>
        <v/>
      </c>
      <c r="BM44" s="149" t="str">
        <f t="shared" si="44"/>
        <v/>
      </c>
      <c r="BN44" s="149" t="str">
        <f t="shared" si="45"/>
        <v/>
      </c>
      <c r="BO44" s="149" t="str">
        <f t="shared" si="46"/>
        <v/>
      </c>
      <c r="BP44" s="149" t="str">
        <f t="shared" si="47"/>
        <v/>
      </c>
      <c r="BQ44" s="149" t="str">
        <f t="shared" si="48"/>
        <v/>
      </c>
      <c r="BR44" s="149" t="str">
        <f>IFERROR(#REF!/$BB44,"")</f>
        <v/>
      </c>
      <c r="BS44" s="149" t="str">
        <f>IFERROR(#REF!/$BB44,"")</f>
        <v/>
      </c>
      <c r="BT44" s="149" t="str">
        <f t="shared" si="49"/>
        <v/>
      </c>
      <c r="BU44" s="149" t="str">
        <f t="shared" si="50"/>
        <v/>
      </c>
      <c r="BV44" s="149" t="str">
        <f t="shared" si="51"/>
        <v/>
      </c>
      <c r="BW44" s="149" t="str">
        <f t="shared" si="52"/>
        <v/>
      </c>
      <c r="BX44" s="149" t="str">
        <f t="shared" si="53"/>
        <v/>
      </c>
      <c r="BY44" s="149" t="str">
        <f>IFERROR(#REF!/$BB44,"")</f>
        <v/>
      </c>
      <c r="BZ44" s="149" t="str">
        <f>IFERROR(#REF!/$BB44,"")</f>
        <v/>
      </c>
      <c r="CA44" s="149" t="str">
        <f t="shared" si="54"/>
        <v/>
      </c>
      <c r="CB44" s="149" t="str">
        <f t="shared" si="55"/>
        <v/>
      </c>
      <c r="CC44" s="207" t="str">
        <f t="shared" si="56"/>
        <v/>
      </c>
      <c r="CD44" s="208" t="str">
        <f t="shared" si="30"/>
        <v/>
      </c>
    </row>
    <row r="45" spans="3:82" x14ac:dyDescent="0.25">
      <c r="C45" s="44">
        <v>39</v>
      </c>
      <c r="D45" s="149"/>
      <c r="E45" s="149"/>
      <c r="F45" s="55">
        <v>0</v>
      </c>
      <c r="G45" s="55"/>
      <c r="H45" s="55"/>
      <c r="I45" s="55"/>
      <c r="J45" s="55"/>
      <c r="K45" s="55"/>
      <c r="L45" s="55"/>
      <c r="M45" s="55"/>
      <c r="N45" s="55"/>
      <c r="O45" s="55"/>
      <c r="P45" s="55">
        <v>0</v>
      </c>
      <c r="Q45" s="55"/>
      <c r="W45" s="127">
        <f t="shared" si="31"/>
        <v>0</v>
      </c>
      <c r="X45">
        <f t="shared" si="32"/>
        <v>0</v>
      </c>
      <c r="Y45" t="b">
        <f>LOOKUP($C45,Table7[Sample Name],Table7[Positive])</f>
        <v>1</v>
      </c>
      <c r="Z45" t="b">
        <f>LOOKUP($C45,Table7[Sample Name],Table7[Disseminated])</f>
        <v>0</v>
      </c>
      <c r="AA45">
        <f t="shared" si="33"/>
        <v>0</v>
      </c>
      <c r="AD45" s="325">
        <v>39</v>
      </c>
      <c r="AE45" s="43">
        <v>0</v>
      </c>
      <c r="AF45" s="128"/>
      <c r="AG45">
        <f t="shared" si="26"/>
        <v>0</v>
      </c>
      <c r="AH45">
        <f t="shared" si="27"/>
        <v>0</v>
      </c>
      <c r="AJ45" s="207">
        <v>39</v>
      </c>
      <c r="AK45" s="127" t="str">
        <f t="shared" si="34"/>
        <v/>
      </c>
      <c r="AL45" s="128" t="str">
        <f t="shared" si="35"/>
        <v/>
      </c>
      <c r="AM45">
        <f t="shared" si="28"/>
        <v>0</v>
      </c>
      <c r="AO45">
        <f t="shared" si="29"/>
        <v>0</v>
      </c>
      <c r="BB45" s="134">
        <f t="shared" si="36"/>
        <v>0</v>
      </c>
      <c r="BC45" s="44">
        <v>39</v>
      </c>
      <c r="BD45" s="149" t="str">
        <f t="shared" si="37"/>
        <v/>
      </c>
      <c r="BE45" s="149" t="str">
        <f t="shared" si="38"/>
        <v/>
      </c>
      <c r="BF45" s="149" t="str">
        <f t="shared" si="39"/>
        <v/>
      </c>
      <c r="BG45" s="149" t="str">
        <f t="shared" si="40"/>
        <v/>
      </c>
      <c r="BH45" s="149" t="str">
        <f t="shared" si="41"/>
        <v/>
      </c>
      <c r="BI45" s="149" t="str">
        <f t="shared" si="42"/>
        <v/>
      </c>
      <c r="BJ45" s="149" t="str">
        <f t="shared" si="43"/>
        <v/>
      </c>
      <c r="BK45" s="149" t="str">
        <f>IFERROR(#REF!/$BB45,"")</f>
        <v/>
      </c>
      <c r="BL45" s="149" t="str">
        <f>IFERROR(#REF!/$BB45,"")</f>
        <v/>
      </c>
      <c r="BM45" s="149" t="str">
        <f t="shared" si="44"/>
        <v/>
      </c>
      <c r="BN45" s="149" t="str">
        <f t="shared" si="45"/>
        <v/>
      </c>
      <c r="BO45" s="149" t="str">
        <f t="shared" si="46"/>
        <v/>
      </c>
      <c r="BP45" s="149" t="str">
        <f t="shared" si="47"/>
        <v/>
      </c>
      <c r="BQ45" s="149" t="str">
        <f t="shared" si="48"/>
        <v/>
      </c>
      <c r="BR45" s="149" t="str">
        <f>IFERROR(#REF!/$BB45,"")</f>
        <v/>
      </c>
      <c r="BS45" s="149" t="str">
        <f>IFERROR(#REF!/$BB45,"")</f>
        <v/>
      </c>
      <c r="BT45" s="149" t="str">
        <f t="shared" si="49"/>
        <v/>
      </c>
      <c r="BU45" s="149" t="str">
        <f t="shared" si="50"/>
        <v/>
      </c>
      <c r="BV45" s="149" t="str">
        <f t="shared" si="51"/>
        <v/>
      </c>
      <c r="BW45" s="149" t="str">
        <f t="shared" si="52"/>
        <v/>
      </c>
      <c r="BX45" s="149" t="str">
        <f t="shared" si="53"/>
        <v/>
      </c>
      <c r="BY45" s="149" t="str">
        <f>IFERROR(#REF!/$BB45,"")</f>
        <v/>
      </c>
      <c r="BZ45" s="149" t="str">
        <f>IFERROR(#REF!/$BB45,"")</f>
        <v/>
      </c>
      <c r="CA45" s="149" t="str">
        <f t="shared" si="54"/>
        <v/>
      </c>
      <c r="CB45" s="149" t="str">
        <f t="shared" si="55"/>
        <v/>
      </c>
      <c r="CC45" s="207" t="str">
        <f t="shared" si="56"/>
        <v/>
      </c>
      <c r="CD45" s="208" t="str">
        <f t="shared" si="30"/>
        <v/>
      </c>
    </row>
    <row r="46" spans="3:82" x14ac:dyDescent="0.25">
      <c r="C46" s="44">
        <v>40</v>
      </c>
      <c r="D46" s="149"/>
      <c r="E46" s="149"/>
      <c r="F46" s="55">
        <v>0</v>
      </c>
      <c r="G46" s="55"/>
      <c r="H46" s="55"/>
      <c r="I46" s="55"/>
      <c r="J46" s="55"/>
      <c r="K46" s="55"/>
      <c r="L46" s="55"/>
      <c r="M46" s="55"/>
      <c r="N46" s="55"/>
      <c r="O46" s="55"/>
      <c r="P46" s="55">
        <v>0</v>
      </c>
      <c r="Q46" s="55"/>
      <c r="U46">
        <v>0</v>
      </c>
      <c r="W46" s="127">
        <f t="shared" si="31"/>
        <v>0</v>
      </c>
      <c r="X46">
        <f t="shared" si="32"/>
        <v>0</v>
      </c>
      <c r="Y46" t="b">
        <f>LOOKUP($C46,Table7[Sample Name],Table7[Positive])</f>
        <v>1</v>
      </c>
      <c r="Z46" t="b">
        <f>LOOKUP($C46,Table7[Sample Name],Table7[Disseminated])</f>
        <v>1</v>
      </c>
      <c r="AA46">
        <f t="shared" si="33"/>
        <v>0</v>
      </c>
      <c r="AD46" s="325">
        <v>40</v>
      </c>
      <c r="AE46" s="43">
        <v>0</v>
      </c>
      <c r="AF46" s="128"/>
      <c r="AG46">
        <f t="shared" si="26"/>
        <v>0</v>
      </c>
      <c r="AH46">
        <f t="shared" si="27"/>
        <v>0</v>
      </c>
      <c r="AJ46" s="207">
        <v>40</v>
      </c>
      <c r="AK46" s="127" t="str">
        <f t="shared" si="34"/>
        <v/>
      </c>
      <c r="AL46" s="128" t="str">
        <f t="shared" si="35"/>
        <v/>
      </c>
      <c r="AM46">
        <f t="shared" si="28"/>
        <v>0</v>
      </c>
      <c r="AO46">
        <f t="shared" si="29"/>
        <v>0</v>
      </c>
      <c r="BB46" s="134">
        <f t="shared" si="36"/>
        <v>0</v>
      </c>
      <c r="BC46" s="44">
        <v>40</v>
      </c>
      <c r="BD46" s="149" t="str">
        <f t="shared" si="37"/>
        <v/>
      </c>
      <c r="BE46" s="149" t="str">
        <f t="shared" si="38"/>
        <v/>
      </c>
      <c r="BF46" s="149" t="str">
        <f t="shared" si="39"/>
        <v/>
      </c>
      <c r="BG46" s="149" t="str">
        <f t="shared" si="40"/>
        <v/>
      </c>
      <c r="BH46" s="149" t="str">
        <f t="shared" si="41"/>
        <v/>
      </c>
      <c r="BI46" s="149" t="str">
        <f t="shared" si="42"/>
        <v/>
      </c>
      <c r="BJ46" s="149" t="str">
        <f t="shared" si="43"/>
        <v/>
      </c>
      <c r="BK46" s="149" t="str">
        <f>IFERROR(#REF!/$BB46,"")</f>
        <v/>
      </c>
      <c r="BL46" s="149" t="str">
        <f>IFERROR(#REF!/$BB46,"")</f>
        <v/>
      </c>
      <c r="BM46" s="149" t="str">
        <f t="shared" si="44"/>
        <v/>
      </c>
      <c r="BN46" s="149" t="str">
        <f t="shared" si="45"/>
        <v/>
      </c>
      <c r="BO46" s="149" t="str">
        <f t="shared" si="46"/>
        <v/>
      </c>
      <c r="BP46" s="149" t="str">
        <f t="shared" si="47"/>
        <v/>
      </c>
      <c r="BQ46" s="149" t="str">
        <f t="shared" si="48"/>
        <v/>
      </c>
      <c r="BR46" s="149" t="str">
        <f>IFERROR(#REF!/$BB46,"")</f>
        <v/>
      </c>
      <c r="BS46" s="149" t="str">
        <f>IFERROR(#REF!/$BB46,"")</f>
        <v/>
      </c>
      <c r="BT46" s="149" t="str">
        <f t="shared" si="49"/>
        <v/>
      </c>
      <c r="BU46" s="149" t="str">
        <f t="shared" si="50"/>
        <v/>
      </c>
      <c r="BV46" s="149" t="str">
        <f t="shared" si="51"/>
        <v/>
      </c>
      <c r="BW46" s="149" t="str">
        <f t="shared" si="52"/>
        <v/>
      </c>
      <c r="BX46" s="149" t="str">
        <f t="shared" si="53"/>
        <v/>
      </c>
      <c r="BY46" s="149" t="str">
        <f>IFERROR(#REF!/$BB46,"")</f>
        <v/>
      </c>
      <c r="BZ46" s="149" t="str">
        <f>IFERROR(#REF!/$BB46,"")</f>
        <v/>
      </c>
      <c r="CA46" s="149" t="str">
        <f t="shared" si="54"/>
        <v/>
      </c>
      <c r="CB46" s="149" t="str">
        <f t="shared" si="55"/>
        <v/>
      </c>
      <c r="CC46" s="207" t="str">
        <f t="shared" si="56"/>
        <v/>
      </c>
      <c r="CD46" s="208" t="str">
        <f t="shared" si="30"/>
        <v/>
      </c>
    </row>
    <row r="47" spans="3:82" x14ac:dyDescent="0.25">
      <c r="C47" s="44">
        <v>41</v>
      </c>
      <c r="D47" s="149"/>
      <c r="E47" s="149"/>
      <c r="F47" s="55">
        <v>0</v>
      </c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W47" s="127">
        <f t="shared" si="31"/>
        <v>0</v>
      </c>
      <c r="X47">
        <f t="shared" si="32"/>
        <v>0</v>
      </c>
      <c r="Y47" t="b">
        <f>LOOKUP($C47,Table7[Sample Name],Table7[Positive])</f>
        <v>1</v>
      </c>
      <c r="Z47" t="b">
        <f>LOOKUP($C47,Table7[Sample Name],Table7[Disseminated])</f>
        <v>1</v>
      </c>
      <c r="AA47">
        <f t="shared" si="33"/>
        <v>0</v>
      </c>
      <c r="AD47" s="325">
        <v>41</v>
      </c>
      <c r="AE47" s="43">
        <v>0</v>
      </c>
      <c r="AF47" s="128"/>
      <c r="AG47">
        <f t="shared" si="26"/>
        <v>0</v>
      </c>
      <c r="AH47">
        <f t="shared" si="27"/>
        <v>0</v>
      </c>
      <c r="AJ47" s="207">
        <v>41</v>
      </c>
      <c r="AK47" s="127" t="str">
        <f t="shared" si="34"/>
        <v/>
      </c>
      <c r="AL47" s="128" t="str">
        <f t="shared" si="35"/>
        <v/>
      </c>
      <c r="AM47">
        <f t="shared" si="28"/>
        <v>0</v>
      </c>
      <c r="AO47">
        <f t="shared" si="29"/>
        <v>0</v>
      </c>
      <c r="BB47" s="134">
        <f t="shared" si="36"/>
        <v>0</v>
      </c>
      <c r="BC47" s="44">
        <v>41</v>
      </c>
      <c r="BD47" s="149" t="str">
        <f t="shared" si="37"/>
        <v/>
      </c>
      <c r="BE47" s="149" t="str">
        <f t="shared" si="38"/>
        <v/>
      </c>
      <c r="BF47" s="149" t="str">
        <f t="shared" si="39"/>
        <v/>
      </c>
      <c r="BG47" s="149" t="str">
        <f t="shared" si="40"/>
        <v/>
      </c>
      <c r="BH47" s="149" t="str">
        <f t="shared" si="41"/>
        <v/>
      </c>
      <c r="BI47" s="149" t="str">
        <f t="shared" si="42"/>
        <v/>
      </c>
      <c r="BJ47" s="149" t="str">
        <f t="shared" si="43"/>
        <v/>
      </c>
      <c r="BK47" s="149" t="str">
        <f>IFERROR(#REF!/$BB47,"")</f>
        <v/>
      </c>
      <c r="BL47" s="149" t="str">
        <f>IFERROR(#REF!/$BB47,"")</f>
        <v/>
      </c>
      <c r="BM47" s="149" t="str">
        <f t="shared" si="44"/>
        <v/>
      </c>
      <c r="BN47" s="149" t="str">
        <f t="shared" si="45"/>
        <v/>
      </c>
      <c r="BO47" s="149" t="str">
        <f t="shared" si="46"/>
        <v/>
      </c>
      <c r="BP47" s="149" t="str">
        <f t="shared" si="47"/>
        <v/>
      </c>
      <c r="BQ47" s="149" t="str">
        <f t="shared" si="48"/>
        <v/>
      </c>
      <c r="BR47" s="149" t="str">
        <f>IFERROR(#REF!/$BB47,"")</f>
        <v/>
      </c>
      <c r="BS47" s="149" t="str">
        <f>IFERROR(#REF!/$BB47,"")</f>
        <v/>
      </c>
      <c r="BT47" s="149" t="str">
        <f t="shared" si="49"/>
        <v/>
      </c>
      <c r="BU47" s="149" t="str">
        <f t="shared" si="50"/>
        <v/>
      </c>
      <c r="BV47" s="149" t="str">
        <f t="shared" si="51"/>
        <v/>
      </c>
      <c r="BW47" s="149" t="str">
        <f t="shared" si="52"/>
        <v/>
      </c>
      <c r="BX47" s="149" t="str">
        <f t="shared" si="53"/>
        <v/>
      </c>
      <c r="BY47" s="149" t="str">
        <f>IFERROR(#REF!/$BB47,"")</f>
        <v/>
      </c>
      <c r="BZ47" s="149" t="str">
        <f>IFERROR(#REF!/$BB47,"")</f>
        <v/>
      </c>
      <c r="CA47" s="149" t="str">
        <f t="shared" si="54"/>
        <v/>
      </c>
      <c r="CB47" s="149" t="str">
        <f t="shared" si="55"/>
        <v/>
      </c>
      <c r="CC47" s="207" t="str">
        <f t="shared" si="56"/>
        <v/>
      </c>
      <c r="CD47" s="208" t="str">
        <f t="shared" si="30"/>
        <v/>
      </c>
    </row>
    <row r="48" spans="3:82" x14ac:dyDescent="0.25">
      <c r="C48" s="44">
        <v>42</v>
      </c>
      <c r="D48" s="149"/>
      <c r="E48" s="149"/>
      <c r="F48" s="55">
        <v>0</v>
      </c>
      <c r="G48" s="55"/>
      <c r="H48" s="55"/>
      <c r="I48" s="55"/>
      <c r="J48" s="55">
        <v>67</v>
      </c>
      <c r="K48" s="55">
        <v>0</v>
      </c>
      <c r="L48" s="55"/>
      <c r="M48" s="55"/>
      <c r="N48" s="55"/>
      <c r="O48" s="55"/>
      <c r="P48" s="55">
        <v>0</v>
      </c>
      <c r="Q48" s="55"/>
      <c r="W48" s="127">
        <f t="shared" si="31"/>
        <v>67</v>
      </c>
      <c r="X48">
        <f t="shared" si="32"/>
        <v>1</v>
      </c>
      <c r="Y48" t="b">
        <f>LOOKUP($C48,Table7[Sample Name],Table7[Positive])</f>
        <v>1</v>
      </c>
      <c r="Z48" t="b">
        <f>LOOKUP($C48,Table7[Sample Name],Table7[Disseminated])</f>
        <v>1</v>
      </c>
      <c r="AA48">
        <f t="shared" si="33"/>
        <v>67</v>
      </c>
      <c r="AD48" s="325">
        <v>42</v>
      </c>
      <c r="AE48" s="43">
        <v>67</v>
      </c>
      <c r="AF48" s="128"/>
      <c r="AG48">
        <f t="shared" si="26"/>
        <v>67</v>
      </c>
      <c r="AH48">
        <f t="shared" si="27"/>
        <v>1</v>
      </c>
      <c r="AJ48" s="207">
        <v>42</v>
      </c>
      <c r="AK48" s="127" t="str">
        <f t="shared" si="34"/>
        <v/>
      </c>
      <c r="AL48" s="128" t="str">
        <f t="shared" si="35"/>
        <v/>
      </c>
      <c r="AM48">
        <f t="shared" si="28"/>
        <v>0</v>
      </c>
      <c r="AO48">
        <f t="shared" si="29"/>
        <v>-67</v>
      </c>
      <c r="BB48" s="134">
        <f t="shared" si="36"/>
        <v>67</v>
      </c>
      <c r="BC48" s="44">
        <v>42</v>
      </c>
      <c r="BD48" s="149">
        <f t="shared" si="37"/>
        <v>0</v>
      </c>
      <c r="BE48" s="149">
        <f t="shared" si="38"/>
        <v>0</v>
      </c>
      <c r="BF48" s="149">
        <f t="shared" si="39"/>
        <v>0</v>
      </c>
      <c r="BG48" s="149">
        <f t="shared" si="40"/>
        <v>0</v>
      </c>
      <c r="BH48" s="149">
        <f t="shared" si="41"/>
        <v>0</v>
      </c>
      <c r="BI48" s="149">
        <f t="shared" si="42"/>
        <v>0</v>
      </c>
      <c r="BJ48" s="149">
        <f t="shared" si="43"/>
        <v>1</v>
      </c>
      <c r="BK48" s="149" t="str">
        <f>IFERROR(#REF!/$BB48,"")</f>
        <v/>
      </c>
      <c r="BL48" s="149" t="str">
        <f>IFERROR(#REF!/$BB48,"")</f>
        <v/>
      </c>
      <c r="BM48" s="149">
        <f t="shared" si="44"/>
        <v>0</v>
      </c>
      <c r="BN48" s="149">
        <f t="shared" si="45"/>
        <v>0</v>
      </c>
      <c r="BO48" s="149">
        <f t="shared" si="46"/>
        <v>0</v>
      </c>
      <c r="BP48" s="149">
        <f t="shared" si="47"/>
        <v>0</v>
      </c>
      <c r="BQ48" s="149">
        <f t="shared" si="48"/>
        <v>0</v>
      </c>
      <c r="BR48" s="149" t="str">
        <f>IFERROR(#REF!/$BB48,"")</f>
        <v/>
      </c>
      <c r="BS48" s="149" t="str">
        <f>IFERROR(#REF!/$BB48,"")</f>
        <v/>
      </c>
      <c r="BT48" s="149">
        <f t="shared" si="49"/>
        <v>0</v>
      </c>
      <c r="BU48" s="149">
        <f t="shared" si="50"/>
        <v>0</v>
      </c>
      <c r="BV48" s="149">
        <f t="shared" si="51"/>
        <v>0</v>
      </c>
      <c r="BW48" s="149">
        <f t="shared" si="52"/>
        <v>0</v>
      </c>
      <c r="BX48" s="149">
        <f t="shared" si="53"/>
        <v>0</v>
      </c>
      <c r="BY48" s="149" t="str">
        <f>IFERROR(#REF!/$BB48,"")</f>
        <v/>
      </c>
      <c r="BZ48" s="149" t="str">
        <f>IFERROR(#REF!/$BB48,"")</f>
        <v/>
      </c>
      <c r="CA48" s="149">
        <f t="shared" si="54"/>
        <v>0</v>
      </c>
      <c r="CB48" s="149">
        <f t="shared" si="55"/>
        <v>0</v>
      </c>
      <c r="CC48" s="207">
        <f t="shared" si="56"/>
        <v>1</v>
      </c>
      <c r="CD48" s="208" t="b">
        <f t="shared" si="30"/>
        <v>1</v>
      </c>
    </row>
    <row r="49" spans="3:82" x14ac:dyDescent="0.25">
      <c r="C49" s="44">
        <v>43</v>
      </c>
      <c r="D49" s="149"/>
      <c r="E49" s="149"/>
      <c r="F49" s="55">
        <v>0</v>
      </c>
      <c r="G49" s="55"/>
      <c r="H49" s="55"/>
      <c r="I49" s="55"/>
      <c r="J49" s="55"/>
      <c r="K49" s="55"/>
      <c r="L49" s="55"/>
      <c r="M49" s="55"/>
      <c r="N49" s="55"/>
      <c r="O49" s="55"/>
      <c r="P49" s="55">
        <v>0</v>
      </c>
      <c r="Q49" s="55"/>
      <c r="W49" s="127">
        <f t="shared" si="31"/>
        <v>0</v>
      </c>
      <c r="X49">
        <f t="shared" si="32"/>
        <v>0</v>
      </c>
      <c r="Y49" t="b">
        <f>LOOKUP($C49,Table7[Sample Name],Table7[Positive])</f>
        <v>1</v>
      </c>
      <c r="Z49" t="b">
        <f>LOOKUP($C49,Table7[Sample Name],Table7[Disseminated])</f>
        <v>1</v>
      </c>
      <c r="AA49">
        <f t="shared" si="33"/>
        <v>0</v>
      </c>
      <c r="AD49" s="325">
        <v>43</v>
      </c>
      <c r="AE49" s="43">
        <v>0</v>
      </c>
      <c r="AF49" s="128"/>
      <c r="AG49">
        <f t="shared" si="26"/>
        <v>0</v>
      </c>
      <c r="AH49">
        <f t="shared" si="27"/>
        <v>0</v>
      </c>
      <c r="AJ49" s="207">
        <v>43</v>
      </c>
      <c r="AK49" s="127" t="str">
        <f t="shared" si="34"/>
        <v/>
      </c>
      <c r="AL49" s="128" t="str">
        <f t="shared" si="35"/>
        <v/>
      </c>
      <c r="AM49">
        <f t="shared" si="28"/>
        <v>0</v>
      </c>
      <c r="AO49">
        <f t="shared" si="29"/>
        <v>0</v>
      </c>
      <c r="BB49" s="134">
        <f t="shared" si="36"/>
        <v>0</v>
      </c>
      <c r="BC49" s="44">
        <v>43</v>
      </c>
      <c r="BD49" s="149" t="str">
        <f t="shared" si="37"/>
        <v/>
      </c>
      <c r="BE49" s="149" t="str">
        <f t="shared" si="38"/>
        <v/>
      </c>
      <c r="BF49" s="149" t="str">
        <f t="shared" si="39"/>
        <v/>
      </c>
      <c r="BG49" s="149" t="str">
        <f t="shared" si="40"/>
        <v/>
      </c>
      <c r="BH49" s="149" t="str">
        <f t="shared" si="41"/>
        <v/>
      </c>
      <c r="BI49" s="149" t="str">
        <f t="shared" si="42"/>
        <v/>
      </c>
      <c r="BJ49" s="149" t="str">
        <f t="shared" si="43"/>
        <v/>
      </c>
      <c r="BK49" s="149" t="str">
        <f>IFERROR(#REF!/$BB49,"")</f>
        <v/>
      </c>
      <c r="BL49" s="149" t="str">
        <f>IFERROR(#REF!/$BB49,"")</f>
        <v/>
      </c>
      <c r="BM49" s="149" t="str">
        <f t="shared" si="44"/>
        <v/>
      </c>
      <c r="BN49" s="149" t="str">
        <f t="shared" si="45"/>
        <v/>
      </c>
      <c r="BO49" s="149" t="str">
        <f t="shared" si="46"/>
        <v/>
      </c>
      <c r="BP49" s="149" t="str">
        <f t="shared" si="47"/>
        <v/>
      </c>
      <c r="BQ49" s="149" t="str">
        <f t="shared" si="48"/>
        <v/>
      </c>
      <c r="BR49" s="149" t="str">
        <f>IFERROR(#REF!/$BB49,"")</f>
        <v/>
      </c>
      <c r="BS49" s="149" t="str">
        <f>IFERROR(#REF!/$BB49,"")</f>
        <v/>
      </c>
      <c r="BT49" s="149" t="str">
        <f t="shared" si="49"/>
        <v/>
      </c>
      <c r="BU49" s="149" t="str">
        <f t="shared" si="50"/>
        <v/>
      </c>
      <c r="BV49" s="149" t="str">
        <f t="shared" si="51"/>
        <v/>
      </c>
      <c r="BW49" s="149" t="str">
        <f t="shared" si="52"/>
        <v/>
      </c>
      <c r="BX49" s="149" t="str">
        <f t="shared" si="53"/>
        <v/>
      </c>
      <c r="BY49" s="149" t="str">
        <f>IFERROR(#REF!/$BB49,"")</f>
        <v/>
      </c>
      <c r="BZ49" s="149" t="str">
        <f>IFERROR(#REF!/$BB49,"")</f>
        <v/>
      </c>
      <c r="CA49" s="149" t="str">
        <f t="shared" si="54"/>
        <v/>
      </c>
      <c r="CB49" s="149" t="str">
        <f t="shared" si="55"/>
        <v/>
      </c>
      <c r="CC49" s="207" t="str">
        <f t="shared" si="56"/>
        <v/>
      </c>
      <c r="CD49" s="208" t="str">
        <f t="shared" si="30"/>
        <v/>
      </c>
    </row>
    <row r="50" spans="3:82" x14ac:dyDescent="0.25">
      <c r="C50" s="44">
        <v>44</v>
      </c>
      <c r="D50" s="149"/>
      <c r="E50" s="149"/>
      <c r="F50" s="55">
        <v>0</v>
      </c>
      <c r="G50" s="55"/>
      <c r="H50" s="55"/>
      <c r="I50" s="55"/>
      <c r="J50" s="55"/>
      <c r="K50" s="55"/>
      <c r="L50" s="55"/>
      <c r="M50" s="55"/>
      <c r="N50" s="55"/>
      <c r="O50" s="55"/>
      <c r="P50" s="55">
        <v>0</v>
      </c>
      <c r="Q50" s="55"/>
      <c r="W50" s="127">
        <f t="shared" si="31"/>
        <v>0</v>
      </c>
      <c r="X50">
        <f t="shared" si="32"/>
        <v>0</v>
      </c>
      <c r="Y50" t="b">
        <f>LOOKUP($C50,Table7[Sample Name],Table7[Positive])</f>
        <v>1</v>
      </c>
      <c r="Z50" t="b">
        <f>LOOKUP($C50,Table7[Sample Name],Table7[Disseminated])</f>
        <v>1</v>
      </c>
      <c r="AA50">
        <f t="shared" si="33"/>
        <v>0</v>
      </c>
      <c r="AD50" s="325">
        <v>44</v>
      </c>
      <c r="AE50" s="43">
        <v>0</v>
      </c>
      <c r="AF50" s="128"/>
      <c r="AG50">
        <f t="shared" si="26"/>
        <v>0</v>
      </c>
      <c r="AH50">
        <f t="shared" si="27"/>
        <v>0</v>
      </c>
      <c r="AJ50" s="207">
        <v>44</v>
      </c>
      <c r="AK50" s="127" t="str">
        <f t="shared" si="34"/>
        <v/>
      </c>
      <c r="AL50" s="128" t="str">
        <f t="shared" si="35"/>
        <v/>
      </c>
      <c r="AM50">
        <f t="shared" si="28"/>
        <v>0</v>
      </c>
      <c r="AO50">
        <f t="shared" si="29"/>
        <v>0</v>
      </c>
      <c r="BB50" s="134">
        <f t="shared" si="36"/>
        <v>0</v>
      </c>
      <c r="BC50" s="44">
        <v>44</v>
      </c>
      <c r="BD50" s="149" t="str">
        <f t="shared" si="37"/>
        <v/>
      </c>
      <c r="BE50" s="149" t="str">
        <f t="shared" si="38"/>
        <v/>
      </c>
      <c r="BF50" s="149" t="str">
        <f t="shared" si="39"/>
        <v/>
      </c>
      <c r="BG50" s="149" t="str">
        <f t="shared" si="40"/>
        <v/>
      </c>
      <c r="BH50" s="149" t="str">
        <f t="shared" si="41"/>
        <v/>
      </c>
      <c r="BI50" s="149" t="str">
        <f t="shared" si="42"/>
        <v/>
      </c>
      <c r="BJ50" s="149" t="str">
        <f t="shared" si="43"/>
        <v/>
      </c>
      <c r="BK50" s="149" t="str">
        <f>IFERROR(#REF!/$BB50,"")</f>
        <v/>
      </c>
      <c r="BL50" s="149" t="str">
        <f>IFERROR(#REF!/$BB50,"")</f>
        <v/>
      </c>
      <c r="BM50" s="149" t="str">
        <f t="shared" si="44"/>
        <v/>
      </c>
      <c r="BN50" s="149" t="str">
        <f t="shared" si="45"/>
        <v/>
      </c>
      <c r="BO50" s="149" t="str">
        <f t="shared" si="46"/>
        <v/>
      </c>
      <c r="BP50" s="149" t="str">
        <f t="shared" si="47"/>
        <v/>
      </c>
      <c r="BQ50" s="149" t="str">
        <f t="shared" si="48"/>
        <v/>
      </c>
      <c r="BR50" s="149" t="str">
        <f>IFERROR(#REF!/$BB50,"")</f>
        <v/>
      </c>
      <c r="BS50" s="149" t="str">
        <f>IFERROR(#REF!/$BB50,"")</f>
        <v/>
      </c>
      <c r="BT50" s="149" t="str">
        <f t="shared" si="49"/>
        <v/>
      </c>
      <c r="BU50" s="149" t="str">
        <f t="shared" si="50"/>
        <v/>
      </c>
      <c r="BV50" s="149" t="str">
        <f t="shared" si="51"/>
        <v/>
      </c>
      <c r="BW50" s="149" t="str">
        <f t="shared" si="52"/>
        <v/>
      </c>
      <c r="BX50" s="149" t="str">
        <f t="shared" si="53"/>
        <v/>
      </c>
      <c r="BY50" s="149" t="str">
        <f>IFERROR(#REF!/$BB50,"")</f>
        <v/>
      </c>
      <c r="BZ50" s="149" t="str">
        <f>IFERROR(#REF!/$BB50,"")</f>
        <v/>
      </c>
      <c r="CA50" s="149" t="str">
        <f t="shared" si="54"/>
        <v/>
      </c>
      <c r="CB50" s="149" t="str">
        <f t="shared" si="55"/>
        <v/>
      </c>
      <c r="CC50" s="207" t="str">
        <f t="shared" si="56"/>
        <v/>
      </c>
      <c r="CD50" s="208" t="str">
        <f t="shared" si="30"/>
        <v/>
      </c>
    </row>
    <row r="51" spans="3:82" x14ac:dyDescent="0.25">
      <c r="C51" s="44">
        <v>45</v>
      </c>
      <c r="D51" s="149"/>
      <c r="E51" s="149"/>
      <c r="F51" s="55">
        <v>0</v>
      </c>
      <c r="G51" s="55"/>
      <c r="H51" s="55"/>
      <c r="I51" s="55"/>
      <c r="J51" s="55"/>
      <c r="K51" s="55">
        <v>60</v>
      </c>
      <c r="L51" s="55"/>
      <c r="M51" s="55"/>
      <c r="N51" s="55"/>
      <c r="O51" s="55"/>
      <c r="P51" s="55"/>
      <c r="Q51" s="55"/>
      <c r="W51" s="127">
        <f t="shared" si="31"/>
        <v>60</v>
      </c>
      <c r="X51">
        <f t="shared" si="32"/>
        <v>1</v>
      </c>
      <c r="Y51" t="b">
        <f>LOOKUP($C51,Table7[Sample Name],Table7[Positive])</f>
        <v>1</v>
      </c>
      <c r="Z51" t="b">
        <f>LOOKUP($C51,Table7[Sample Name],Table7[Disseminated])</f>
        <v>1</v>
      </c>
      <c r="AA51">
        <f t="shared" si="33"/>
        <v>60</v>
      </c>
      <c r="AD51" s="325">
        <v>45</v>
      </c>
      <c r="AE51" s="43">
        <v>60</v>
      </c>
      <c r="AF51" s="128"/>
      <c r="AG51">
        <f t="shared" si="26"/>
        <v>60</v>
      </c>
      <c r="AH51">
        <f t="shared" si="27"/>
        <v>1</v>
      </c>
      <c r="AJ51" s="207">
        <v>45</v>
      </c>
      <c r="AK51" s="127" t="str">
        <f t="shared" si="34"/>
        <v/>
      </c>
      <c r="AL51" s="128" t="str">
        <f t="shared" si="35"/>
        <v/>
      </c>
      <c r="AM51">
        <f t="shared" si="28"/>
        <v>0</v>
      </c>
      <c r="AO51">
        <f t="shared" si="29"/>
        <v>-60</v>
      </c>
      <c r="BB51" s="134">
        <f t="shared" si="36"/>
        <v>60</v>
      </c>
      <c r="BC51" s="44">
        <v>45</v>
      </c>
      <c r="BD51" s="149">
        <f t="shared" si="37"/>
        <v>0</v>
      </c>
      <c r="BE51" s="149">
        <f t="shared" si="38"/>
        <v>0</v>
      </c>
      <c r="BF51" s="149">
        <f t="shared" si="39"/>
        <v>0</v>
      </c>
      <c r="BG51" s="149">
        <f t="shared" si="40"/>
        <v>0</v>
      </c>
      <c r="BH51" s="149">
        <f t="shared" si="41"/>
        <v>0</v>
      </c>
      <c r="BI51" s="149">
        <f t="shared" si="42"/>
        <v>0</v>
      </c>
      <c r="BJ51" s="149">
        <f t="shared" si="43"/>
        <v>0</v>
      </c>
      <c r="BK51" s="149" t="str">
        <f>IFERROR(#REF!/$BB51,"")</f>
        <v/>
      </c>
      <c r="BL51" s="149" t="str">
        <f>IFERROR(#REF!/$BB51,"")</f>
        <v/>
      </c>
      <c r="BM51" s="149">
        <f t="shared" si="44"/>
        <v>1</v>
      </c>
      <c r="BN51" s="149">
        <f t="shared" si="45"/>
        <v>0</v>
      </c>
      <c r="BO51" s="149">
        <f t="shared" si="46"/>
        <v>0</v>
      </c>
      <c r="BP51" s="149">
        <f t="shared" si="47"/>
        <v>0</v>
      </c>
      <c r="BQ51" s="149">
        <f t="shared" si="48"/>
        <v>0</v>
      </c>
      <c r="BR51" s="149" t="str">
        <f>IFERROR(#REF!/$BB51,"")</f>
        <v/>
      </c>
      <c r="BS51" s="149" t="str">
        <f>IFERROR(#REF!/$BB51,"")</f>
        <v/>
      </c>
      <c r="BT51" s="149">
        <f t="shared" si="49"/>
        <v>0</v>
      </c>
      <c r="BU51" s="149">
        <f t="shared" si="50"/>
        <v>0</v>
      </c>
      <c r="BV51" s="149">
        <f t="shared" si="51"/>
        <v>0</v>
      </c>
      <c r="BW51" s="149">
        <f t="shared" si="52"/>
        <v>0</v>
      </c>
      <c r="BX51" s="149">
        <f t="shared" si="53"/>
        <v>0</v>
      </c>
      <c r="BY51" s="149" t="str">
        <f>IFERROR(#REF!/$BB51,"")</f>
        <v/>
      </c>
      <c r="BZ51" s="149" t="str">
        <f>IFERROR(#REF!/$BB51,"")</f>
        <v/>
      </c>
      <c r="CA51" s="149">
        <f t="shared" si="54"/>
        <v>0</v>
      </c>
      <c r="CB51" s="149">
        <f t="shared" si="55"/>
        <v>0</v>
      </c>
      <c r="CC51" s="207">
        <f t="shared" si="56"/>
        <v>1</v>
      </c>
      <c r="CD51" s="208" t="b">
        <f t="shared" si="30"/>
        <v>1</v>
      </c>
    </row>
    <row r="52" spans="3:82" x14ac:dyDescent="0.25">
      <c r="C52" s="44">
        <v>46</v>
      </c>
      <c r="D52" s="149"/>
      <c r="E52" s="149"/>
      <c r="F52" s="55">
        <v>0</v>
      </c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W52" s="127">
        <f t="shared" si="31"/>
        <v>0</v>
      </c>
      <c r="X52">
        <f t="shared" si="32"/>
        <v>0</v>
      </c>
      <c r="Y52" t="b">
        <f>LOOKUP($C52,Table7[Sample Name],Table7[Positive])</f>
        <v>1</v>
      </c>
      <c r="Z52" t="b">
        <f>LOOKUP($C52,Table7[Sample Name],Table7[Disseminated])</f>
        <v>1</v>
      </c>
      <c r="AA52">
        <f t="shared" si="33"/>
        <v>0</v>
      </c>
      <c r="AD52" s="325">
        <v>46</v>
      </c>
      <c r="AE52" s="43">
        <v>0</v>
      </c>
      <c r="AF52" s="128"/>
      <c r="AG52">
        <f t="shared" si="26"/>
        <v>0</v>
      </c>
      <c r="AH52">
        <f t="shared" si="27"/>
        <v>0</v>
      </c>
      <c r="AJ52" s="207">
        <v>46</v>
      </c>
      <c r="AK52" s="127" t="str">
        <f t="shared" si="34"/>
        <v/>
      </c>
      <c r="AL52" s="128" t="str">
        <f t="shared" si="35"/>
        <v/>
      </c>
      <c r="AM52">
        <f t="shared" si="28"/>
        <v>0</v>
      </c>
      <c r="AO52">
        <f t="shared" si="29"/>
        <v>0</v>
      </c>
      <c r="BB52" s="134">
        <f t="shared" si="36"/>
        <v>0</v>
      </c>
      <c r="BC52" s="44">
        <v>46</v>
      </c>
      <c r="BD52" s="149" t="str">
        <f t="shared" si="37"/>
        <v/>
      </c>
      <c r="BE52" s="149" t="str">
        <f t="shared" si="38"/>
        <v/>
      </c>
      <c r="BF52" s="149" t="str">
        <f t="shared" si="39"/>
        <v/>
      </c>
      <c r="BG52" s="149" t="str">
        <f t="shared" si="40"/>
        <v/>
      </c>
      <c r="BH52" s="149" t="str">
        <f t="shared" si="41"/>
        <v/>
      </c>
      <c r="BI52" s="149" t="str">
        <f t="shared" si="42"/>
        <v/>
      </c>
      <c r="BJ52" s="149" t="str">
        <f t="shared" si="43"/>
        <v/>
      </c>
      <c r="BK52" s="149" t="str">
        <f>IFERROR(#REF!/$BB52,"")</f>
        <v/>
      </c>
      <c r="BL52" s="149" t="str">
        <f>IFERROR(#REF!/$BB52,"")</f>
        <v/>
      </c>
      <c r="BM52" s="149" t="str">
        <f t="shared" si="44"/>
        <v/>
      </c>
      <c r="BN52" s="149" t="str">
        <f t="shared" si="45"/>
        <v/>
      </c>
      <c r="BO52" s="149" t="str">
        <f t="shared" si="46"/>
        <v/>
      </c>
      <c r="BP52" s="149" t="str">
        <f t="shared" si="47"/>
        <v/>
      </c>
      <c r="BQ52" s="149" t="str">
        <f t="shared" si="48"/>
        <v/>
      </c>
      <c r="BR52" s="149" t="str">
        <f>IFERROR(#REF!/$BB52,"")</f>
        <v/>
      </c>
      <c r="BS52" s="149" t="str">
        <f>IFERROR(#REF!/$BB52,"")</f>
        <v/>
      </c>
      <c r="BT52" s="149" t="str">
        <f t="shared" si="49"/>
        <v/>
      </c>
      <c r="BU52" s="149" t="str">
        <f t="shared" si="50"/>
        <v/>
      </c>
      <c r="BV52" s="149" t="str">
        <f t="shared" si="51"/>
        <v/>
      </c>
      <c r="BW52" s="149" t="str">
        <f t="shared" si="52"/>
        <v/>
      </c>
      <c r="BX52" s="149" t="str">
        <f t="shared" si="53"/>
        <v/>
      </c>
      <c r="BY52" s="149" t="str">
        <f>IFERROR(#REF!/$BB52,"")</f>
        <v/>
      </c>
      <c r="BZ52" s="149" t="str">
        <f>IFERROR(#REF!/$BB52,"")</f>
        <v/>
      </c>
      <c r="CA52" s="149" t="str">
        <f t="shared" si="54"/>
        <v/>
      </c>
      <c r="CB52" s="149" t="str">
        <f t="shared" si="55"/>
        <v/>
      </c>
      <c r="CC52" s="207" t="str">
        <f t="shared" si="56"/>
        <v/>
      </c>
      <c r="CD52" s="208" t="str">
        <f t="shared" si="30"/>
        <v/>
      </c>
    </row>
    <row r="53" spans="3:82" x14ac:dyDescent="0.25">
      <c r="C53" s="44">
        <v>47</v>
      </c>
      <c r="D53" s="149"/>
      <c r="E53" s="149"/>
      <c r="F53" s="55">
        <v>0</v>
      </c>
      <c r="G53" s="55"/>
      <c r="H53" s="55"/>
      <c r="I53" s="55"/>
      <c r="J53" s="55"/>
      <c r="K53" s="55"/>
      <c r="L53" s="55"/>
      <c r="M53" s="55"/>
      <c r="N53" s="55"/>
      <c r="O53" s="55"/>
      <c r="P53" s="55">
        <v>0</v>
      </c>
      <c r="Q53" s="55"/>
      <c r="W53" s="127">
        <f t="shared" si="31"/>
        <v>0</v>
      </c>
      <c r="X53">
        <f t="shared" si="32"/>
        <v>0</v>
      </c>
      <c r="Y53" t="b">
        <f>LOOKUP($C53,Table7[Sample Name],Table7[Positive])</f>
        <v>1</v>
      </c>
      <c r="Z53" t="b">
        <f>LOOKUP($C53,Table7[Sample Name],Table7[Disseminated])</f>
        <v>1</v>
      </c>
      <c r="AA53">
        <f t="shared" si="33"/>
        <v>0</v>
      </c>
      <c r="AD53" s="325">
        <v>47</v>
      </c>
      <c r="AE53" s="43">
        <v>0</v>
      </c>
      <c r="AF53" s="128"/>
      <c r="AG53">
        <f t="shared" si="26"/>
        <v>0</v>
      </c>
      <c r="AH53">
        <f t="shared" si="27"/>
        <v>0</v>
      </c>
      <c r="AJ53" s="207">
        <v>47</v>
      </c>
      <c r="AK53" s="127" t="str">
        <f t="shared" si="34"/>
        <v/>
      </c>
      <c r="AL53" s="128" t="str">
        <f t="shared" si="35"/>
        <v/>
      </c>
      <c r="AM53">
        <f t="shared" si="28"/>
        <v>0</v>
      </c>
      <c r="AO53">
        <f t="shared" si="29"/>
        <v>0</v>
      </c>
      <c r="BB53" s="134">
        <f t="shared" si="36"/>
        <v>0</v>
      </c>
      <c r="BC53" s="44">
        <v>47</v>
      </c>
      <c r="BD53" s="149" t="str">
        <f t="shared" si="37"/>
        <v/>
      </c>
      <c r="BE53" s="149" t="str">
        <f t="shared" si="38"/>
        <v/>
      </c>
      <c r="BF53" s="149" t="str">
        <f t="shared" si="39"/>
        <v/>
      </c>
      <c r="BG53" s="149" t="str">
        <f t="shared" si="40"/>
        <v/>
      </c>
      <c r="BH53" s="149" t="str">
        <f t="shared" si="41"/>
        <v/>
      </c>
      <c r="BI53" s="149" t="str">
        <f t="shared" si="42"/>
        <v/>
      </c>
      <c r="BJ53" s="149" t="str">
        <f t="shared" si="43"/>
        <v/>
      </c>
      <c r="BK53" s="149" t="str">
        <f>IFERROR(#REF!/$BB53,"")</f>
        <v/>
      </c>
      <c r="BL53" s="149" t="str">
        <f>IFERROR(#REF!/$BB53,"")</f>
        <v/>
      </c>
      <c r="BM53" s="149" t="str">
        <f t="shared" si="44"/>
        <v/>
      </c>
      <c r="BN53" s="149" t="str">
        <f t="shared" si="45"/>
        <v/>
      </c>
      <c r="BO53" s="149" t="str">
        <f t="shared" si="46"/>
        <v/>
      </c>
      <c r="BP53" s="149" t="str">
        <f t="shared" si="47"/>
        <v/>
      </c>
      <c r="BQ53" s="149" t="str">
        <f t="shared" si="48"/>
        <v/>
      </c>
      <c r="BR53" s="149" t="str">
        <f>IFERROR(#REF!/$BB53,"")</f>
        <v/>
      </c>
      <c r="BS53" s="149" t="str">
        <f>IFERROR(#REF!/$BB53,"")</f>
        <v/>
      </c>
      <c r="BT53" s="149" t="str">
        <f t="shared" si="49"/>
        <v/>
      </c>
      <c r="BU53" s="149" t="str">
        <f t="shared" si="50"/>
        <v/>
      </c>
      <c r="BV53" s="149" t="str">
        <f t="shared" si="51"/>
        <v/>
      </c>
      <c r="BW53" s="149" t="str">
        <f t="shared" si="52"/>
        <v/>
      </c>
      <c r="BX53" s="149" t="str">
        <f t="shared" si="53"/>
        <v/>
      </c>
      <c r="BY53" s="149" t="str">
        <f>IFERROR(#REF!/$BB53,"")</f>
        <v/>
      </c>
      <c r="BZ53" s="149" t="str">
        <f>IFERROR(#REF!/$BB53,"")</f>
        <v/>
      </c>
      <c r="CA53" s="149" t="str">
        <f t="shared" si="54"/>
        <v/>
      </c>
      <c r="CB53" s="149" t="str">
        <f t="shared" si="55"/>
        <v/>
      </c>
      <c r="CC53" s="207" t="str">
        <f t="shared" si="56"/>
        <v/>
      </c>
      <c r="CD53" s="208" t="str">
        <f t="shared" si="30"/>
        <v/>
      </c>
    </row>
    <row r="54" spans="3:82" x14ac:dyDescent="0.25">
      <c r="C54" s="44">
        <v>48</v>
      </c>
      <c r="D54" s="149"/>
      <c r="E54" s="149"/>
      <c r="F54" s="55">
        <v>0</v>
      </c>
      <c r="G54" s="55"/>
      <c r="H54" s="55"/>
      <c r="I54" s="55"/>
      <c r="J54" s="55">
        <v>19</v>
      </c>
      <c r="K54" s="55"/>
      <c r="L54" s="55"/>
      <c r="M54" s="55"/>
      <c r="N54" s="55"/>
      <c r="O54" s="55"/>
      <c r="P54" s="55"/>
      <c r="Q54" s="55"/>
      <c r="W54" s="127">
        <f t="shared" si="31"/>
        <v>19</v>
      </c>
      <c r="X54">
        <f t="shared" si="32"/>
        <v>1</v>
      </c>
      <c r="Y54" t="b">
        <f>LOOKUP($C54,Table7[Sample Name],Table7[Positive])</f>
        <v>1</v>
      </c>
      <c r="Z54" t="b">
        <f>LOOKUP($C54,Table7[Sample Name],Table7[Disseminated])</f>
        <v>1</v>
      </c>
      <c r="AA54">
        <f t="shared" si="33"/>
        <v>19</v>
      </c>
      <c r="AD54" s="325">
        <v>48</v>
      </c>
      <c r="AE54" s="43">
        <v>19</v>
      </c>
      <c r="AF54" s="128"/>
      <c r="AG54">
        <f t="shared" si="26"/>
        <v>19</v>
      </c>
      <c r="AH54">
        <f t="shared" si="27"/>
        <v>1</v>
      </c>
      <c r="AJ54" s="207">
        <v>48</v>
      </c>
      <c r="AK54" s="127" t="str">
        <f t="shared" si="34"/>
        <v/>
      </c>
      <c r="AL54" s="128" t="str">
        <f t="shared" si="35"/>
        <v/>
      </c>
      <c r="AM54">
        <f t="shared" si="28"/>
        <v>0</v>
      </c>
      <c r="AO54">
        <f t="shared" si="29"/>
        <v>-19</v>
      </c>
      <c r="BB54" s="134">
        <f t="shared" si="36"/>
        <v>19</v>
      </c>
      <c r="BC54" s="44">
        <v>48</v>
      </c>
      <c r="BD54" s="149">
        <f t="shared" si="37"/>
        <v>0</v>
      </c>
      <c r="BE54" s="149">
        <f t="shared" si="38"/>
        <v>0</v>
      </c>
      <c r="BF54" s="149">
        <f t="shared" si="39"/>
        <v>0</v>
      </c>
      <c r="BG54" s="149">
        <f t="shared" si="40"/>
        <v>0</v>
      </c>
      <c r="BH54" s="149">
        <f t="shared" si="41"/>
        <v>0</v>
      </c>
      <c r="BI54" s="149">
        <f t="shared" si="42"/>
        <v>0</v>
      </c>
      <c r="BJ54" s="149">
        <f t="shared" si="43"/>
        <v>1</v>
      </c>
      <c r="BK54" s="149" t="str">
        <f>IFERROR(#REF!/$BB54,"")</f>
        <v/>
      </c>
      <c r="BL54" s="149" t="str">
        <f>IFERROR(#REF!/$BB54,"")</f>
        <v/>
      </c>
      <c r="BM54" s="149">
        <f t="shared" si="44"/>
        <v>0</v>
      </c>
      <c r="BN54" s="149">
        <f t="shared" si="45"/>
        <v>0</v>
      </c>
      <c r="BO54" s="149">
        <f t="shared" si="46"/>
        <v>0</v>
      </c>
      <c r="BP54" s="149">
        <f t="shared" si="47"/>
        <v>0</v>
      </c>
      <c r="BQ54" s="149">
        <f t="shared" si="48"/>
        <v>0</v>
      </c>
      <c r="BR54" s="149" t="str">
        <f>IFERROR(#REF!/$BB54,"")</f>
        <v/>
      </c>
      <c r="BS54" s="149" t="str">
        <f>IFERROR(#REF!/$BB54,"")</f>
        <v/>
      </c>
      <c r="BT54" s="149">
        <f t="shared" si="49"/>
        <v>0</v>
      </c>
      <c r="BU54" s="149">
        <f t="shared" si="50"/>
        <v>0</v>
      </c>
      <c r="BV54" s="149">
        <f t="shared" si="51"/>
        <v>0</v>
      </c>
      <c r="BW54" s="149">
        <f t="shared" si="52"/>
        <v>0</v>
      </c>
      <c r="BX54" s="149">
        <f t="shared" si="53"/>
        <v>0</v>
      </c>
      <c r="BY54" s="149" t="str">
        <f>IFERROR(#REF!/$BB54,"")</f>
        <v/>
      </c>
      <c r="BZ54" s="149" t="str">
        <f>IFERROR(#REF!/$BB54,"")</f>
        <v/>
      </c>
      <c r="CA54" s="149">
        <f t="shared" si="54"/>
        <v>0</v>
      </c>
      <c r="CB54" s="149">
        <f t="shared" si="55"/>
        <v>0</v>
      </c>
      <c r="CC54" s="207">
        <f t="shared" si="56"/>
        <v>1</v>
      </c>
      <c r="CD54" s="208" t="b">
        <f t="shared" si="30"/>
        <v>1</v>
      </c>
    </row>
    <row r="55" spans="3:82" x14ac:dyDescent="0.25">
      <c r="C55" s="44">
        <v>49</v>
      </c>
      <c r="D55" s="149"/>
      <c r="E55" s="149"/>
      <c r="F55" s="55">
        <v>0</v>
      </c>
      <c r="G55" s="55"/>
      <c r="H55" s="55"/>
      <c r="I55" s="55"/>
      <c r="J55" s="55"/>
      <c r="K55" s="55"/>
      <c r="L55" s="55"/>
      <c r="M55" s="55"/>
      <c r="N55" s="55"/>
      <c r="O55" s="55"/>
      <c r="P55" s="55">
        <v>0</v>
      </c>
      <c r="Q55" s="55"/>
      <c r="U55">
        <v>0</v>
      </c>
      <c r="W55" s="127">
        <f t="shared" si="31"/>
        <v>0</v>
      </c>
      <c r="X55">
        <f t="shared" si="32"/>
        <v>0</v>
      </c>
      <c r="Y55" t="b">
        <f>LOOKUP($C55,Table7[Sample Name],Table7[Positive])</f>
        <v>1</v>
      </c>
      <c r="Z55" t="b">
        <f>LOOKUP($C55,Table7[Sample Name],Table7[Disseminated])</f>
        <v>1</v>
      </c>
      <c r="AA55">
        <f t="shared" si="33"/>
        <v>0</v>
      </c>
      <c r="AD55" s="325">
        <v>49</v>
      </c>
      <c r="AE55" s="43">
        <v>0</v>
      </c>
      <c r="AF55" s="128"/>
      <c r="AG55">
        <f t="shared" si="26"/>
        <v>0</v>
      </c>
      <c r="AH55">
        <f t="shared" si="27"/>
        <v>0</v>
      </c>
      <c r="AJ55" s="207">
        <v>49</v>
      </c>
      <c r="AK55" s="127" t="str">
        <f t="shared" si="34"/>
        <v/>
      </c>
      <c r="AL55" s="128" t="str">
        <f t="shared" si="35"/>
        <v/>
      </c>
      <c r="AM55">
        <f t="shared" si="28"/>
        <v>0</v>
      </c>
      <c r="AO55">
        <f t="shared" si="29"/>
        <v>0</v>
      </c>
      <c r="BB55" s="134">
        <f t="shared" si="36"/>
        <v>0</v>
      </c>
      <c r="BC55" s="44">
        <v>49</v>
      </c>
      <c r="BD55" s="149" t="str">
        <f t="shared" si="37"/>
        <v/>
      </c>
      <c r="BE55" s="149" t="str">
        <f t="shared" si="38"/>
        <v/>
      </c>
      <c r="BF55" s="149" t="str">
        <f t="shared" si="39"/>
        <v/>
      </c>
      <c r="BG55" s="149" t="str">
        <f t="shared" si="40"/>
        <v/>
      </c>
      <c r="BH55" s="149" t="str">
        <f t="shared" si="41"/>
        <v/>
      </c>
      <c r="BI55" s="149" t="str">
        <f t="shared" si="42"/>
        <v/>
      </c>
      <c r="BJ55" s="149" t="str">
        <f t="shared" si="43"/>
        <v/>
      </c>
      <c r="BK55" s="149" t="str">
        <f>IFERROR(#REF!/$BB55,"")</f>
        <v/>
      </c>
      <c r="BL55" s="149" t="str">
        <f>IFERROR(#REF!/$BB55,"")</f>
        <v/>
      </c>
      <c r="BM55" s="149" t="str">
        <f t="shared" si="44"/>
        <v/>
      </c>
      <c r="BN55" s="149" t="str">
        <f t="shared" si="45"/>
        <v/>
      </c>
      <c r="BO55" s="149" t="str">
        <f t="shared" si="46"/>
        <v/>
      </c>
      <c r="BP55" s="149" t="str">
        <f t="shared" si="47"/>
        <v/>
      </c>
      <c r="BQ55" s="149" t="str">
        <f t="shared" si="48"/>
        <v/>
      </c>
      <c r="BR55" s="149" t="str">
        <f>IFERROR(#REF!/$BB55,"")</f>
        <v/>
      </c>
      <c r="BS55" s="149" t="str">
        <f>IFERROR(#REF!/$BB55,"")</f>
        <v/>
      </c>
      <c r="BT55" s="149" t="str">
        <f t="shared" si="49"/>
        <v/>
      </c>
      <c r="BU55" s="149" t="str">
        <f t="shared" si="50"/>
        <v/>
      </c>
      <c r="BV55" s="149" t="str">
        <f t="shared" si="51"/>
        <v/>
      </c>
      <c r="BW55" s="149" t="str">
        <f t="shared" si="52"/>
        <v/>
      </c>
      <c r="BX55" s="149" t="str">
        <f t="shared" si="53"/>
        <v/>
      </c>
      <c r="BY55" s="149" t="str">
        <f>IFERROR(#REF!/$BB55,"")</f>
        <v/>
      </c>
      <c r="BZ55" s="149" t="str">
        <f>IFERROR(#REF!/$BB55,"")</f>
        <v/>
      </c>
      <c r="CA55" s="149" t="str">
        <f t="shared" si="54"/>
        <v/>
      </c>
      <c r="CB55" s="149" t="str">
        <f t="shared" si="55"/>
        <v/>
      </c>
      <c r="CC55" s="207" t="str">
        <f t="shared" si="56"/>
        <v/>
      </c>
      <c r="CD55" s="208" t="str">
        <f t="shared" si="30"/>
        <v/>
      </c>
    </row>
    <row r="56" spans="3:82" x14ac:dyDescent="0.25">
      <c r="C56" s="44">
        <v>50</v>
      </c>
      <c r="D56" s="149"/>
      <c r="E56" s="149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W56" s="127">
        <f t="shared" si="31"/>
        <v>0</v>
      </c>
      <c r="X56">
        <f t="shared" si="32"/>
        <v>0</v>
      </c>
      <c r="Y56" t="b">
        <f>LOOKUP($C56,Table7[Sample Name],Table7[Positive])</f>
        <v>1</v>
      </c>
      <c r="Z56" t="b">
        <f>LOOKUP($C56,Table7[Sample Name],Table7[Disseminated])</f>
        <v>1</v>
      </c>
      <c r="AA56">
        <f t="shared" si="33"/>
        <v>0</v>
      </c>
      <c r="AD56" s="325">
        <v>50</v>
      </c>
      <c r="AE56" s="43">
        <v>0</v>
      </c>
      <c r="AF56" s="128"/>
      <c r="AG56">
        <f t="shared" si="26"/>
        <v>0</v>
      </c>
      <c r="AH56">
        <f t="shared" si="27"/>
        <v>0</v>
      </c>
      <c r="AJ56" s="207">
        <v>50</v>
      </c>
      <c r="AK56" s="127" t="str">
        <f t="shared" si="34"/>
        <v/>
      </c>
      <c r="AL56" s="128" t="str">
        <f t="shared" si="35"/>
        <v/>
      </c>
      <c r="AM56">
        <f t="shared" si="28"/>
        <v>0</v>
      </c>
      <c r="AO56">
        <f t="shared" si="29"/>
        <v>0</v>
      </c>
      <c r="BB56" s="134" t="str">
        <f t="shared" si="36"/>
        <v/>
      </c>
      <c r="BC56" s="44">
        <v>50</v>
      </c>
      <c r="BD56" s="149" t="str">
        <f t="shared" si="37"/>
        <v/>
      </c>
      <c r="BE56" s="149" t="str">
        <f t="shared" si="38"/>
        <v/>
      </c>
      <c r="BF56" s="149" t="str">
        <f t="shared" si="39"/>
        <v/>
      </c>
      <c r="BG56" s="149" t="str">
        <f t="shared" si="40"/>
        <v/>
      </c>
      <c r="BH56" s="149" t="str">
        <f t="shared" si="41"/>
        <v/>
      </c>
      <c r="BI56" s="149" t="str">
        <f t="shared" si="42"/>
        <v/>
      </c>
      <c r="BJ56" s="149" t="str">
        <f t="shared" si="43"/>
        <v/>
      </c>
      <c r="BK56" s="149" t="str">
        <f>IFERROR(#REF!/$BB56,"")</f>
        <v/>
      </c>
      <c r="BL56" s="149" t="str">
        <f>IFERROR(#REF!/$BB56,"")</f>
        <v/>
      </c>
      <c r="BM56" s="149" t="str">
        <f t="shared" si="44"/>
        <v/>
      </c>
      <c r="BN56" s="149" t="str">
        <f t="shared" si="45"/>
        <v/>
      </c>
      <c r="BO56" s="149" t="str">
        <f t="shared" si="46"/>
        <v/>
      </c>
      <c r="BP56" s="149" t="str">
        <f t="shared" si="47"/>
        <v/>
      </c>
      <c r="BQ56" s="149" t="str">
        <f t="shared" si="48"/>
        <v/>
      </c>
      <c r="BR56" s="149" t="str">
        <f>IFERROR(#REF!/$BB56,"")</f>
        <v/>
      </c>
      <c r="BS56" s="149" t="str">
        <f>IFERROR(#REF!/$BB56,"")</f>
        <v/>
      </c>
      <c r="BT56" s="149" t="str">
        <f t="shared" si="49"/>
        <v/>
      </c>
      <c r="BU56" s="149" t="str">
        <f t="shared" si="50"/>
        <v/>
      </c>
      <c r="BV56" s="149" t="str">
        <f t="shared" si="51"/>
        <v/>
      </c>
      <c r="BW56" s="149" t="str">
        <f t="shared" si="52"/>
        <v/>
      </c>
      <c r="BX56" s="149" t="str">
        <f t="shared" si="53"/>
        <v/>
      </c>
      <c r="BY56" s="149" t="str">
        <f>IFERROR(#REF!/$BB56,"")</f>
        <v/>
      </c>
      <c r="BZ56" s="149" t="str">
        <f>IFERROR(#REF!/$BB56,"")</f>
        <v/>
      </c>
      <c r="CA56" s="149" t="str">
        <f t="shared" si="54"/>
        <v/>
      </c>
      <c r="CB56" s="149" t="str">
        <f t="shared" si="55"/>
        <v/>
      </c>
      <c r="CC56" s="207" t="str">
        <f t="shared" si="56"/>
        <v/>
      </c>
      <c r="CD56" s="208" t="str">
        <f t="shared" si="30"/>
        <v/>
      </c>
    </row>
    <row r="57" spans="3:82" x14ac:dyDescent="0.25">
      <c r="C57" s="44">
        <v>51</v>
      </c>
      <c r="D57" s="149"/>
      <c r="E57" s="149"/>
      <c r="F57" s="55">
        <v>0</v>
      </c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W57" s="127">
        <f t="shared" si="31"/>
        <v>0</v>
      </c>
      <c r="X57">
        <f t="shared" si="32"/>
        <v>0</v>
      </c>
      <c r="Y57" t="b">
        <f>LOOKUP($C57,Table7[Sample Name],Table7[Positive])</f>
        <v>1</v>
      </c>
      <c r="Z57" t="b">
        <f>LOOKUP($C57,Table7[Sample Name],Table7[Disseminated])</f>
        <v>1</v>
      </c>
      <c r="AA57">
        <f t="shared" si="33"/>
        <v>0</v>
      </c>
      <c r="AD57" s="325">
        <v>51</v>
      </c>
      <c r="AE57" s="43">
        <v>0</v>
      </c>
      <c r="AF57" s="128"/>
      <c r="AG57">
        <f t="shared" si="26"/>
        <v>0</v>
      </c>
      <c r="AH57">
        <f t="shared" si="27"/>
        <v>0</v>
      </c>
      <c r="AJ57" s="207">
        <v>51</v>
      </c>
      <c r="AK57" s="127" t="str">
        <f t="shared" si="34"/>
        <v/>
      </c>
      <c r="AL57" s="128" t="str">
        <f t="shared" si="35"/>
        <v/>
      </c>
      <c r="AM57">
        <f t="shared" si="28"/>
        <v>0</v>
      </c>
      <c r="AO57">
        <f t="shared" si="29"/>
        <v>0</v>
      </c>
      <c r="BB57" s="134">
        <f t="shared" si="36"/>
        <v>0</v>
      </c>
      <c r="BC57" s="44">
        <v>51</v>
      </c>
      <c r="BD57" s="149" t="str">
        <f t="shared" si="37"/>
        <v/>
      </c>
      <c r="BE57" s="149" t="str">
        <f t="shared" si="38"/>
        <v/>
      </c>
      <c r="BF57" s="149" t="str">
        <f t="shared" si="39"/>
        <v/>
      </c>
      <c r="BG57" s="149" t="str">
        <f t="shared" si="40"/>
        <v/>
      </c>
      <c r="BH57" s="149" t="str">
        <f t="shared" si="41"/>
        <v/>
      </c>
      <c r="BI57" s="149" t="str">
        <f t="shared" si="42"/>
        <v/>
      </c>
      <c r="BJ57" s="149" t="str">
        <f t="shared" si="43"/>
        <v/>
      </c>
      <c r="BK57" s="149" t="str">
        <f>IFERROR(#REF!/$BB57,"")</f>
        <v/>
      </c>
      <c r="BL57" s="149" t="str">
        <f>IFERROR(#REF!/$BB57,"")</f>
        <v/>
      </c>
      <c r="BM57" s="149" t="str">
        <f t="shared" si="44"/>
        <v/>
      </c>
      <c r="BN57" s="149" t="str">
        <f t="shared" si="45"/>
        <v/>
      </c>
      <c r="BO57" s="149" t="str">
        <f t="shared" si="46"/>
        <v/>
      </c>
      <c r="BP57" s="149" t="str">
        <f t="shared" si="47"/>
        <v/>
      </c>
      <c r="BQ57" s="149" t="str">
        <f t="shared" si="48"/>
        <v/>
      </c>
      <c r="BR57" s="149" t="str">
        <f>IFERROR(#REF!/$BB57,"")</f>
        <v/>
      </c>
      <c r="BS57" s="149" t="str">
        <f>IFERROR(#REF!/$BB57,"")</f>
        <v/>
      </c>
      <c r="BT57" s="149" t="str">
        <f t="shared" si="49"/>
        <v/>
      </c>
      <c r="BU57" s="149" t="str">
        <f t="shared" si="50"/>
        <v/>
      </c>
      <c r="BV57" s="149" t="str">
        <f t="shared" si="51"/>
        <v/>
      </c>
      <c r="BW57" s="149" t="str">
        <f t="shared" si="52"/>
        <v/>
      </c>
      <c r="BX57" s="149" t="str">
        <f t="shared" si="53"/>
        <v/>
      </c>
      <c r="BY57" s="149" t="str">
        <f>IFERROR(#REF!/$BB57,"")</f>
        <v/>
      </c>
      <c r="BZ57" s="149" t="str">
        <f>IFERROR(#REF!/$BB57,"")</f>
        <v/>
      </c>
      <c r="CA57" s="149" t="str">
        <f t="shared" si="54"/>
        <v/>
      </c>
      <c r="CB57" s="149" t="str">
        <f t="shared" si="55"/>
        <v/>
      </c>
      <c r="CC57" s="207" t="str">
        <f t="shared" si="56"/>
        <v/>
      </c>
      <c r="CD57" s="208" t="str">
        <f t="shared" si="30"/>
        <v/>
      </c>
    </row>
    <row r="58" spans="3:82" x14ac:dyDescent="0.25">
      <c r="C58" s="44">
        <v>52</v>
      </c>
      <c r="D58" s="149"/>
      <c r="E58" s="149"/>
      <c r="F58" s="55">
        <v>6</v>
      </c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W58" s="127">
        <f t="shared" si="31"/>
        <v>6</v>
      </c>
      <c r="X58">
        <f t="shared" si="32"/>
        <v>1</v>
      </c>
      <c r="Y58" t="b">
        <f>LOOKUP($C58,Table7[Sample Name],Table7[Positive])</f>
        <v>1</v>
      </c>
      <c r="Z58" t="b">
        <f>LOOKUP($C58,Table7[Sample Name],Table7[Disseminated])</f>
        <v>1</v>
      </c>
      <c r="AA58">
        <f t="shared" si="33"/>
        <v>6</v>
      </c>
      <c r="AD58" s="325">
        <v>52</v>
      </c>
      <c r="AE58" s="43">
        <v>6</v>
      </c>
      <c r="AF58" s="128"/>
      <c r="AG58">
        <f t="shared" si="26"/>
        <v>6</v>
      </c>
      <c r="AH58">
        <f t="shared" si="27"/>
        <v>1</v>
      </c>
      <c r="AJ58" s="207">
        <v>52</v>
      </c>
      <c r="AK58" s="127" t="str">
        <f t="shared" si="34"/>
        <v/>
      </c>
      <c r="AL58" s="128" t="str">
        <f t="shared" si="35"/>
        <v/>
      </c>
      <c r="AM58">
        <f t="shared" si="28"/>
        <v>0</v>
      </c>
      <c r="AO58">
        <f t="shared" si="29"/>
        <v>-6</v>
      </c>
      <c r="BB58" s="134">
        <f t="shared" si="36"/>
        <v>6</v>
      </c>
      <c r="BC58" s="44">
        <v>52</v>
      </c>
      <c r="BD58" s="149">
        <f t="shared" si="37"/>
        <v>0</v>
      </c>
      <c r="BE58" s="149">
        <f t="shared" si="38"/>
        <v>0</v>
      </c>
      <c r="BF58" s="149">
        <f t="shared" si="39"/>
        <v>1</v>
      </c>
      <c r="BG58" s="149">
        <f t="shared" si="40"/>
        <v>0</v>
      </c>
      <c r="BH58" s="149">
        <f t="shared" si="41"/>
        <v>0</v>
      </c>
      <c r="BI58" s="149">
        <f t="shared" si="42"/>
        <v>0</v>
      </c>
      <c r="BJ58" s="149">
        <f t="shared" si="43"/>
        <v>0</v>
      </c>
      <c r="BK58" s="149" t="str">
        <f>IFERROR(#REF!/$BB58,"")</f>
        <v/>
      </c>
      <c r="BL58" s="149" t="str">
        <f>IFERROR(#REF!/$BB58,"")</f>
        <v/>
      </c>
      <c r="BM58" s="149">
        <f t="shared" si="44"/>
        <v>0</v>
      </c>
      <c r="BN58" s="149">
        <f t="shared" si="45"/>
        <v>0</v>
      </c>
      <c r="BO58" s="149">
        <f t="shared" si="46"/>
        <v>0</v>
      </c>
      <c r="BP58" s="149">
        <f t="shared" si="47"/>
        <v>0</v>
      </c>
      <c r="BQ58" s="149">
        <f t="shared" si="48"/>
        <v>0</v>
      </c>
      <c r="BR58" s="149" t="str">
        <f>IFERROR(#REF!/$BB58,"")</f>
        <v/>
      </c>
      <c r="BS58" s="149" t="str">
        <f>IFERROR(#REF!/$BB58,"")</f>
        <v/>
      </c>
      <c r="BT58" s="149">
        <f t="shared" si="49"/>
        <v>0</v>
      </c>
      <c r="BU58" s="149">
        <f t="shared" si="50"/>
        <v>0</v>
      </c>
      <c r="BV58" s="149">
        <f t="shared" si="51"/>
        <v>0</v>
      </c>
      <c r="BW58" s="149">
        <f t="shared" si="52"/>
        <v>0</v>
      </c>
      <c r="BX58" s="149">
        <f t="shared" si="53"/>
        <v>0</v>
      </c>
      <c r="BY58" s="149" t="str">
        <f>IFERROR(#REF!/$BB58,"")</f>
        <v/>
      </c>
      <c r="BZ58" s="149" t="str">
        <f>IFERROR(#REF!/$BB58,"")</f>
        <v/>
      </c>
      <c r="CA58" s="149">
        <f t="shared" si="54"/>
        <v>0</v>
      </c>
      <c r="CB58" s="149">
        <f t="shared" si="55"/>
        <v>0</v>
      </c>
      <c r="CC58" s="207">
        <f t="shared" si="56"/>
        <v>1</v>
      </c>
      <c r="CD58" s="208" t="b">
        <f t="shared" si="30"/>
        <v>1</v>
      </c>
    </row>
    <row r="59" spans="3:82" x14ac:dyDescent="0.25">
      <c r="C59" s="44">
        <v>53</v>
      </c>
      <c r="D59" s="149"/>
      <c r="E59" s="149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W59" s="127">
        <f t="shared" si="31"/>
        <v>0</v>
      </c>
      <c r="X59">
        <f t="shared" si="32"/>
        <v>0</v>
      </c>
      <c r="Y59" t="b">
        <f>LOOKUP($C59,Table7[Sample Name],Table7[Positive])</f>
        <v>1</v>
      </c>
      <c r="Z59" t="str">
        <f>LOOKUP($C59,Table7[Sample Name],Table7[Disseminated])</f>
        <v>N/A</v>
      </c>
      <c r="AA59">
        <f t="shared" si="33"/>
        <v>0</v>
      </c>
      <c r="AD59" s="325">
        <v>53</v>
      </c>
      <c r="AE59" s="43">
        <v>0</v>
      </c>
      <c r="AF59" s="128"/>
      <c r="AG59">
        <f t="shared" si="26"/>
        <v>0</v>
      </c>
      <c r="AH59">
        <f t="shared" si="27"/>
        <v>0</v>
      </c>
      <c r="AJ59" s="207">
        <v>53</v>
      </c>
      <c r="AK59" s="127" t="str">
        <f t="shared" si="34"/>
        <v/>
      </c>
      <c r="AL59" s="128" t="str">
        <f t="shared" si="35"/>
        <v/>
      </c>
      <c r="AM59">
        <f t="shared" si="28"/>
        <v>0</v>
      </c>
      <c r="AO59">
        <f t="shared" si="29"/>
        <v>0</v>
      </c>
      <c r="BB59" s="134" t="str">
        <f t="shared" si="36"/>
        <v/>
      </c>
      <c r="BC59" s="44">
        <v>53</v>
      </c>
      <c r="BD59" s="149" t="str">
        <f t="shared" si="37"/>
        <v/>
      </c>
      <c r="BE59" s="149" t="str">
        <f t="shared" si="38"/>
        <v/>
      </c>
      <c r="BF59" s="149" t="str">
        <f t="shared" si="39"/>
        <v/>
      </c>
      <c r="BG59" s="149" t="str">
        <f t="shared" si="40"/>
        <v/>
      </c>
      <c r="BH59" s="149" t="str">
        <f t="shared" si="41"/>
        <v/>
      </c>
      <c r="BI59" s="149" t="str">
        <f t="shared" si="42"/>
        <v/>
      </c>
      <c r="BJ59" s="149" t="str">
        <f t="shared" si="43"/>
        <v/>
      </c>
      <c r="BK59" s="149" t="str">
        <f>IFERROR(#REF!/$BB59,"")</f>
        <v/>
      </c>
      <c r="BL59" s="149" t="str">
        <f>IFERROR(#REF!/$BB59,"")</f>
        <v/>
      </c>
      <c r="BM59" s="149" t="str">
        <f t="shared" si="44"/>
        <v/>
      </c>
      <c r="BN59" s="149" t="str">
        <f t="shared" si="45"/>
        <v/>
      </c>
      <c r="BO59" s="149" t="str">
        <f t="shared" si="46"/>
        <v/>
      </c>
      <c r="BP59" s="149" t="str">
        <f t="shared" si="47"/>
        <v/>
      </c>
      <c r="BQ59" s="149" t="str">
        <f t="shared" si="48"/>
        <v/>
      </c>
      <c r="BR59" s="149" t="str">
        <f>IFERROR(#REF!/$BB59,"")</f>
        <v/>
      </c>
      <c r="BS59" s="149" t="str">
        <f>IFERROR(#REF!/$BB59,"")</f>
        <v/>
      </c>
      <c r="BT59" s="149" t="str">
        <f t="shared" si="49"/>
        <v/>
      </c>
      <c r="BU59" s="149" t="str">
        <f t="shared" si="50"/>
        <v/>
      </c>
      <c r="BV59" s="149" t="str">
        <f t="shared" si="51"/>
        <v/>
      </c>
      <c r="BW59" s="149" t="str">
        <f t="shared" si="52"/>
        <v/>
      </c>
      <c r="BX59" s="149" t="str">
        <f t="shared" si="53"/>
        <v/>
      </c>
      <c r="BY59" s="149" t="str">
        <f>IFERROR(#REF!/$BB59,"")</f>
        <v/>
      </c>
      <c r="BZ59" s="149" t="str">
        <f>IFERROR(#REF!/$BB59,"")</f>
        <v/>
      </c>
      <c r="CA59" s="149" t="str">
        <f t="shared" si="54"/>
        <v/>
      </c>
      <c r="CB59" s="149" t="str">
        <f t="shared" si="55"/>
        <v/>
      </c>
      <c r="CC59" s="207" t="str">
        <f t="shared" si="56"/>
        <v/>
      </c>
      <c r="CD59" s="208" t="str">
        <f t="shared" si="30"/>
        <v/>
      </c>
    </row>
    <row r="60" spans="3:82" x14ac:dyDescent="0.25">
      <c r="C60" s="44">
        <v>54</v>
      </c>
      <c r="D60" s="149"/>
      <c r="E60" s="149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W60" s="127">
        <f t="shared" si="31"/>
        <v>0</v>
      </c>
      <c r="X60">
        <f t="shared" si="32"/>
        <v>0</v>
      </c>
      <c r="Y60" t="b">
        <f>LOOKUP($C60,Table7[Sample Name],Table7[Positive])</f>
        <v>1</v>
      </c>
      <c r="Z60" t="b">
        <f>LOOKUP($C60,Table7[Sample Name],Table7[Disseminated])</f>
        <v>0</v>
      </c>
      <c r="AA60">
        <f t="shared" si="33"/>
        <v>0</v>
      </c>
      <c r="AD60" s="325">
        <v>54</v>
      </c>
      <c r="AE60" s="43">
        <v>0</v>
      </c>
      <c r="AF60" s="128"/>
      <c r="AG60">
        <f t="shared" si="26"/>
        <v>0</v>
      </c>
      <c r="AH60">
        <f t="shared" si="27"/>
        <v>0</v>
      </c>
      <c r="AJ60" s="207">
        <v>54</v>
      </c>
      <c r="AK60" s="127" t="str">
        <f t="shared" si="34"/>
        <v/>
      </c>
      <c r="AL60" s="128" t="str">
        <f t="shared" si="35"/>
        <v/>
      </c>
      <c r="AM60">
        <f t="shared" si="28"/>
        <v>0</v>
      </c>
      <c r="AO60">
        <f t="shared" si="29"/>
        <v>0</v>
      </c>
      <c r="BB60" s="134" t="str">
        <f t="shared" si="36"/>
        <v/>
      </c>
      <c r="BC60" s="44">
        <v>54</v>
      </c>
      <c r="BD60" s="149" t="str">
        <f t="shared" si="37"/>
        <v/>
      </c>
      <c r="BE60" s="149" t="str">
        <f t="shared" si="38"/>
        <v/>
      </c>
      <c r="BF60" s="149" t="str">
        <f t="shared" si="39"/>
        <v/>
      </c>
      <c r="BG60" s="149" t="str">
        <f t="shared" si="40"/>
        <v/>
      </c>
      <c r="BH60" s="149" t="str">
        <f t="shared" si="41"/>
        <v/>
      </c>
      <c r="BI60" s="149" t="str">
        <f t="shared" si="42"/>
        <v/>
      </c>
      <c r="BJ60" s="149" t="str">
        <f t="shared" si="43"/>
        <v/>
      </c>
      <c r="BK60" s="149" t="str">
        <f>IFERROR(#REF!/$BB60,"")</f>
        <v/>
      </c>
      <c r="BL60" s="149" t="str">
        <f>IFERROR(#REF!/$BB60,"")</f>
        <v/>
      </c>
      <c r="BM60" s="149" t="str">
        <f t="shared" si="44"/>
        <v/>
      </c>
      <c r="BN60" s="149" t="str">
        <f t="shared" si="45"/>
        <v/>
      </c>
      <c r="BO60" s="149" t="str">
        <f t="shared" si="46"/>
        <v/>
      </c>
      <c r="BP60" s="149" t="str">
        <f t="shared" si="47"/>
        <v/>
      </c>
      <c r="BQ60" s="149" t="str">
        <f t="shared" si="48"/>
        <v/>
      </c>
      <c r="BR60" s="149" t="str">
        <f>IFERROR(#REF!/$BB60,"")</f>
        <v/>
      </c>
      <c r="BS60" s="149" t="str">
        <f>IFERROR(#REF!/$BB60,"")</f>
        <v/>
      </c>
      <c r="BT60" s="149" t="str">
        <f t="shared" si="49"/>
        <v/>
      </c>
      <c r="BU60" s="149" t="str">
        <f t="shared" si="50"/>
        <v/>
      </c>
      <c r="BV60" s="149" t="str">
        <f t="shared" si="51"/>
        <v/>
      </c>
      <c r="BW60" s="149" t="str">
        <f t="shared" si="52"/>
        <v/>
      </c>
      <c r="BX60" s="149" t="str">
        <f t="shared" si="53"/>
        <v/>
      </c>
      <c r="BY60" s="149" t="str">
        <f>IFERROR(#REF!/$BB60,"")</f>
        <v/>
      </c>
      <c r="BZ60" s="149" t="str">
        <f>IFERROR(#REF!/$BB60,"")</f>
        <v/>
      </c>
      <c r="CA60" s="149" t="str">
        <f t="shared" si="54"/>
        <v/>
      </c>
      <c r="CB60" s="149" t="str">
        <f t="shared" si="55"/>
        <v/>
      </c>
      <c r="CC60" s="207" t="str">
        <f t="shared" si="56"/>
        <v/>
      </c>
      <c r="CD60" s="208" t="str">
        <f t="shared" si="30"/>
        <v/>
      </c>
    </row>
    <row r="61" spans="3:82" x14ac:dyDescent="0.25">
      <c r="C61" s="44">
        <v>55</v>
      </c>
      <c r="D61" s="149"/>
      <c r="E61" s="149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W61" s="127">
        <f t="shared" si="31"/>
        <v>0</v>
      </c>
      <c r="X61">
        <f t="shared" si="32"/>
        <v>0</v>
      </c>
      <c r="Y61" t="b">
        <f>LOOKUP($C61,Table7[Sample Name],Table7[Positive])</f>
        <v>1</v>
      </c>
      <c r="Z61" t="b">
        <f>LOOKUP($C61,Table7[Sample Name],Table7[Disseminated])</f>
        <v>1</v>
      </c>
      <c r="AA61">
        <f t="shared" si="33"/>
        <v>0</v>
      </c>
      <c r="AD61" s="325">
        <v>55</v>
      </c>
      <c r="AE61" s="43">
        <v>0</v>
      </c>
      <c r="AF61" s="128"/>
      <c r="AG61">
        <f t="shared" si="26"/>
        <v>0</v>
      </c>
      <c r="AH61">
        <f t="shared" si="27"/>
        <v>0</v>
      </c>
      <c r="AJ61" s="207">
        <v>55</v>
      </c>
      <c r="AK61" s="127" t="str">
        <f t="shared" si="34"/>
        <v/>
      </c>
      <c r="AL61" s="128" t="str">
        <f t="shared" si="35"/>
        <v/>
      </c>
      <c r="AM61">
        <f t="shared" si="28"/>
        <v>0</v>
      </c>
      <c r="AO61">
        <f t="shared" si="29"/>
        <v>0</v>
      </c>
      <c r="BB61" s="134" t="str">
        <f t="shared" si="36"/>
        <v/>
      </c>
      <c r="BC61" s="44">
        <v>55</v>
      </c>
      <c r="BD61" s="149" t="str">
        <f t="shared" si="37"/>
        <v/>
      </c>
      <c r="BE61" s="149" t="str">
        <f t="shared" si="38"/>
        <v/>
      </c>
      <c r="BF61" s="149" t="str">
        <f t="shared" si="39"/>
        <v/>
      </c>
      <c r="BG61" s="149" t="str">
        <f t="shared" si="40"/>
        <v/>
      </c>
      <c r="BH61" s="149" t="str">
        <f t="shared" si="41"/>
        <v/>
      </c>
      <c r="BI61" s="149" t="str">
        <f t="shared" si="42"/>
        <v/>
      </c>
      <c r="BJ61" s="149" t="str">
        <f t="shared" si="43"/>
        <v/>
      </c>
      <c r="BK61" s="149" t="str">
        <f>IFERROR(#REF!/$BB61,"")</f>
        <v/>
      </c>
      <c r="BL61" s="149" t="str">
        <f>IFERROR(#REF!/$BB61,"")</f>
        <v/>
      </c>
      <c r="BM61" s="149" t="str">
        <f t="shared" si="44"/>
        <v/>
      </c>
      <c r="BN61" s="149" t="str">
        <f t="shared" si="45"/>
        <v/>
      </c>
      <c r="BO61" s="149" t="str">
        <f t="shared" si="46"/>
        <v/>
      </c>
      <c r="BP61" s="149" t="str">
        <f t="shared" si="47"/>
        <v/>
      </c>
      <c r="BQ61" s="149" t="str">
        <f t="shared" si="48"/>
        <v/>
      </c>
      <c r="BR61" s="149" t="str">
        <f>IFERROR(#REF!/$BB61,"")</f>
        <v/>
      </c>
      <c r="BS61" s="149" t="str">
        <f>IFERROR(#REF!/$BB61,"")</f>
        <v/>
      </c>
      <c r="BT61" s="149" t="str">
        <f t="shared" si="49"/>
        <v/>
      </c>
      <c r="BU61" s="149" t="str">
        <f t="shared" si="50"/>
        <v/>
      </c>
      <c r="BV61" s="149" t="str">
        <f t="shared" si="51"/>
        <v/>
      </c>
      <c r="BW61" s="149" t="str">
        <f t="shared" si="52"/>
        <v/>
      </c>
      <c r="BX61" s="149" t="str">
        <f t="shared" si="53"/>
        <v/>
      </c>
      <c r="BY61" s="149" t="str">
        <f>IFERROR(#REF!/$BB61,"")</f>
        <v/>
      </c>
      <c r="BZ61" s="149" t="str">
        <f>IFERROR(#REF!/$BB61,"")</f>
        <v/>
      </c>
      <c r="CA61" s="149" t="str">
        <f t="shared" si="54"/>
        <v/>
      </c>
      <c r="CB61" s="149" t="str">
        <f t="shared" si="55"/>
        <v/>
      </c>
      <c r="CC61" s="207" t="str">
        <f t="shared" si="56"/>
        <v/>
      </c>
      <c r="CD61" s="208" t="str">
        <f t="shared" si="30"/>
        <v/>
      </c>
    </row>
    <row r="62" spans="3:82" x14ac:dyDescent="0.25">
      <c r="C62" s="44">
        <v>56</v>
      </c>
      <c r="D62" s="149"/>
      <c r="E62" s="149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W62" s="127">
        <f t="shared" si="31"/>
        <v>0</v>
      </c>
      <c r="X62">
        <f t="shared" si="32"/>
        <v>0</v>
      </c>
      <c r="Y62" t="b">
        <f>LOOKUP($C62,Table7[Sample Name],Table7[Positive])</f>
        <v>1</v>
      </c>
      <c r="Z62" t="b">
        <f>LOOKUP($C62,Table7[Sample Name],Table7[Disseminated])</f>
        <v>1</v>
      </c>
      <c r="AA62">
        <f t="shared" si="33"/>
        <v>0</v>
      </c>
      <c r="AD62" s="325">
        <v>56</v>
      </c>
      <c r="AE62" s="43">
        <v>0</v>
      </c>
      <c r="AF62" s="128"/>
      <c r="AG62">
        <f t="shared" si="26"/>
        <v>0</v>
      </c>
      <c r="AH62">
        <f t="shared" si="27"/>
        <v>0</v>
      </c>
      <c r="AJ62" s="207">
        <v>56</v>
      </c>
      <c r="AK62" s="127" t="str">
        <f t="shared" si="34"/>
        <v/>
      </c>
      <c r="AL62" s="128" t="str">
        <f t="shared" si="35"/>
        <v/>
      </c>
      <c r="AM62">
        <f t="shared" si="28"/>
        <v>0</v>
      </c>
      <c r="AO62">
        <f t="shared" si="29"/>
        <v>0</v>
      </c>
      <c r="BB62" s="134" t="str">
        <f t="shared" si="36"/>
        <v/>
      </c>
      <c r="BC62" s="44">
        <v>56</v>
      </c>
      <c r="BD62" s="149" t="str">
        <f t="shared" si="37"/>
        <v/>
      </c>
      <c r="BE62" s="149" t="str">
        <f t="shared" si="38"/>
        <v/>
      </c>
      <c r="BF62" s="149" t="str">
        <f t="shared" si="39"/>
        <v/>
      </c>
      <c r="BG62" s="149" t="str">
        <f t="shared" si="40"/>
        <v/>
      </c>
      <c r="BH62" s="149" t="str">
        <f t="shared" si="41"/>
        <v/>
      </c>
      <c r="BI62" s="149" t="str">
        <f t="shared" si="42"/>
        <v/>
      </c>
      <c r="BJ62" s="149" t="str">
        <f t="shared" si="43"/>
        <v/>
      </c>
      <c r="BK62" s="149" t="str">
        <f>IFERROR(#REF!/$BB62,"")</f>
        <v/>
      </c>
      <c r="BL62" s="149" t="str">
        <f>IFERROR(#REF!/$BB62,"")</f>
        <v/>
      </c>
      <c r="BM62" s="149" t="str">
        <f t="shared" si="44"/>
        <v/>
      </c>
      <c r="BN62" s="149" t="str">
        <f t="shared" si="45"/>
        <v/>
      </c>
      <c r="BO62" s="149" t="str">
        <f t="shared" si="46"/>
        <v/>
      </c>
      <c r="BP62" s="149" t="str">
        <f t="shared" si="47"/>
        <v/>
      </c>
      <c r="BQ62" s="149" t="str">
        <f t="shared" si="48"/>
        <v/>
      </c>
      <c r="BR62" s="149" t="str">
        <f>IFERROR(#REF!/$BB62,"")</f>
        <v/>
      </c>
      <c r="BS62" s="149" t="str">
        <f>IFERROR(#REF!/$BB62,"")</f>
        <v/>
      </c>
      <c r="BT62" s="149" t="str">
        <f t="shared" si="49"/>
        <v/>
      </c>
      <c r="BU62" s="149" t="str">
        <f t="shared" si="50"/>
        <v/>
      </c>
      <c r="BV62" s="149" t="str">
        <f t="shared" si="51"/>
        <v/>
      </c>
      <c r="BW62" s="149" t="str">
        <f t="shared" si="52"/>
        <v/>
      </c>
      <c r="BX62" s="149" t="str">
        <f t="shared" si="53"/>
        <v/>
      </c>
      <c r="BY62" s="149" t="str">
        <f>IFERROR(#REF!/$BB62,"")</f>
        <v/>
      </c>
      <c r="BZ62" s="149" t="str">
        <f>IFERROR(#REF!/$BB62,"")</f>
        <v/>
      </c>
      <c r="CA62" s="149" t="str">
        <f t="shared" si="54"/>
        <v/>
      </c>
      <c r="CB62" s="149" t="str">
        <f t="shared" si="55"/>
        <v/>
      </c>
      <c r="CC62" s="207" t="str">
        <f t="shared" si="56"/>
        <v/>
      </c>
      <c r="CD62" s="208" t="str">
        <f t="shared" si="30"/>
        <v/>
      </c>
    </row>
    <row r="63" spans="3:82" x14ac:dyDescent="0.25">
      <c r="C63" s="44">
        <v>57</v>
      </c>
      <c r="D63" s="149"/>
      <c r="E63" s="149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W63" s="127">
        <f t="shared" si="31"/>
        <v>0</v>
      </c>
      <c r="X63">
        <f t="shared" si="32"/>
        <v>0</v>
      </c>
      <c r="Y63" t="b">
        <f>LOOKUP($C63,Table7[Sample Name],Table7[Positive])</f>
        <v>0</v>
      </c>
      <c r="Z63" t="str">
        <f>LOOKUP($C63,Table7[Sample Name],Table7[Disseminated])</f>
        <v>N/A</v>
      </c>
      <c r="AA63">
        <f t="shared" si="33"/>
        <v>0</v>
      </c>
      <c r="AD63" s="325">
        <v>57</v>
      </c>
      <c r="AE63" s="43">
        <v>0</v>
      </c>
      <c r="AF63" s="128"/>
      <c r="AG63">
        <f t="shared" si="26"/>
        <v>0</v>
      </c>
      <c r="AH63">
        <f t="shared" si="27"/>
        <v>0</v>
      </c>
      <c r="AJ63" s="207">
        <v>57</v>
      </c>
      <c r="AK63" s="127" t="str">
        <f t="shared" si="34"/>
        <v/>
      </c>
      <c r="AL63" s="128" t="str">
        <f t="shared" si="35"/>
        <v/>
      </c>
      <c r="AM63">
        <f t="shared" si="28"/>
        <v>0</v>
      </c>
      <c r="AO63">
        <f t="shared" si="29"/>
        <v>0</v>
      </c>
      <c r="BB63" s="134" t="str">
        <f t="shared" si="36"/>
        <v/>
      </c>
      <c r="BC63" s="44">
        <v>57</v>
      </c>
      <c r="BD63" s="149" t="str">
        <f t="shared" si="37"/>
        <v/>
      </c>
      <c r="BE63" s="149" t="str">
        <f t="shared" si="38"/>
        <v/>
      </c>
      <c r="BF63" s="149" t="str">
        <f t="shared" si="39"/>
        <v/>
      </c>
      <c r="BG63" s="149" t="str">
        <f t="shared" si="40"/>
        <v/>
      </c>
      <c r="BH63" s="149" t="str">
        <f t="shared" si="41"/>
        <v/>
      </c>
      <c r="BI63" s="149" t="str">
        <f t="shared" si="42"/>
        <v/>
      </c>
      <c r="BJ63" s="149" t="str">
        <f t="shared" si="43"/>
        <v/>
      </c>
      <c r="BK63" s="149" t="str">
        <f>IFERROR(#REF!/$BB63,"")</f>
        <v/>
      </c>
      <c r="BL63" s="149" t="str">
        <f>IFERROR(#REF!/$BB63,"")</f>
        <v/>
      </c>
      <c r="BM63" s="149" t="str">
        <f t="shared" si="44"/>
        <v/>
      </c>
      <c r="BN63" s="149" t="str">
        <f t="shared" si="45"/>
        <v/>
      </c>
      <c r="BO63" s="149" t="str">
        <f t="shared" si="46"/>
        <v/>
      </c>
      <c r="BP63" s="149" t="str">
        <f t="shared" si="47"/>
        <v/>
      </c>
      <c r="BQ63" s="149" t="str">
        <f t="shared" si="48"/>
        <v/>
      </c>
      <c r="BR63" s="149" t="str">
        <f>IFERROR(#REF!/$BB63,"")</f>
        <v/>
      </c>
      <c r="BS63" s="149" t="str">
        <f>IFERROR(#REF!/$BB63,"")</f>
        <v/>
      </c>
      <c r="BT63" s="149" t="str">
        <f t="shared" si="49"/>
        <v/>
      </c>
      <c r="BU63" s="149" t="str">
        <f t="shared" si="50"/>
        <v/>
      </c>
      <c r="BV63" s="149" t="str">
        <f t="shared" si="51"/>
        <v/>
      </c>
      <c r="BW63" s="149" t="str">
        <f t="shared" si="52"/>
        <v/>
      </c>
      <c r="BX63" s="149" t="str">
        <f t="shared" si="53"/>
        <v/>
      </c>
      <c r="BY63" s="149" t="str">
        <f>IFERROR(#REF!/$BB63,"")</f>
        <v/>
      </c>
      <c r="BZ63" s="149" t="str">
        <f>IFERROR(#REF!/$BB63,"")</f>
        <v/>
      </c>
      <c r="CA63" s="149" t="str">
        <f t="shared" si="54"/>
        <v/>
      </c>
      <c r="CB63" s="149" t="str">
        <f t="shared" si="55"/>
        <v/>
      </c>
      <c r="CC63" s="207" t="str">
        <f t="shared" si="56"/>
        <v/>
      </c>
      <c r="CD63" s="208" t="str">
        <f t="shared" si="30"/>
        <v/>
      </c>
    </row>
    <row r="64" spans="3:82" x14ac:dyDescent="0.25">
      <c r="C64" s="44">
        <v>58</v>
      </c>
      <c r="D64" s="149"/>
      <c r="E64" s="149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W64" s="127">
        <f t="shared" si="31"/>
        <v>0</v>
      </c>
      <c r="X64">
        <f t="shared" si="32"/>
        <v>0</v>
      </c>
      <c r="Y64" t="b">
        <f>LOOKUP($C64,Table7[Sample Name],Table7[Positive])</f>
        <v>0</v>
      </c>
      <c r="Z64" t="str">
        <f>LOOKUP($C64,Table7[Sample Name],Table7[Disseminated])</f>
        <v>N/A</v>
      </c>
      <c r="AA64">
        <f t="shared" si="33"/>
        <v>0</v>
      </c>
      <c r="AD64" s="325">
        <v>58</v>
      </c>
      <c r="AE64" s="43">
        <v>0</v>
      </c>
      <c r="AF64" s="128"/>
      <c r="AG64">
        <f t="shared" si="26"/>
        <v>0</v>
      </c>
      <c r="AH64">
        <f t="shared" si="27"/>
        <v>0</v>
      </c>
      <c r="AJ64" s="207">
        <v>58</v>
      </c>
      <c r="AK64" s="127" t="str">
        <f t="shared" si="34"/>
        <v/>
      </c>
      <c r="AL64" s="128" t="str">
        <f t="shared" si="35"/>
        <v/>
      </c>
      <c r="AM64">
        <f t="shared" si="28"/>
        <v>0</v>
      </c>
      <c r="AO64">
        <f t="shared" si="29"/>
        <v>0</v>
      </c>
      <c r="BB64" s="134" t="str">
        <f t="shared" si="36"/>
        <v/>
      </c>
      <c r="BC64" s="44">
        <v>58</v>
      </c>
      <c r="BD64" s="149" t="str">
        <f t="shared" si="37"/>
        <v/>
      </c>
      <c r="BE64" s="149" t="str">
        <f t="shared" si="38"/>
        <v/>
      </c>
      <c r="BF64" s="149" t="str">
        <f t="shared" si="39"/>
        <v/>
      </c>
      <c r="BG64" s="149" t="str">
        <f t="shared" si="40"/>
        <v/>
      </c>
      <c r="BH64" s="149" t="str">
        <f t="shared" si="41"/>
        <v/>
      </c>
      <c r="BI64" s="149" t="str">
        <f t="shared" si="42"/>
        <v/>
      </c>
      <c r="BJ64" s="149" t="str">
        <f t="shared" si="43"/>
        <v/>
      </c>
      <c r="BK64" s="149" t="str">
        <f>IFERROR(#REF!/$BB64,"")</f>
        <v/>
      </c>
      <c r="BL64" s="149" t="str">
        <f>IFERROR(#REF!/$BB64,"")</f>
        <v/>
      </c>
      <c r="BM64" s="149" t="str">
        <f t="shared" si="44"/>
        <v/>
      </c>
      <c r="BN64" s="149" t="str">
        <f t="shared" si="45"/>
        <v/>
      </c>
      <c r="BO64" s="149" t="str">
        <f t="shared" si="46"/>
        <v/>
      </c>
      <c r="BP64" s="149" t="str">
        <f t="shared" si="47"/>
        <v/>
      </c>
      <c r="BQ64" s="149" t="str">
        <f t="shared" si="48"/>
        <v/>
      </c>
      <c r="BR64" s="149" t="str">
        <f>IFERROR(#REF!/$BB64,"")</f>
        <v/>
      </c>
      <c r="BS64" s="149" t="str">
        <f>IFERROR(#REF!/$BB64,"")</f>
        <v/>
      </c>
      <c r="BT64" s="149" t="str">
        <f t="shared" si="49"/>
        <v/>
      </c>
      <c r="BU64" s="149" t="str">
        <f t="shared" si="50"/>
        <v/>
      </c>
      <c r="BV64" s="149" t="str">
        <f t="shared" si="51"/>
        <v/>
      </c>
      <c r="BW64" s="149" t="str">
        <f t="shared" si="52"/>
        <v/>
      </c>
      <c r="BX64" s="149" t="str">
        <f t="shared" si="53"/>
        <v/>
      </c>
      <c r="BY64" s="149" t="str">
        <f>IFERROR(#REF!/$BB64,"")</f>
        <v/>
      </c>
      <c r="BZ64" s="149" t="str">
        <f>IFERROR(#REF!/$BB64,"")</f>
        <v/>
      </c>
      <c r="CA64" s="149" t="str">
        <f t="shared" si="54"/>
        <v/>
      </c>
      <c r="CB64" s="149" t="str">
        <f t="shared" si="55"/>
        <v/>
      </c>
      <c r="CC64" s="207" t="str">
        <f t="shared" si="56"/>
        <v/>
      </c>
      <c r="CD64" s="208" t="str">
        <f t="shared" si="30"/>
        <v/>
      </c>
    </row>
    <row r="65" spans="3:82" x14ac:dyDescent="0.25">
      <c r="C65" s="44">
        <v>59</v>
      </c>
      <c r="D65" s="149"/>
      <c r="E65" s="149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W65" s="127">
        <f t="shared" si="31"/>
        <v>0</v>
      </c>
      <c r="X65">
        <f t="shared" si="32"/>
        <v>0</v>
      </c>
      <c r="Y65" t="b">
        <f>LOOKUP($C65,Table7[Sample Name],Table7[Positive])</f>
        <v>1</v>
      </c>
      <c r="Z65" t="b">
        <f>LOOKUP($C65,Table7[Sample Name],Table7[Disseminated])</f>
        <v>1</v>
      </c>
      <c r="AA65">
        <f t="shared" si="33"/>
        <v>0</v>
      </c>
      <c r="AD65" s="325">
        <v>59</v>
      </c>
      <c r="AE65" s="43">
        <v>0</v>
      </c>
      <c r="AF65" s="128"/>
      <c r="AG65">
        <f t="shared" si="26"/>
        <v>0</v>
      </c>
      <c r="AH65">
        <f t="shared" si="27"/>
        <v>0</v>
      </c>
      <c r="AJ65" s="207">
        <v>59</v>
      </c>
      <c r="AK65" s="127" t="str">
        <f t="shared" si="34"/>
        <v/>
      </c>
      <c r="AL65" s="128" t="str">
        <f t="shared" si="35"/>
        <v/>
      </c>
      <c r="AM65">
        <f t="shared" si="28"/>
        <v>0</v>
      </c>
      <c r="AO65">
        <f t="shared" si="29"/>
        <v>0</v>
      </c>
      <c r="BB65" s="134" t="str">
        <f t="shared" si="36"/>
        <v/>
      </c>
      <c r="BC65" s="44">
        <v>59</v>
      </c>
      <c r="BD65" s="149" t="str">
        <f t="shared" si="37"/>
        <v/>
      </c>
      <c r="BE65" s="149" t="str">
        <f t="shared" si="38"/>
        <v/>
      </c>
      <c r="BF65" s="149" t="str">
        <f t="shared" si="39"/>
        <v/>
      </c>
      <c r="BG65" s="149" t="str">
        <f t="shared" si="40"/>
        <v/>
      </c>
      <c r="BH65" s="149" t="str">
        <f t="shared" si="41"/>
        <v/>
      </c>
      <c r="BI65" s="149" t="str">
        <f t="shared" si="42"/>
        <v/>
      </c>
      <c r="BJ65" s="149" t="str">
        <f t="shared" si="43"/>
        <v/>
      </c>
      <c r="BK65" s="149" t="str">
        <f>IFERROR(#REF!/$BB65,"")</f>
        <v/>
      </c>
      <c r="BL65" s="149" t="str">
        <f>IFERROR(#REF!/$BB65,"")</f>
        <v/>
      </c>
      <c r="BM65" s="149" t="str">
        <f t="shared" si="44"/>
        <v/>
      </c>
      <c r="BN65" s="149" t="str">
        <f t="shared" si="45"/>
        <v/>
      </c>
      <c r="BO65" s="149" t="str">
        <f t="shared" si="46"/>
        <v/>
      </c>
      <c r="BP65" s="149" t="str">
        <f t="shared" si="47"/>
        <v/>
      </c>
      <c r="BQ65" s="149" t="str">
        <f t="shared" si="48"/>
        <v/>
      </c>
      <c r="BR65" s="149" t="str">
        <f>IFERROR(#REF!/$BB65,"")</f>
        <v/>
      </c>
      <c r="BS65" s="149" t="str">
        <f>IFERROR(#REF!/$BB65,"")</f>
        <v/>
      </c>
      <c r="BT65" s="149" t="str">
        <f t="shared" si="49"/>
        <v/>
      </c>
      <c r="BU65" s="149" t="str">
        <f t="shared" si="50"/>
        <v/>
      </c>
      <c r="BV65" s="149" t="str">
        <f t="shared" si="51"/>
        <v/>
      </c>
      <c r="BW65" s="149" t="str">
        <f t="shared" si="52"/>
        <v/>
      </c>
      <c r="BX65" s="149" t="str">
        <f t="shared" si="53"/>
        <v/>
      </c>
      <c r="BY65" s="149" t="str">
        <f>IFERROR(#REF!/$BB65,"")</f>
        <v/>
      </c>
      <c r="BZ65" s="149" t="str">
        <f>IFERROR(#REF!/$BB65,"")</f>
        <v/>
      </c>
      <c r="CA65" s="149" t="str">
        <f t="shared" si="54"/>
        <v/>
      </c>
      <c r="CB65" s="149" t="str">
        <f t="shared" si="55"/>
        <v/>
      </c>
      <c r="CC65" s="207" t="str">
        <f t="shared" si="56"/>
        <v/>
      </c>
      <c r="CD65" s="208" t="str">
        <f t="shared" si="30"/>
        <v/>
      </c>
    </row>
    <row r="66" spans="3:82" x14ac:dyDescent="0.25">
      <c r="C66" s="44">
        <v>60</v>
      </c>
      <c r="D66" s="149"/>
      <c r="E66" s="149"/>
      <c r="F66" s="55">
        <v>0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W66" s="127">
        <f t="shared" si="31"/>
        <v>0</v>
      </c>
      <c r="X66">
        <f t="shared" si="32"/>
        <v>0</v>
      </c>
      <c r="Y66" t="b">
        <f>LOOKUP($C66,Table7[Sample Name],Table7[Positive])</f>
        <v>0</v>
      </c>
      <c r="Z66" t="str">
        <f>LOOKUP($C66,Table7[Sample Name],Table7[Disseminated])</f>
        <v>N/A</v>
      </c>
      <c r="AA66">
        <f t="shared" si="33"/>
        <v>0</v>
      </c>
      <c r="AD66" s="325">
        <v>60</v>
      </c>
      <c r="AE66" s="43">
        <v>0</v>
      </c>
      <c r="AF66" s="128"/>
      <c r="AG66">
        <f t="shared" si="26"/>
        <v>0</v>
      </c>
      <c r="AH66">
        <f t="shared" si="27"/>
        <v>0</v>
      </c>
      <c r="AJ66" s="207">
        <v>60</v>
      </c>
      <c r="AK66" s="127" t="str">
        <f t="shared" si="34"/>
        <v/>
      </c>
      <c r="AL66" s="128" t="str">
        <f t="shared" si="35"/>
        <v/>
      </c>
      <c r="AM66">
        <f t="shared" si="28"/>
        <v>0</v>
      </c>
      <c r="AO66">
        <f t="shared" si="29"/>
        <v>0</v>
      </c>
      <c r="BB66" s="134">
        <f t="shared" si="36"/>
        <v>0</v>
      </c>
      <c r="BC66" s="44">
        <v>60</v>
      </c>
      <c r="BD66" s="149" t="str">
        <f t="shared" si="37"/>
        <v/>
      </c>
      <c r="BE66" s="149" t="str">
        <f t="shared" si="38"/>
        <v/>
      </c>
      <c r="BF66" s="149" t="str">
        <f t="shared" si="39"/>
        <v/>
      </c>
      <c r="BG66" s="149" t="str">
        <f t="shared" si="40"/>
        <v/>
      </c>
      <c r="BH66" s="149" t="str">
        <f t="shared" si="41"/>
        <v/>
      </c>
      <c r="BI66" s="149" t="str">
        <f t="shared" si="42"/>
        <v/>
      </c>
      <c r="BJ66" s="149" t="str">
        <f t="shared" si="43"/>
        <v/>
      </c>
      <c r="BK66" s="149" t="str">
        <f>IFERROR(#REF!/$BB66,"")</f>
        <v/>
      </c>
      <c r="BL66" s="149" t="str">
        <f>IFERROR(#REF!/$BB66,"")</f>
        <v/>
      </c>
      <c r="BM66" s="149" t="str">
        <f t="shared" si="44"/>
        <v/>
      </c>
      <c r="BN66" s="149" t="str">
        <f t="shared" si="45"/>
        <v/>
      </c>
      <c r="BO66" s="149" t="str">
        <f t="shared" si="46"/>
        <v/>
      </c>
      <c r="BP66" s="149" t="str">
        <f t="shared" si="47"/>
        <v/>
      </c>
      <c r="BQ66" s="149" t="str">
        <f t="shared" si="48"/>
        <v/>
      </c>
      <c r="BR66" s="149" t="str">
        <f>IFERROR(#REF!/$BB66,"")</f>
        <v/>
      </c>
      <c r="BS66" s="149" t="str">
        <f>IFERROR(#REF!/$BB66,"")</f>
        <v/>
      </c>
      <c r="BT66" s="149" t="str">
        <f t="shared" si="49"/>
        <v/>
      </c>
      <c r="BU66" s="149" t="str">
        <f t="shared" si="50"/>
        <v/>
      </c>
      <c r="BV66" s="149" t="str">
        <f t="shared" si="51"/>
        <v/>
      </c>
      <c r="BW66" s="149" t="str">
        <f t="shared" si="52"/>
        <v/>
      </c>
      <c r="BX66" s="149" t="str">
        <f t="shared" si="53"/>
        <v/>
      </c>
      <c r="BY66" s="149" t="str">
        <f>IFERROR(#REF!/$BB66,"")</f>
        <v/>
      </c>
      <c r="BZ66" s="149" t="str">
        <f>IFERROR(#REF!/$BB66,"")</f>
        <v/>
      </c>
      <c r="CA66" s="149" t="str">
        <f t="shared" si="54"/>
        <v/>
      </c>
      <c r="CB66" s="149" t="str">
        <f t="shared" si="55"/>
        <v/>
      </c>
      <c r="CC66" s="207" t="str">
        <f t="shared" si="56"/>
        <v/>
      </c>
      <c r="CD66" s="208" t="str">
        <f t="shared" si="30"/>
        <v/>
      </c>
    </row>
    <row r="67" spans="3:82" x14ac:dyDescent="0.25">
      <c r="C67" s="44">
        <v>81</v>
      </c>
      <c r="D67" s="149"/>
      <c r="E67" s="149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W67" s="127">
        <f t="shared" si="31"/>
        <v>0</v>
      </c>
      <c r="X67">
        <f t="shared" si="32"/>
        <v>0</v>
      </c>
      <c r="Y67" t="b">
        <f>LOOKUP($C67,Table7[Sample Name],Table7[Positive])</f>
        <v>1</v>
      </c>
      <c r="Z67" t="str">
        <f>LOOKUP($C67,Table7[Sample Name],Table7[Disseminated])</f>
        <v>N/A</v>
      </c>
      <c r="AA67">
        <f t="shared" si="33"/>
        <v>0</v>
      </c>
      <c r="AD67" s="325">
        <v>81</v>
      </c>
      <c r="AE67" s="43">
        <v>0</v>
      </c>
      <c r="AF67" s="128"/>
      <c r="AG67">
        <f t="shared" si="26"/>
        <v>0</v>
      </c>
      <c r="AH67">
        <f t="shared" si="27"/>
        <v>0</v>
      </c>
      <c r="AJ67" s="207">
        <v>81</v>
      </c>
      <c r="AK67" s="127" t="str">
        <f t="shared" si="34"/>
        <v/>
      </c>
      <c r="AL67" s="128" t="str">
        <f t="shared" si="35"/>
        <v/>
      </c>
      <c r="AM67">
        <f t="shared" si="28"/>
        <v>0</v>
      </c>
      <c r="AO67">
        <f t="shared" si="29"/>
        <v>0</v>
      </c>
      <c r="BB67" s="134" t="str">
        <f t="shared" si="36"/>
        <v/>
      </c>
      <c r="BC67" s="44">
        <v>81</v>
      </c>
      <c r="BD67" s="149" t="str">
        <f t="shared" si="37"/>
        <v/>
      </c>
      <c r="BE67" s="149" t="str">
        <f t="shared" si="38"/>
        <v/>
      </c>
      <c r="BF67" s="149" t="str">
        <f t="shared" si="39"/>
        <v/>
      </c>
      <c r="BG67" s="149" t="str">
        <f t="shared" si="40"/>
        <v/>
      </c>
      <c r="BH67" s="149" t="str">
        <f t="shared" si="41"/>
        <v/>
      </c>
      <c r="BI67" s="149" t="str">
        <f t="shared" si="42"/>
        <v/>
      </c>
      <c r="BJ67" s="149" t="str">
        <f t="shared" si="43"/>
        <v/>
      </c>
      <c r="BK67" s="149" t="str">
        <f>IFERROR(#REF!/$BB67,"")</f>
        <v/>
      </c>
      <c r="BL67" s="149" t="str">
        <f>IFERROR(#REF!/$BB67,"")</f>
        <v/>
      </c>
      <c r="BM67" s="149" t="str">
        <f t="shared" si="44"/>
        <v/>
      </c>
      <c r="BN67" s="149" t="str">
        <f t="shared" si="45"/>
        <v/>
      </c>
      <c r="BO67" s="149" t="str">
        <f t="shared" si="46"/>
        <v/>
      </c>
      <c r="BP67" s="149" t="str">
        <f t="shared" si="47"/>
        <v/>
      </c>
      <c r="BQ67" s="149" t="str">
        <f t="shared" si="48"/>
        <v/>
      </c>
      <c r="BR67" s="149" t="str">
        <f>IFERROR(#REF!/$BB67,"")</f>
        <v/>
      </c>
      <c r="BS67" s="149" t="str">
        <f>IFERROR(#REF!/$BB67,"")</f>
        <v/>
      </c>
      <c r="BT67" s="149" t="str">
        <f t="shared" si="49"/>
        <v/>
      </c>
      <c r="BU67" s="149" t="str">
        <f t="shared" si="50"/>
        <v/>
      </c>
      <c r="BV67" s="149" t="str">
        <f t="shared" si="51"/>
        <v/>
      </c>
      <c r="BW67" s="149" t="str">
        <f t="shared" si="52"/>
        <v/>
      </c>
      <c r="BX67" s="149" t="str">
        <f t="shared" si="53"/>
        <v/>
      </c>
      <c r="BY67" s="149" t="str">
        <f>IFERROR(#REF!/$BB67,"")</f>
        <v/>
      </c>
      <c r="BZ67" s="149" t="str">
        <f>IFERROR(#REF!/$BB67,"")</f>
        <v/>
      </c>
      <c r="CA67" s="149" t="str">
        <f t="shared" si="54"/>
        <v/>
      </c>
      <c r="CB67" s="149" t="str">
        <f t="shared" si="55"/>
        <v/>
      </c>
      <c r="CC67" s="207" t="str">
        <f t="shared" si="56"/>
        <v/>
      </c>
      <c r="CD67" s="208" t="str">
        <f t="shared" ref="CD67:CD106" si="57">IFERROR(AND(IF(LARGE(BD67:CB67,1)&gt;0,TRUE,FALSE),IF(LARGE(BD67:CB67,2)&gt;0,FALSE,TRUE)),"")</f>
        <v/>
      </c>
    </row>
    <row r="68" spans="3:82" x14ac:dyDescent="0.25">
      <c r="C68" s="44">
        <v>82</v>
      </c>
      <c r="D68" s="149"/>
      <c r="E68" s="149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W68" s="127">
        <f t="shared" si="31"/>
        <v>0</v>
      </c>
      <c r="X68">
        <f t="shared" si="32"/>
        <v>0</v>
      </c>
      <c r="Y68" t="b">
        <f>LOOKUP($C68,Table7[Sample Name],Table7[Positive])</f>
        <v>1</v>
      </c>
      <c r="Z68" t="b">
        <f>LOOKUP($C68,Table7[Sample Name],Table7[Disseminated])</f>
        <v>1</v>
      </c>
      <c r="AA68">
        <f t="shared" si="33"/>
        <v>0</v>
      </c>
      <c r="AD68" s="325">
        <v>82</v>
      </c>
      <c r="AE68" s="43">
        <v>0</v>
      </c>
      <c r="AF68" s="128"/>
      <c r="AG68">
        <f t="shared" si="26"/>
        <v>0</v>
      </c>
      <c r="AH68">
        <f t="shared" si="27"/>
        <v>0</v>
      </c>
      <c r="AJ68" s="207">
        <v>82</v>
      </c>
      <c r="AK68" s="127" t="str">
        <f t="shared" si="34"/>
        <v/>
      </c>
      <c r="AL68" s="128" t="str">
        <f t="shared" si="35"/>
        <v/>
      </c>
      <c r="AM68">
        <f t="shared" si="28"/>
        <v>0</v>
      </c>
      <c r="AO68">
        <f t="shared" si="29"/>
        <v>0</v>
      </c>
      <c r="BB68" s="134" t="str">
        <f t="shared" si="36"/>
        <v/>
      </c>
      <c r="BC68" s="44">
        <v>82</v>
      </c>
      <c r="BD68" s="149" t="str">
        <f t="shared" si="37"/>
        <v/>
      </c>
      <c r="BE68" s="149" t="str">
        <f t="shared" si="38"/>
        <v/>
      </c>
      <c r="BF68" s="149" t="str">
        <f t="shared" si="39"/>
        <v/>
      </c>
      <c r="BG68" s="149" t="str">
        <f t="shared" si="40"/>
        <v/>
      </c>
      <c r="BH68" s="149" t="str">
        <f t="shared" si="41"/>
        <v/>
      </c>
      <c r="BI68" s="149" t="str">
        <f t="shared" si="42"/>
        <v/>
      </c>
      <c r="BJ68" s="149" t="str">
        <f t="shared" si="43"/>
        <v/>
      </c>
      <c r="BK68" s="149" t="str">
        <f>IFERROR(#REF!/$BB68,"")</f>
        <v/>
      </c>
      <c r="BL68" s="149" t="str">
        <f>IFERROR(#REF!/$BB68,"")</f>
        <v/>
      </c>
      <c r="BM68" s="149" t="str">
        <f t="shared" si="44"/>
        <v/>
      </c>
      <c r="BN68" s="149" t="str">
        <f t="shared" si="45"/>
        <v/>
      </c>
      <c r="BO68" s="149" t="str">
        <f t="shared" si="46"/>
        <v/>
      </c>
      <c r="BP68" s="149" t="str">
        <f t="shared" si="47"/>
        <v/>
      </c>
      <c r="BQ68" s="149" t="str">
        <f t="shared" si="48"/>
        <v/>
      </c>
      <c r="BR68" s="149" t="str">
        <f>IFERROR(#REF!/$BB68,"")</f>
        <v/>
      </c>
      <c r="BS68" s="149" t="str">
        <f>IFERROR(#REF!/$BB68,"")</f>
        <v/>
      </c>
      <c r="BT68" s="149" t="str">
        <f t="shared" si="49"/>
        <v/>
      </c>
      <c r="BU68" s="149" t="str">
        <f t="shared" si="50"/>
        <v/>
      </c>
      <c r="BV68" s="149" t="str">
        <f t="shared" si="51"/>
        <v/>
      </c>
      <c r="BW68" s="149" t="str">
        <f t="shared" si="52"/>
        <v/>
      </c>
      <c r="BX68" s="149" t="str">
        <f t="shared" si="53"/>
        <v/>
      </c>
      <c r="BY68" s="149" t="str">
        <f>IFERROR(#REF!/$BB68,"")</f>
        <v/>
      </c>
      <c r="BZ68" s="149" t="str">
        <f>IFERROR(#REF!/$BB68,"")</f>
        <v/>
      </c>
      <c r="CA68" s="149" t="str">
        <f t="shared" si="54"/>
        <v/>
      </c>
      <c r="CB68" s="149" t="str">
        <f t="shared" si="55"/>
        <v/>
      </c>
      <c r="CC68" s="207" t="str">
        <f t="shared" si="56"/>
        <v/>
      </c>
      <c r="CD68" s="208" t="str">
        <f t="shared" si="57"/>
        <v/>
      </c>
    </row>
    <row r="69" spans="3:82" x14ac:dyDescent="0.25">
      <c r="C69" s="44">
        <v>83</v>
      </c>
      <c r="D69" s="149"/>
      <c r="E69" s="149"/>
      <c r="F69" s="55"/>
      <c r="G69" s="55"/>
      <c r="H69" s="55"/>
      <c r="I69" s="55"/>
      <c r="J69" s="55"/>
      <c r="K69" s="55">
        <v>4</v>
      </c>
      <c r="L69" s="55"/>
      <c r="M69" s="55"/>
      <c r="N69" s="55"/>
      <c r="O69" s="55"/>
      <c r="P69" s="55"/>
      <c r="Q69" s="55"/>
      <c r="W69" s="127">
        <f t="shared" si="31"/>
        <v>4</v>
      </c>
      <c r="X69">
        <f t="shared" si="32"/>
        <v>1</v>
      </c>
      <c r="Y69" t="b">
        <f>LOOKUP($C69,Table7[Sample Name],Table7[Positive])</f>
        <v>1</v>
      </c>
      <c r="Z69" t="b">
        <f>LOOKUP($C69,Table7[Sample Name],Table7[Disseminated])</f>
        <v>1</v>
      </c>
      <c r="AA69">
        <f t="shared" si="33"/>
        <v>4</v>
      </c>
      <c r="AD69" s="325">
        <v>83</v>
      </c>
      <c r="AE69" s="43">
        <v>4</v>
      </c>
      <c r="AF69" s="128"/>
      <c r="AG69">
        <f t="shared" si="26"/>
        <v>4</v>
      </c>
      <c r="AH69">
        <f t="shared" si="27"/>
        <v>1</v>
      </c>
      <c r="AJ69" s="207">
        <v>83</v>
      </c>
      <c r="AK69" s="127" t="str">
        <f t="shared" si="34"/>
        <v/>
      </c>
      <c r="AL69" s="128" t="str">
        <f t="shared" si="35"/>
        <v/>
      </c>
      <c r="AM69">
        <f t="shared" si="28"/>
        <v>0</v>
      </c>
      <c r="AO69">
        <f t="shared" si="29"/>
        <v>-4</v>
      </c>
      <c r="BB69" s="134">
        <f t="shared" si="36"/>
        <v>4</v>
      </c>
      <c r="BC69" s="44">
        <v>83</v>
      </c>
      <c r="BD69" s="149">
        <f t="shared" si="37"/>
        <v>0</v>
      </c>
      <c r="BE69" s="149">
        <f t="shared" si="38"/>
        <v>0</v>
      </c>
      <c r="BF69" s="149">
        <f t="shared" si="39"/>
        <v>0</v>
      </c>
      <c r="BG69" s="149">
        <f t="shared" si="40"/>
        <v>0</v>
      </c>
      <c r="BH69" s="149">
        <f t="shared" si="41"/>
        <v>0</v>
      </c>
      <c r="BI69" s="149">
        <f t="shared" si="42"/>
        <v>0</v>
      </c>
      <c r="BJ69" s="149">
        <f t="shared" si="43"/>
        <v>0</v>
      </c>
      <c r="BK69" s="149" t="str">
        <f>IFERROR(#REF!/$BB69,"")</f>
        <v/>
      </c>
      <c r="BL69" s="149" t="str">
        <f>IFERROR(#REF!/$BB69,"")</f>
        <v/>
      </c>
      <c r="BM69" s="149">
        <f t="shared" si="44"/>
        <v>1</v>
      </c>
      <c r="BN69" s="149">
        <f t="shared" si="45"/>
        <v>0</v>
      </c>
      <c r="BO69" s="149">
        <f t="shared" si="46"/>
        <v>0</v>
      </c>
      <c r="BP69" s="149">
        <f t="shared" si="47"/>
        <v>0</v>
      </c>
      <c r="BQ69" s="149">
        <f t="shared" si="48"/>
        <v>0</v>
      </c>
      <c r="BR69" s="149" t="str">
        <f>IFERROR(#REF!/$BB69,"")</f>
        <v/>
      </c>
      <c r="BS69" s="149" t="str">
        <f>IFERROR(#REF!/$BB69,"")</f>
        <v/>
      </c>
      <c r="BT69" s="149">
        <f t="shared" si="49"/>
        <v>0</v>
      </c>
      <c r="BU69" s="149">
        <f t="shared" si="50"/>
        <v>0</v>
      </c>
      <c r="BV69" s="149">
        <f t="shared" si="51"/>
        <v>0</v>
      </c>
      <c r="BW69" s="149">
        <f t="shared" si="52"/>
        <v>0</v>
      </c>
      <c r="BX69" s="149">
        <f t="shared" si="53"/>
        <v>0</v>
      </c>
      <c r="BY69" s="149" t="str">
        <f>IFERROR(#REF!/$BB69,"")</f>
        <v/>
      </c>
      <c r="BZ69" s="149" t="str">
        <f>IFERROR(#REF!/$BB69,"")</f>
        <v/>
      </c>
      <c r="CA69" s="149">
        <f t="shared" si="54"/>
        <v>0</v>
      </c>
      <c r="CB69" s="149">
        <f t="shared" si="55"/>
        <v>0</v>
      </c>
      <c r="CC69" s="207">
        <f t="shared" si="56"/>
        <v>1</v>
      </c>
      <c r="CD69" s="208" t="b">
        <f t="shared" si="57"/>
        <v>1</v>
      </c>
    </row>
    <row r="70" spans="3:82" x14ac:dyDescent="0.25">
      <c r="C70" s="44">
        <v>84</v>
      </c>
      <c r="D70" s="149"/>
      <c r="E70" s="149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W70" s="127">
        <f t="shared" si="31"/>
        <v>0</v>
      </c>
      <c r="X70">
        <f t="shared" si="32"/>
        <v>0</v>
      </c>
      <c r="Y70" t="b">
        <f>LOOKUP($C70,Table7[Sample Name],Table7[Positive])</f>
        <v>1</v>
      </c>
      <c r="Z70" t="b">
        <f>LOOKUP($C70,Table7[Sample Name],Table7[Disseminated])</f>
        <v>1</v>
      </c>
      <c r="AA70">
        <f t="shared" si="33"/>
        <v>0</v>
      </c>
      <c r="AD70" s="325">
        <v>84</v>
      </c>
      <c r="AE70" s="43">
        <v>0</v>
      </c>
      <c r="AF70" s="128"/>
      <c r="AG70">
        <f t="shared" si="26"/>
        <v>0</v>
      </c>
      <c r="AH70">
        <f t="shared" si="27"/>
        <v>0</v>
      </c>
      <c r="AJ70" s="207">
        <v>84</v>
      </c>
      <c r="AK70" s="127" t="str">
        <f t="shared" si="34"/>
        <v/>
      </c>
      <c r="AL70" s="128" t="str">
        <f t="shared" si="35"/>
        <v/>
      </c>
      <c r="AM70">
        <f t="shared" si="28"/>
        <v>0</v>
      </c>
      <c r="AO70">
        <f t="shared" si="29"/>
        <v>0</v>
      </c>
      <c r="BB70" s="134" t="str">
        <f t="shared" si="36"/>
        <v/>
      </c>
      <c r="BC70" s="44">
        <v>84</v>
      </c>
      <c r="BD70" s="149" t="str">
        <f t="shared" si="37"/>
        <v/>
      </c>
      <c r="BE70" s="149" t="str">
        <f t="shared" si="38"/>
        <v/>
      </c>
      <c r="BF70" s="149" t="str">
        <f t="shared" si="39"/>
        <v/>
      </c>
      <c r="BG70" s="149" t="str">
        <f t="shared" si="40"/>
        <v/>
      </c>
      <c r="BH70" s="149" t="str">
        <f t="shared" si="41"/>
        <v/>
      </c>
      <c r="BI70" s="149" t="str">
        <f t="shared" si="42"/>
        <v/>
      </c>
      <c r="BJ70" s="149" t="str">
        <f t="shared" si="43"/>
        <v/>
      </c>
      <c r="BK70" s="149" t="str">
        <f>IFERROR(#REF!/$BB70,"")</f>
        <v/>
      </c>
      <c r="BL70" s="149" t="str">
        <f>IFERROR(#REF!/$BB70,"")</f>
        <v/>
      </c>
      <c r="BM70" s="149" t="str">
        <f t="shared" si="44"/>
        <v/>
      </c>
      <c r="BN70" s="149" t="str">
        <f t="shared" si="45"/>
        <v/>
      </c>
      <c r="BO70" s="149" t="str">
        <f t="shared" si="46"/>
        <v/>
      </c>
      <c r="BP70" s="149" t="str">
        <f t="shared" si="47"/>
        <v/>
      </c>
      <c r="BQ70" s="149" t="str">
        <f t="shared" si="48"/>
        <v/>
      </c>
      <c r="BR70" s="149" t="str">
        <f>IFERROR(#REF!/$BB70,"")</f>
        <v/>
      </c>
      <c r="BS70" s="149" t="str">
        <f>IFERROR(#REF!/$BB70,"")</f>
        <v/>
      </c>
      <c r="BT70" s="149" t="str">
        <f t="shared" si="49"/>
        <v/>
      </c>
      <c r="BU70" s="149" t="str">
        <f t="shared" si="50"/>
        <v/>
      </c>
      <c r="BV70" s="149" t="str">
        <f t="shared" si="51"/>
        <v/>
      </c>
      <c r="BW70" s="149" t="str">
        <f t="shared" si="52"/>
        <v/>
      </c>
      <c r="BX70" s="149" t="str">
        <f t="shared" si="53"/>
        <v/>
      </c>
      <c r="BY70" s="149" t="str">
        <f>IFERROR(#REF!/$BB70,"")</f>
        <v/>
      </c>
      <c r="BZ70" s="149" t="str">
        <f>IFERROR(#REF!/$BB70,"")</f>
        <v/>
      </c>
      <c r="CA70" s="149" t="str">
        <f t="shared" si="54"/>
        <v/>
      </c>
      <c r="CB70" s="149" t="str">
        <f t="shared" si="55"/>
        <v/>
      </c>
      <c r="CC70" s="207" t="str">
        <f t="shared" si="56"/>
        <v/>
      </c>
      <c r="CD70" s="208" t="str">
        <f t="shared" si="57"/>
        <v/>
      </c>
    </row>
    <row r="71" spans="3:82" x14ac:dyDescent="0.25">
      <c r="C71" s="44">
        <v>85</v>
      </c>
      <c r="D71" s="149"/>
      <c r="E71" s="149"/>
      <c r="F71" s="55">
        <v>0</v>
      </c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W71" s="127">
        <f t="shared" ref="W71:W102" si="58">SUM(D71:V71)</f>
        <v>0</v>
      </c>
      <c r="X71">
        <f t="shared" ref="X71:X106" si="59">COUNTIF(D71:V71,"&gt;"&amp;0)</f>
        <v>0</v>
      </c>
      <c r="Y71" t="b">
        <f>LOOKUP($C71,Table7[Sample Name],Table7[Positive])</f>
        <v>1</v>
      </c>
      <c r="Z71" t="b">
        <f>LOOKUP($C71,Table7[Sample Name],Table7[Disseminated])</f>
        <v>1</v>
      </c>
      <c r="AA71">
        <f t="shared" ref="AA71:AA106" si="60">IFERROR(LARGE(D71:V71,1),0)</f>
        <v>0</v>
      </c>
      <c r="AD71" s="325">
        <v>85</v>
      </c>
      <c r="AE71" s="43">
        <v>0</v>
      </c>
      <c r="AF71" s="128"/>
      <c r="AG71">
        <f t="shared" si="26"/>
        <v>0</v>
      </c>
      <c r="AH71">
        <f t="shared" si="27"/>
        <v>0</v>
      </c>
      <c r="AJ71" s="207">
        <v>85</v>
      </c>
      <c r="AK71" s="127" t="str">
        <f t="shared" ref="AK71:AK106" si="61">IFERROR(SMALL($AE71:$AF71,COLUMN(C:C)),"")</f>
        <v/>
      </c>
      <c r="AL71" s="128" t="str">
        <f t="shared" ref="AL71:AL106" si="62">IFERROR(SMALL($AE71:$AF71,COLUMN(D:D)),"")</f>
        <v/>
      </c>
      <c r="AM71">
        <f t="shared" si="28"/>
        <v>0</v>
      </c>
      <c r="AO71">
        <f t="shared" si="29"/>
        <v>0</v>
      </c>
      <c r="BB71" s="134">
        <f t="shared" ref="BB71:BB106" si="63">IFERROR(LARGE(D71:V71,1),"")</f>
        <v>0</v>
      </c>
      <c r="BC71" s="44">
        <v>85</v>
      </c>
      <c r="BD71" s="149" t="str">
        <f t="shared" ref="BD71:BD106" si="64">IFERROR(D71/$BB71,"")</f>
        <v/>
      </c>
      <c r="BE71" s="149" t="str">
        <f t="shared" ref="BE71:BE106" si="65">IFERROR(E71/$BB71,"")</f>
        <v/>
      </c>
      <c r="BF71" s="149" t="str">
        <f t="shared" ref="BF71:BF106" si="66">IFERROR(F71/$BB71,"")</f>
        <v/>
      </c>
      <c r="BG71" s="149" t="str">
        <f t="shared" ref="BG71:BG106" si="67">IFERROR(G71/$BB71,"")</f>
        <v/>
      </c>
      <c r="BH71" s="149" t="str">
        <f t="shared" ref="BH71:BH106" si="68">IFERROR(H71/$BB71,"")</f>
        <v/>
      </c>
      <c r="BI71" s="149" t="str">
        <f t="shared" ref="BI71:BI106" si="69">IFERROR(I71/$BB71,"")</f>
        <v/>
      </c>
      <c r="BJ71" s="149" t="str">
        <f t="shared" ref="BJ71:BJ106" si="70">IFERROR(J71/$BB71,"")</f>
        <v/>
      </c>
      <c r="BK71" s="149" t="str">
        <f>IFERROR(#REF!/$BB71,"")</f>
        <v/>
      </c>
      <c r="BL71" s="149" t="str">
        <f>IFERROR(#REF!/$BB71,"")</f>
        <v/>
      </c>
      <c r="BM71" s="149" t="str">
        <f t="shared" ref="BM71:BM106" si="71">IFERROR(K71/$BB71,"")</f>
        <v/>
      </c>
      <c r="BN71" s="149" t="str">
        <f t="shared" ref="BN71:BN106" si="72">IFERROR(L71/$BB71,"")</f>
        <v/>
      </c>
      <c r="BO71" s="149" t="str">
        <f t="shared" ref="BO71:BO106" si="73">IFERROR(M71/$BB71,"")</f>
        <v/>
      </c>
      <c r="BP71" s="149" t="str">
        <f t="shared" ref="BP71:BP106" si="74">IFERROR(N71/$BB71,"")</f>
        <v/>
      </c>
      <c r="BQ71" s="149" t="str">
        <f t="shared" ref="BQ71:BQ106" si="75">IFERROR(O71/$BB71,"")</f>
        <v/>
      </c>
      <c r="BR71" s="149" t="str">
        <f>IFERROR(#REF!/$BB71,"")</f>
        <v/>
      </c>
      <c r="BS71" s="149" t="str">
        <f>IFERROR(#REF!/$BB71,"")</f>
        <v/>
      </c>
      <c r="BT71" s="149" t="str">
        <f t="shared" ref="BT71:BT106" si="76">IFERROR(P71/$BB71,"")</f>
        <v/>
      </c>
      <c r="BU71" s="149" t="str">
        <f t="shared" ref="BU71:BU106" si="77">IFERROR(Q71/$BB71,"")</f>
        <v/>
      </c>
      <c r="BV71" s="149" t="str">
        <f t="shared" ref="BV71:BV106" si="78">IFERROR(R71/$BB71,"")</f>
        <v/>
      </c>
      <c r="BW71" s="149" t="str">
        <f t="shared" ref="BW71:BW106" si="79">IFERROR(S71/$BB71,"")</f>
        <v/>
      </c>
      <c r="BX71" s="149" t="str">
        <f t="shared" ref="BX71:BX106" si="80">IFERROR(T71/$BB71,"")</f>
        <v/>
      </c>
      <c r="BY71" s="149" t="str">
        <f>IFERROR(#REF!/$BB71,"")</f>
        <v/>
      </c>
      <c r="BZ71" s="149" t="str">
        <f>IFERROR(#REF!/$BB71,"")</f>
        <v/>
      </c>
      <c r="CA71" s="149" t="str">
        <f t="shared" ref="CA71:CA106" si="81">IFERROR(U71/$BB71,"")</f>
        <v/>
      </c>
      <c r="CB71" s="149" t="str">
        <f t="shared" ref="CB71:CB106" si="82">IFERROR(V71/$BB71,"")</f>
        <v/>
      </c>
      <c r="CC71" s="207" t="str">
        <f t="shared" ref="CC71:CC106" si="83">IFERROR(W71/$BB71,"")</f>
        <v/>
      </c>
      <c r="CD71" s="208" t="str">
        <f t="shared" si="57"/>
        <v/>
      </c>
    </row>
    <row r="72" spans="3:82" x14ac:dyDescent="0.25">
      <c r="C72" s="44">
        <v>86</v>
      </c>
      <c r="D72" s="149"/>
      <c r="E72" s="149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W72" s="127">
        <f t="shared" si="58"/>
        <v>0</v>
      </c>
      <c r="X72">
        <f t="shared" si="59"/>
        <v>0</v>
      </c>
      <c r="Y72" t="b">
        <f>LOOKUP($C72,Table7[Sample Name],Table7[Positive])</f>
        <v>1</v>
      </c>
      <c r="Z72" t="b">
        <f>LOOKUP($C72,Table7[Sample Name],Table7[Disseminated])</f>
        <v>1</v>
      </c>
      <c r="AA72">
        <f t="shared" si="60"/>
        <v>0</v>
      </c>
      <c r="AD72" s="325">
        <v>86</v>
      </c>
      <c r="AE72" s="43">
        <v>0</v>
      </c>
      <c r="AF72" s="128"/>
      <c r="AG72">
        <f t="shared" ref="AG72:AG106" si="84">SUM(AE72:AF72)</f>
        <v>0</v>
      </c>
      <c r="AH72">
        <f t="shared" ref="AH72:AH106" si="85">COUNTIF(AE72:AF72,"&gt;"&amp;0)</f>
        <v>0</v>
      </c>
      <c r="AJ72" s="207">
        <v>86</v>
      </c>
      <c r="AK72" s="127" t="str">
        <f t="shared" si="61"/>
        <v/>
      </c>
      <c r="AL72" s="128" t="str">
        <f t="shared" si="62"/>
        <v/>
      </c>
      <c r="AM72">
        <f t="shared" ref="AM72:AM106" si="86">SUM(AK72:AL72)</f>
        <v>0</v>
      </c>
      <c r="AO72">
        <f t="shared" ref="AO72:AO106" si="87">AM72-AG72</f>
        <v>0</v>
      </c>
      <c r="BB72" s="134" t="str">
        <f t="shared" si="63"/>
        <v/>
      </c>
      <c r="BC72" s="44">
        <v>86</v>
      </c>
      <c r="BD72" s="149" t="str">
        <f t="shared" si="64"/>
        <v/>
      </c>
      <c r="BE72" s="149" t="str">
        <f t="shared" si="65"/>
        <v/>
      </c>
      <c r="BF72" s="149" t="str">
        <f t="shared" si="66"/>
        <v/>
      </c>
      <c r="BG72" s="149" t="str">
        <f t="shared" si="67"/>
        <v/>
      </c>
      <c r="BH72" s="149" t="str">
        <f t="shared" si="68"/>
        <v/>
      </c>
      <c r="BI72" s="149" t="str">
        <f t="shared" si="69"/>
        <v/>
      </c>
      <c r="BJ72" s="149" t="str">
        <f t="shared" si="70"/>
        <v/>
      </c>
      <c r="BK72" s="149" t="str">
        <f>IFERROR(#REF!/$BB72,"")</f>
        <v/>
      </c>
      <c r="BL72" s="149" t="str">
        <f>IFERROR(#REF!/$BB72,"")</f>
        <v/>
      </c>
      <c r="BM72" s="149" t="str">
        <f t="shared" si="71"/>
        <v/>
      </c>
      <c r="BN72" s="149" t="str">
        <f t="shared" si="72"/>
        <v/>
      </c>
      <c r="BO72" s="149" t="str">
        <f t="shared" si="73"/>
        <v/>
      </c>
      <c r="BP72" s="149" t="str">
        <f t="shared" si="74"/>
        <v/>
      </c>
      <c r="BQ72" s="149" t="str">
        <f t="shared" si="75"/>
        <v/>
      </c>
      <c r="BR72" s="149" t="str">
        <f>IFERROR(#REF!/$BB72,"")</f>
        <v/>
      </c>
      <c r="BS72" s="149" t="str">
        <f>IFERROR(#REF!/$BB72,"")</f>
        <v/>
      </c>
      <c r="BT72" s="149" t="str">
        <f t="shared" si="76"/>
        <v/>
      </c>
      <c r="BU72" s="149" t="str">
        <f t="shared" si="77"/>
        <v/>
      </c>
      <c r="BV72" s="149" t="str">
        <f t="shared" si="78"/>
        <v/>
      </c>
      <c r="BW72" s="149" t="str">
        <f t="shared" si="79"/>
        <v/>
      </c>
      <c r="BX72" s="149" t="str">
        <f t="shared" si="80"/>
        <v/>
      </c>
      <c r="BY72" s="149" t="str">
        <f>IFERROR(#REF!/$BB72,"")</f>
        <v/>
      </c>
      <c r="BZ72" s="149" t="str">
        <f>IFERROR(#REF!/$BB72,"")</f>
        <v/>
      </c>
      <c r="CA72" s="149" t="str">
        <f t="shared" si="81"/>
        <v/>
      </c>
      <c r="CB72" s="149" t="str">
        <f t="shared" si="82"/>
        <v/>
      </c>
      <c r="CC72" s="207" t="str">
        <f t="shared" si="83"/>
        <v/>
      </c>
      <c r="CD72" s="208" t="str">
        <f t="shared" si="57"/>
        <v/>
      </c>
    </row>
    <row r="73" spans="3:82" x14ac:dyDescent="0.25">
      <c r="C73" s="44">
        <v>87</v>
      </c>
      <c r="D73" s="149"/>
      <c r="E73" s="149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W73" s="127">
        <f t="shared" si="58"/>
        <v>0</v>
      </c>
      <c r="X73">
        <f t="shared" si="59"/>
        <v>0</v>
      </c>
      <c r="Y73" t="b">
        <f>LOOKUP($C73,Table7[Sample Name],Table7[Positive])</f>
        <v>1</v>
      </c>
      <c r="Z73" t="str">
        <f>LOOKUP($C73,Table7[Sample Name],Table7[Disseminated])</f>
        <v>N/A</v>
      </c>
      <c r="AA73">
        <f t="shared" si="60"/>
        <v>0</v>
      </c>
      <c r="AD73" s="325">
        <v>87</v>
      </c>
      <c r="AE73" s="43">
        <v>0</v>
      </c>
      <c r="AF73" s="128"/>
      <c r="AG73">
        <f t="shared" si="84"/>
        <v>0</v>
      </c>
      <c r="AH73">
        <f t="shared" si="85"/>
        <v>0</v>
      </c>
      <c r="AJ73" s="207">
        <v>87</v>
      </c>
      <c r="AK73" s="127" t="str">
        <f t="shared" si="61"/>
        <v/>
      </c>
      <c r="AL73" s="128" t="str">
        <f t="shared" si="62"/>
        <v/>
      </c>
      <c r="AM73">
        <f t="shared" si="86"/>
        <v>0</v>
      </c>
      <c r="AO73">
        <f t="shared" si="87"/>
        <v>0</v>
      </c>
      <c r="BB73" s="134" t="str">
        <f t="shared" si="63"/>
        <v/>
      </c>
      <c r="BC73" s="44">
        <v>87</v>
      </c>
      <c r="BD73" s="149" t="str">
        <f t="shared" si="64"/>
        <v/>
      </c>
      <c r="BE73" s="149" t="str">
        <f t="shared" si="65"/>
        <v/>
      </c>
      <c r="BF73" s="149" t="str">
        <f t="shared" si="66"/>
        <v/>
      </c>
      <c r="BG73" s="149" t="str">
        <f t="shared" si="67"/>
        <v/>
      </c>
      <c r="BH73" s="149" t="str">
        <f t="shared" si="68"/>
        <v/>
      </c>
      <c r="BI73" s="149" t="str">
        <f t="shared" si="69"/>
        <v/>
      </c>
      <c r="BJ73" s="149" t="str">
        <f t="shared" si="70"/>
        <v/>
      </c>
      <c r="BK73" s="149" t="str">
        <f>IFERROR(#REF!/$BB73,"")</f>
        <v/>
      </c>
      <c r="BL73" s="149" t="str">
        <f>IFERROR(#REF!/$BB73,"")</f>
        <v/>
      </c>
      <c r="BM73" s="149" t="str">
        <f t="shared" si="71"/>
        <v/>
      </c>
      <c r="BN73" s="149" t="str">
        <f t="shared" si="72"/>
        <v/>
      </c>
      <c r="BO73" s="149" t="str">
        <f t="shared" si="73"/>
        <v/>
      </c>
      <c r="BP73" s="149" t="str">
        <f t="shared" si="74"/>
        <v/>
      </c>
      <c r="BQ73" s="149" t="str">
        <f t="shared" si="75"/>
        <v/>
      </c>
      <c r="BR73" s="149" t="str">
        <f>IFERROR(#REF!/$BB73,"")</f>
        <v/>
      </c>
      <c r="BS73" s="149" t="str">
        <f>IFERROR(#REF!/$BB73,"")</f>
        <v/>
      </c>
      <c r="BT73" s="149" t="str">
        <f t="shared" si="76"/>
        <v/>
      </c>
      <c r="BU73" s="149" t="str">
        <f t="shared" si="77"/>
        <v/>
      </c>
      <c r="BV73" s="149" t="str">
        <f t="shared" si="78"/>
        <v/>
      </c>
      <c r="BW73" s="149" t="str">
        <f t="shared" si="79"/>
        <v/>
      </c>
      <c r="BX73" s="149" t="str">
        <f t="shared" si="80"/>
        <v/>
      </c>
      <c r="BY73" s="149" t="str">
        <f>IFERROR(#REF!/$BB73,"")</f>
        <v/>
      </c>
      <c r="BZ73" s="149" t="str">
        <f>IFERROR(#REF!/$BB73,"")</f>
        <v/>
      </c>
      <c r="CA73" s="149" t="str">
        <f t="shared" si="81"/>
        <v/>
      </c>
      <c r="CB73" s="149" t="str">
        <f t="shared" si="82"/>
        <v/>
      </c>
      <c r="CC73" s="207" t="str">
        <f t="shared" si="83"/>
        <v/>
      </c>
      <c r="CD73" s="208" t="str">
        <f t="shared" si="57"/>
        <v/>
      </c>
    </row>
    <row r="74" spans="3:82" x14ac:dyDescent="0.25">
      <c r="C74" s="44">
        <v>88</v>
      </c>
      <c r="D74" s="149"/>
      <c r="E74" s="149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W74" s="127">
        <f t="shared" si="58"/>
        <v>0</v>
      </c>
      <c r="X74">
        <f t="shared" si="59"/>
        <v>0</v>
      </c>
      <c r="Y74" t="b">
        <f>LOOKUP($C74,Table7[Sample Name],Table7[Positive])</f>
        <v>1</v>
      </c>
      <c r="Z74" t="b">
        <f>LOOKUP($C74,Table7[Sample Name],Table7[Disseminated])</f>
        <v>1</v>
      </c>
      <c r="AA74">
        <f t="shared" si="60"/>
        <v>0</v>
      </c>
      <c r="AD74" s="325">
        <v>88</v>
      </c>
      <c r="AE74" s="43">
        <v>0</v>
      </c>
      <c r="AF74" s="128"/>
      <c r="AG74">
        <f t="shared" si="84"/>
        <v>0</v>
      </c>
      <c r="AH74">
        <f t="shared" si="85"/>
        <v>0</v>
      </c>
      <c r="AJ74" s="207">
        <v>88</v>
      </c>
      <c r="AK74" s="127" t="str">
        <f t="shared" si="61"/>
        <v/>
      </c>
      <c r="AL74" s="128" t="str">
        <f t="shared" si="62"/>
        <v/>
      </c>
      <c r="AM74">
        <f t="shared" si="86"/>
        <v>0</v>
      </c>
      <c r="AO74">
        <f t="shared" si="87"/>
        <v>0</v>
      </c>
      <c r="BB74" s="134" t="str">
        <f t="shared" si="63"/>
        <v/>
      </c>
      <c r="BC74" s="44">
        <v>88</v>
      </c>
      <c r="BD74" s="149" t="str">
        <f t="shared" si="64"/>
        <v/>
      </c>
      <c r="BE74" s="149" t="str">
        <f t="shared" si="65"/>
        <v/>
      </c>
      <c r="BF74" s="149" t="str">
        <f t="shared" si="66"/>
        <v/>
      </c>
      <c r="BG74" s="149" t="str">
        <f t="shared" si="67"/>
        <v/>
      </c>
      <c r="BH74" s="149" t="str">
        <f t="shared" si="68"/>
        <v/>
      </c>
      <c r="BI74" s="149" t="str">
        <f t="shared" si="69"/>
        <v/>
      </c>
      <c r="BJ74" s="149" t="str">
        <f t="shared" si="70"/>
        <v/>
      </c>
      <c r="BK74" s="149" t="str">
        <f>IFERROR(#REF!/$BB74,"")</f>
        <v/>
      </c>
      <c r="BL74" s="149" t="str">
        <f>IFERROR(#REF!/$BB74,"")</f>
        <v/>
      </c>
      <c r="BM74" s="149" t="str">
        <f t="shared" si="71"/>
        <v/>
      </c>
      <c r="BN74" s="149" t="str">
        <f t="shared" si="72"/>
        <v/>
      </c>
      <c r="BO74" s="149" t="str">
        <f t="shared" si="73"/>
        <v/>
      </c>
      <c r="BP74" s="149" t="str">
        <f t="shared" si="74"/>
        <v/>
      </c>
      <c r="BQ74" s="149" t="str">
        <f t="shared" si="75"/>
        <v/>
      </c>
      <c r="BR74" s="149" t="str">
        <f>IFERROR(#REF!/$BB74,"")</f>
        <v/>
      </c>
      <c r="BS74" s="149" t="str">
        <f>IFERROR(#REF!/$BB74,"")</f>
        <v/>
      </c>
      <c r="BT74" s="149" t="str">
        <f t="shared" si="76"/>
        <v/>
      </c>
      <c r="BU74" s="149" t="str">
        <f t="shared" si="77"/>
        <v/>
      </c>
      <c r="BV74" s="149" t="str">
        <f t="shared" si="78"/>
        <v/>
      </c>
      <c r="BW74" s="149" t="str">
        <f t="shared" si="79"/>
        <v/>
      </c>
      <c r="BX74" s="149" t="str">
        <f t="shared" si="80"/>
        <v/>
      </c>
      <c r="BY74" s="149" t="str">
        <f>IFERROR(#REF!/$BB74,"")</f>
        <v/>
      </c>
      <c r="BZ74" s="149" t="str">
        <f>IFERROR(#REF!/$BB74,"")</f>
        <v/>
      </c>
      <c r="CA74" s="149" t="str">
        <f t="shared" si="81"/>
        <v/>
      </c>
      <c r="CB74" s="149" t="str">
        <f t="shared" si="82"/>
        <v/>
      </c>
      <c r="CC74" s="207" t="str">
        <f t="shared" si="83"/>
        <v/>
      </c>
      <c r="CD74" s="208" t="str">
        <f t="shared" si="57"/>
        <v/>
      </c>
    </row>
    <row r="75" spans="3:82" x14ac:dyDescent="0.25">
      <c r="C75" s="44">
        <v>89</v>
      </c>
      <c r="D75" s="149"/>
      <c r="E75" s="149"/>
      <c r="F75" s="55">
        <v>0</v>
      </c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W75" s="127">
        <f t="shared" si="58"/>
        <v>0</v>
      </c>
      <c r="X75">
        <f t="shared" si="59"/>
        <v>0</v>
      </c>
      <c r="Y75" t="b">
        <f>LOOKUP($C75,Table7[Sample Name],Table7[Positive])</f>
        <v>0</v>
      </c>
      <c r="Z75" t="str">
        <f>LOOKUP($C75,Table7[Sample Name],Table7[Disseminated])</f>
        <v>N/A</v>
      </c>
      <c r="AA75">
        <f t="shared" si="60"/>
        <v>0</v>
      </c>
      <c r="AD75" s="325">
        <v>89</v>
      </c>
      <c r="AE75" s="43">
        <v>0</v>
      </c>
      <c r="AF75" s="128"/>
      <c r="AG75">
        <f t="shared" si="84"/>
        <v>0</v>
      </c>
      <c r="AH75">
        <f t="shared" si="85"/>
        <v>0</v>
      </c>
      <c r="AJ75" s="207">
        <v>89</v>
      </c>
      <c r="AK75" s="127" t="str">
        <f t="shared" si="61"/>
        <v/>
      </c>
      <c r="AL75" s="128" t="str">
        <f t="shared" si="62"/>
        <v/>
      </c>
      <c r="AM75">
        <f t="shared" si="86"/>
        <v>0</v>
      </c>
      <c r="AO75">
        <f t="shared" si="87"/>
        <v>0</v>
      </c>
      <c r="BB75" s="134">
        <f t="shared" si="63"/>
        <v>0</v>
      </c>
      <c r="BC75" s="44">
        <v>89</v>
      </c>
      <c r="BD75" s="149" t="str">
        <f t="shared" si="64"/>
        <v/>
      </c>
      <c r="BE75" s="149" t="str">
        <f t="shared" si="65"/>
        <v/>
      </c>
      <c r="BF75" s="149" t="str">
        <f t="shared" si="66"/>
        <v/>
      </c>
      <c r="BG75" s="149" t="str">
        <f t="shared" si="67"/>
        <v/>
      </c>
      <c r="BH75" s="149" t="str">
        <f t="shared" si="68"/>
        <v/>
      </c>
      <c r="BI75" s="149" t="str">
        <f t="shared" si="69"/>
        <v/>
      </c>
      <c r="BJ75" s="149" t="str">
        <f t="shared" si="70"/>
        <v/>
      </c>
      <c r="BK75" s="149" t="str">
        <f>IFERROR(#REF!/$BB75,"")</f>
        <v/>
      </c>
      <c r="BL75" s="149" t="str">
        <f>IFERROR(#REF!/$BB75,"")</f>
        <v/>
      </c>
      <c r="BM75" s="149" t="str">
        <f t="shared" si="71"/>
        <v/>
      </c>
      <c r="BN75" s="149" t="str">
        <f t="shared" si="72"/>
        <v/>
      </c>
      <c r="BO75" s="149" t="str">
        <f t="shared" si="73"/>
        <v/>
      </c>
      <c r="BP75" s="149" t="str">
        <f t="shared" si="74"/>
        <v/>
      </c>
      <c r="BQ75" s="149" t="str">
        <f t="shared" si="75"/>
        <v/>
      </c>
      <c r="BR75" s="149" t="str">
        <f>IFERROR(#REF!/$BB75,"")</f>
        <v/>
      </c>
      <c r="BS75" s="149" t="str">
        <f>IFERROR(#REF!/$BB75,"")</f>
        <v/>
      </c>
      <c r="BT75" s="149" t="str">
        <f t="shared" si="76"/>
        <v/>
      </c>
      <c r="BU75" s="149" t="str">
        <f t="shared" si="77"/>
        <v/>
      </c>
      <c r="BV75" s="149" t="str">
        <f t="shared" si="78"/>
        <v/>
      </c>
      <c r="BW75" s="149" t="str">
        <f t="shared" si="79"/>
        <v/>
      </c>
      <c r="BX75" s="149" t="str">
        <f t="shared" si="80"/>
        <v/>
      </c>
      <c r="BY75" s="149" t="str">
        <f>IFERROR(#REF!/$BB75,"")</f>
        <v/>
      </c>
      <c r="BZ75" s="149" t="str">
        <f>IFERROR(#REF!/$BB75,"")</f>
        <v/>
      </c>
      <c r="CA75" s="149" t="str">
        <f t="shared" si="81"/>
        <v/>
      </c>
      <c r="CB75" s="149" t="str">
        <f t="shared" si="82"/>
        <v/>
      </c>
      <c r="CC75" s="207" t="str">
        <f t="shared" si="83"/>
        <v/>
      </c>
      <c r="CD75" s="208" t="str">
        <f t="shared" si="57"/>
        <v/>
      </c>
    </row>
    <row r="76" spans="3:82" x14ac:dyDescent="0.25">
      <c r="C76" s="44">
        <v>90</v>
      </c>
      <c r="D76" s="149"/>
      <c r="E76" s="149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>
        <v>5</v>
      </c>
      <c r="Q76" s="55"/>
      <c r="W76" s="127">
        <f t="shared" si="58"/>
        <v>5</v>
      </c>
      <c r="X76">
        <f t="shared" si="59"/>
        <v>1</v>
      </c>
      <c r="Y76" t="b">
        <f>LOOKUP($C76,Table7[Sample Name],Table7[Positive])</f>
        <v>1</v>
      </c>
      <c r="Z76" t="b">
        <f>LOOKUP($C76,Table7[Sample Name],Table7[Disseminated])</f>
        <v>1</v>
      </c>
      <c r="AA76">
        <f t="shared" si="60"/>
        <v>5</v>
      </c>
      <c r="AD76" s="325">
        <v>90</v>
      </c>
      <c r="AE76" s="43">
        <v>5</v>
      </c>
      <c r="AF76" s="128"/>
      <c r="AG76">
        <f t="shared" si="84"/>
        <v>5</v>
      </c>
      <c r="AH76">
        <f t="shared" si="85"/>
        <v>1</v>
      </c>
      <c r="AJ76" s="207">
        <v>90</v>
      </c>
      <c r="AK76" s="127" t="str">
        <f t="shared" si="61"/>
        <v/>
      </c>
      <c r="AL76" s="128" t="str">
        <f t="shared" si="62"/>
        <v/>
      </c>
      <c r="AM76">
        <f t="shared" si="86"/>
        <v>0</v>
      </c>
      <c r="AO76">
        <f t="shared" si="87"/>
        <v>-5</v>
      </c>
      <c r="BB76" s="134">
        <f t="shared" si="63"/>
        <v>5</v>
      </c>
      <c r="BC76" s="44">
        <v>90</v>
      </c>
      <c r="BD76" s="149">
        <f t="shared" si="64"/>
        <v>0</v>
      </c>
      <c r="BE76" s="149">
        <f t="shared" si="65"/>
        <v>0</v>
      </c>
      <c r="BF76" s="149">
        <f t="shared" si="66"/>
        <v>0</v>
      </c>
      <c r="BG76" s="149">
        <f t="shared" si="67"/>
        <v>0</v>
      </c>
      <c r="BH76" s="149">
        <f t="shared" si="68"/>
        <v>0</v>
      </c>
      <c r="BI76" s="149">
        <f t="shared" si="69"/>
        <v>0</v>
      </c>
      <c r="BJ76" s="149">
        <f t="shared" si="70"/>
        <v>0</v>
      </c>
      <c r="BK76" s="149" t="str">
        <f>IFERROR(#REF!/$BB76,"")</f>
        <v/>
      </c>
      <c r="BL76" s="149" t="str">
        <f>IFERROR(#REF!/$BB76,"")</f>
        <v/>
      </c>
      <c r="BM76" s="149">
        <f t="shared" si="71"/>
        <v>0</v>
      </c>
      <c r="BN76" s="149">
        <f t="shared" si="72"/>
        <v>0</v>
      </c>
      <c r="BO76" s="149">
        <f t="shared" si="73"/>
        <v>0</v>
      </c>
      <c r="BP76" s="149">
        <f t="shared" si="74"/>
        <v>0</v>
      </c>
      <c r="BQ76" s="149">
        <f t="shared" si="75"/>
        <v>0</v>
      </c>
      <c r="BR76" s="149" t="str">
        <f>IFERROR(#REF!/$BB76,"")</f>
        <v/>
      </c>
      <c r="BS76" s="149" t="str">
        <f>IFERROR(#REF!/$BB76,"")</f>
        <v/>
      </c>
      <c r="BT76" s="149">
        <f t="shared" si="76"/>
        <v>1</v>
      </c>
      <c r="BU76" s="149">
        <f t="shared" si="77"/>
        <v>0</v>
      </c>
      <c r="BV76" s="149">
        <f t="shared" si="78"/>
        <v>0</v>
      </c>
      <c r="BW76" s="149">
        <f t="shared" si="79"/>
        <v>0</v>
      </c>
      <c r="BX76" s="149">
        <f t="shared" si="80"/>
        <v>0</v>
      </c>
      <c r="BY76" s="149" t="str">
        <f>IFERROR(#REF!/$BB76,"")</f>
        <v/>
      </c>
      <c r="BZ76" s="149" t="str">
        <f>IFERROR(#REF!/$BB76,"")</f>
        <v/>
      </c>
      <c r="CA76" s="149">
        <f t="shared" si="81"/>
        <v>0</v>
      </c>
      <c r="CB76" s="149">
        <f t="shared" si="82"/>
        <v>0</v>
      </c>
      <c r="CC76" s="207">
        <f t="shared" si="83"/>
        <v>1</v>
      </c>
      <c r="CD76" s="208" t="b">
        <f t="shared" si="57"/>
        <v>1</v>
      </c>
    </row>
    <row r="77" spans="3:82" x14ac:dyDescent="0.25">
      <c r="C77" s="44">
        <v>91</v>
      </c>
      <c r="D77" s="149"/>
      <c r="E77" s="149"/>
      <c r="F77" s="55"/>
      <c r="G77" s="55"/>
      <c r="H77" s="55"/>
      <c r="I77" s="55"/>
      <c r="J77" s="55"/>
      <c r="K77" s="55">
        <v>46</v>
      </c>
      <c r="L77" s="55"/>
      <c r="M77" s="55"/>
      <c r="N77" s="55"/>
      <c r="O77" s="55"/>
      <c r="P77" s="55"/>
      <c r="Q77" s="55"/>
      <c r="W77" s="127">
        <f t="shared" si="58"/>
        <v>46</v>
      </c>
      <c r="X77">
        <f t="shared" si="59"/>
        <v>1</v>
      </c>
      <c r="Y77" t="b">
        <f>LOOKUP($C77,Table7[Sample Name],Table7[Positive])</f>
        <v>1</v>
      </c>
      <c r="Z77" t="b">
        <f>LOOKUP($C77,Table7[Sample Name],Table7[Disseminated])</f>
        <v>1</v>
      </c>
      <c r="AA77">
        <f t="shared" si="60"/>
        <v>46</v>
      </c>
      <c r="AD77" s="325">
        <v>91</v>
      </c>
      <c r="AE77" s="43">
        <v>46</v>
      </c>
      <c r="AF77" s="128"/>
      <c r="AG77">
        <f t="shared" si="84"/>
        <v>46</v>
      </c>
      <c r="AH77">
        <f t="shared" si="85"/>
        <v>1</v>
      </c>
      <c r="AJ77" s="207">
        <v>91</v>
      </c>
      <c r="AK77" s="127" t="str">
        <f t="shared" si="61"/>
        <v/>
      </c>
      <c r="AL77" s="128" t="str">
        <f t="shared" si="62"/>
        <v/>
      </c>
      <c r="AM77">
        <f t="shared" si="86"/>
        <v>0</v>
      </c>
      <c r="AO77">
        <f t="shared" si="87"/>
        <v>-46</v>
      </c>
      <c r="BB77" s="134">
        <f t="shared" si="63"/>
        <v>46</v>
      </c>
      <c r="BC77" s="44">
        <v>91</v>
      </c>
      <c r="BD77" s="149">
        <f t="shared" si="64"/>
        <v>0</v>
      </c>
      <c r="BE77" s="149">
        <f t="shared" si="65"/>
        <v>0</v>
      </c>
      <c r="BF77" s="149">
        <f t="shared" si="66"/>
        <v>0</v>
      </c>
      <c r="BG77" s="149">
        <f t="shared" si="67"/>
        <v>0</v>
      </c>
      <c r="BH77" s="149">
        <f t="shared" si="68"/>
        <v>0</v>
      </c>
      <c r="BI77" s="149">
        <f t="shared" si="69"/>
        <v>0</v>
      </c>
      <c r="BJ77" s="149">
        <f t="shared" si="70"/>
        <v>0</v>
      </c>
      <c r="BK77" s="149" t="str">
        <f>IFERROR(#REF!/$BB77,"")</f>
        <v/>
      </c>
      <c r="BL77" s="149" t="str">
        <f>IFERROR(#REF!/$BB77,"")</f>
        <v/>
      </c>
      <c r="BM77" s="149">
        <f t="shared" si="71"/>
        <v>1</v>
      </c>
      <c r="BN77" s="149">
        <f t="shared" si="72"/>
        <v>0</v>
      </c>
      <c r="BO77" s="149">
        <f t="shared" si="73"/>
        <v>0</v>
      </c>
      <c r="BP77" s="149">
        <f t="shared" si="74"/>
        <v>0</v>
      </c>
      <c r="BQ77" s="149">
        <f t="shared" si="75"/>
        <v>0</v>
      </c>
      <c r="BR77" s="149" t="str">
        <f>IFERROR(#REF!/$BB77,"")</f>
        <v/>
      </c>
      <c r="BS77" s="149" t="str">
        <f>IFERROR(#REF!/$BB77,"")</f>
        <v/>
      </c>
      <c r="BT77" s="149">
        <f t="shared" si="76"/>
        <v>0</v>
      </c>
      <c r="BU77" s="149">
        <f t="shared" si="77"/>
        <v>0</v>
      </c>
      <c r="BV77" s="149">
        <f t="shared" si="78"/>
        <v>0</v>
      </c>
      <c r="BW77" s="149">
        <f t="shared" si="79"/>
        <v>0</v>
      </c>
      <c r="BX77" s="149">
        <f t="shared" si="80"/>
        <v>0</v>
      </c>
      <c r="BY77" s="149" t="str">
        <f>IFERROR(#REF!/$BB77,"")</f>
        <v/>
      </c>
      <c r="BZ77" s="149" t="str">
        <f>IFERROR(#REF!/$BB77,"")</f>
        <v/>
      </c>
      <c r="CA77" s="149">
        <f t="shared" si="81"/>
        <v>0</v>
      </c>
      <c r="CB77" s="149">
        <f t="shared" si="82"/>
        <v>0</v>
      </c>
      <c r="CC77" s="207">
        <f t="shared" si="83"/>
        <v>1</v>
      </c>
      <c r="CD77" s="208" t="b">
        <f t="shared" si="57"/>
        <v>1</v>
      </c>
    </row>
    <row r="78" spans="3:82" x14ac:dyDescent="0.25">
      <c r="C78" s="44">
        <v>92</v>
      </c>
      <c r="D78" s="149"/>
      <c r="E78" s="149"/>
      <c r="F78" s="55">
        <v>0</v>
      </c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W78" s="127">
        <f t="shared" si="58"/>
        <v>0</v>
      </c>
      <c r="X78">
        <f t="shared" si="59"/>
        <v>0</v>
      </c>
      <c r="Y78" t="b">
        <f>LOOKUP($C78,Table7[Sample Name],Table7[Positive])</f>
        <v>1</v>
      </c>
      <c r="Z78" t="b">
        <f>LOOKUP($C78,Table7[Sample Name],Table7[Disseminated])</f>
        <v>1</v>
      </c>
      <c r="AA78">
        <f t="shared" si="60"/>
        <v>0</v>
      </c>
      <c r="AD78" s="325">
        <v>92</v>
      </c>
      <c r="AE78" s="43">
        <v>0</v>
      </c>
      <c r="AF78" s="128"/>
      <c r="AG78">
        <f t="shared" si="84"/>
        <v>0</v>
      </c>
      <c r="AH78">
        <f t="shared" si="85"/>
        <v>0</v>
      </c>
      <c r="AJ78" s="207">
        <v>92</v>
      </c>
      <c r="AK78" s="127" t="str">
        <f t="shared" si="61"/>
        <v/>
      </c>
      <c r="AL78" s="128" t="str">
        <f t="shared" si="62"/>
        <v/>
      </c>
      <c r="AM78">
        <f t="shared" si="86"/>
        <v>0</v>
      </c>
      <c r="AO78">
        <f t="shared" si="87"/>
        <v>0</v>
      </c>
      <c r="BB78" s="134">
        <f t="shared" si="63"/>
        <v>0</v>
      </c>
      <c r="BC78" s="44">
        <v>92</v>
      </c>
      <c r="BD78" s="149" t="str">
        <f t="shared" si="64"/>
        <v/>
      </c>
      <c r="BE78" s="149" t="str">
        <f t="shared" si="65"/>
        <v/>
      </c>
      <c r="BF78" s="149" t="str">
        <f t="shared" si="66"/>
        <v/>
      </c>
      <c r="BG78" s="149" t="str">
        <f t="shared" si="67"/>
        <v/>
      </c>
      <c r="BH78" s="149" t="str">
        <f t="shared" si="68"/>
        <v/>
      </c>
      <c r="BI78" s="149" t="str">
        <f t="shared" si="69"/>
        <v/>
      </c>
      <c r="BJ78" s="149" t="str">
        <f t="shared" si="70"/>
        <v/>
      </c>
      <c r="BK78" s="149" t="str">
        <f>IFERROR(#REF!/$BB78,"")</f>
        <v/>
      </c>
      <c r="BL78" s="149" t="str">
        <f>IFERROR(#REF!/$BB78,"")</f>
        <v/>
      </c>
      <c r="BM78" s="149" t="str">
        <f t="shared" si="71"/>
        <v/>
      </c>
      <c r="BN78" s="149" t="str">
        <f t="shared" si="72"/>
        <v/>
      </c>
      <c r="BO78" s="149" t="str">
        <f t="shared" si="73"/>
        <v/>
      </c>
      <c r="BP78" s="149" t="str">
        <f t="shared" si="74"/>
        <v/>
      </c>
      <c r="BQ78" s="149" t="str">
        <f t="shared" si="75"/>
        <v/>
      </c>
      <c r="BR78" s="149" t="str">
        <f>IFERROR(#REF!/$BB78,"")</f>
        <v/>
      </c>
      <c r="BS78" s="149" t="str">
        <f>IFERROR(#REF!/$BB78,"")</f>
        <v/>
      </c>
      <c r="BT78" s="149" t="str">
        <f t="shared" si="76"/>
        <v/>
      </c>
      <c r="BU78" s="149" t="str">
        <f t="shared" si="77"/>
        <v/>
      </c>
      <c r="BV78" s="149" t="str">
        <f t="shared" si="78"/>
        <v/>
      </c>
      <c r="BW78" s="149" t="str">
        <f t="shared" si="79"/>
        <v/>
      </c>
      <c r="BX78" s="149" t="str">
        <f t="shared" si="80"/>
        <v/>
      </c>
      <c r="BY78" s="149" t="str">
        <f>IFERROR(#REF!/$BB78,"")</f>
        <v/>
      </c>
      <c r="BZ78" s="149" t="str">
        <f>IFERROR(#REF!/$BB78,"")</f>
        <v/>
      </c>
      <c r="CA78" s="149" t="str">
        <f t="shared" si="81"/>
        <v/>
      </c>
      <c r="CB78" s="149" t="str">
        <f t="shared" si="82"/>
        <v/>
      </c>
      <c r="CC78" s="207" t="str">
        <f t="shared" si="83"/>
        <v/>
      </c>
      <c r="CD78" s="208" t="str">
        <f t="shared" si="57"/>
        <v/>
      </c>
    </row>
    <row r="79" spans="3:82" x14ac:dyDescent="0.25">
      <c r="C79" s="44">
        <v>93</v>
      </c>
      <c r="D79" s="149"/>
      <c r="E79" s="149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>
        <v>0</v>
      </c>
      <c r="Q79" s="55"/>
      <c r="W79" s="127">
        <f t="shared" si="58"/>
        <v>0</v>
      </c>
      <c r="X79">
        <f t="shared" si="59"/>
        <v>0</v>
      </c>
      <c r="Y79" t="b">
        <f>LOOKUP($C79,Table7[Sample Name],Table7[Positive])</f>
        <v>1</v>
      </c>
      <c r="Z79" t="b">
        <f>LOOKUP($C79,Table7[Sample Name],Table7[Disseminated])</f>
        <v>1</v>
      </c>
      <c r="AA79">
        <f t="shared" si="60"/>
        <v>0</v>
      </c>
      <c r="AD79" s="325">
        <v>93</v>
      </c>
      <c r="AE79" s="43">
        <v>0</v>
      </c>
      <c r="AF79" s="128"/>
      <c r="AG79">
        <f t="shared" si="84"/>
        <v>0</v>
      </c>
      <c r="AH79">
        <f t="shared" si="85"/>
        <v>0</v>
      </c>
      <c r="AJ79" s="207">
        <v>93</v>
      </c>
      <c r="AK79" s="127" t="str">
        <f t="shared" si="61"/>
        <v/>
      </c>
      <c r="AL79" s="128" t="str">
        <f t="shared" si="62"/>
        <v/>
      </c>
      <c r="AM79">
        <f t="shared" si="86"/>
        <v>0</v>
      </c>
      <c r="AO79">
        <f t="shared" si="87"/>
        <v>0</v>
      </c>
      <c r="BB79" s="134">
        <f t="shared" si="63"/>
        <v>0</v>
      </c>
      <c r="BC79" s="44">
        <v>93</v>
      </c>
      <c r="BD79" s="149" t="str">
        <f t="shared" si="64"/>
        <v/>
      </c>
      <c r="BE79" s="149" t="str">
        <f t="shared" si="65"/>
        <v/>
      </c>
      <c r="BF79" s="149" t="str">
        <f t="shared" si="66"/>
        <v/>
      </c>
      <c r="BG79" s="149" t="str">
        <f t="shared" si="67"/>
        <v/>
      </c>
      <c r="BH79" s="149" t="str">
        <f t="shared" si="68"/>
        <v/>
      </c>
      <c r="BI79" s="149" t="str">
        <f t="shared" si="69"/>
        <v/>
      </c>
      <c r="BJ79" s="149" t="str">
        <f t="shared" si="70"/>
        <v/>
      </c>
      <c r="BK79" s="149" t="str">
        <f>IFERROR(#REF!/$BB79,"")</f>
        <v/>
      </c>
      <c r="BL79" s="149" t="str">
        <f>IFERROR(#REF!/$BB79,"")</f>
        <v/>
      </c>
      <c r="BM79" s="149" t="str">
        <f t="shared" si="71"/>
        <v/>
      </c>
      <c r="BN79" s="149" t="str">
        <f t="shared" si="72"/>
        <v/>
      </c>
      <c r="BO79" s="149" t="str">
        <f t="shared" si="73"/>
        <v/>
      </c>
      <c r="BP79" s="149" t="str">
        <f t="shared" si="74"/>
        <v/>
      </c>
      <c r="BQ79" s="149" t="str">
        <f t="shared" si="75"/>
        <v/>
      </c>
      <c r="BR79" s="149" t="str">
        <f>IFERROR(#REF!/$BB79,"")</f>
        <v/>
      </c>
      <c r="BS79" s="149" t="str">
        <f>IFERROR(#REF!/$BB79,"")</f>
        <v/>
      </c>
      <c r="BT79" s="149" t="str">
        <f t="shared" si="76"/>
        <v/>
      </c>
      <c r="BU79" s="149" t="str">
        <f t="shared" si="77"/>
        <v/>
      </c>
      <c r="BV79" s="149" t="str">
        <f t="shared" si="78"/>
        <v/>
      </c>
      <c r="BW79" s="149" t="str">
        <f t="shared" si="79"/>
        <v/>
      </c>
      <c r="BX79" s="149" t="str">
        <f t="shared" si="80"/>
        <v/>
      </c>
      <c r="BY79" s="149" t="str">
        <f>IFERROR(#REF!/$BB79,"")</f>
        <v/>
      </c>
      <c r="BZ79" s="149" t="str">
        <f>IFERROR(#REF!/$BB79,"")</f>
        <v/>
      </c>
      <c r="CA79" s="149" t="str">
        <f t="shared" si="81"/>
        <v/>
      </c>
      <c r="CB79" s="149" t="str">
        <f t="shared" si="82"/>
        <v/>
      </c>
      <c r="CC79" s="207" t="str">
        <f t="shared" si="83"/>
        <v/>
      </c>
      <c r="CD79" s="208" t="str">
        <f t="shared" si="57"/>
        <v/>
      </c>
    </row>
    <row r="80" spans="3:82" x14ac:dyDescent="0.25">
      <c r="C80" s="44">
        <v>94</v>
      </c>
      <c r="D80" s="149"/>
      <c r="E80" s="149"/>
      <c r="F80" s="55">
        <v>0</v>
      </c>
      <c r="G80" s="55"/>
      <c r="H80" s="55"/>
      <c r="I80" s="55">
        <v>32</v>
      </c>
      <c r="J80" s="55"/>
      <c r="K80" s="55"/>
      <c r="L80" s="55"/>
      <c r="M80" s="55"/>
      <c r="N80" s="55"/>
      <c r="O80" s="55"/>
      <c r="P80" s="55">
        <v>0</v>
      </c>
      <c r="Q80" s="55"/>
      <c r="W80" s="127">
        <f t="shared" si="58"/>
        <v>32</v>
      </c>
      <c r="X80">
        <f t="shared" si="59"/>
        <v>1</v>
      </c>
      <c r="Y80" t="b">
        <f>LOOKUP($C80,Table7[Sample Name],Table7[Positive])</f>
        <v>1</v>
      </c>
      <c r="Z80" t="b">
        <f>LOOKUP($C80,Table7[Sample Name],Table7[Disseminated])</f>
        <v>1</v>
      </c>
      <c r="AA80">
        <f t="shared" si="60"/>
        <v>32</v>
      </c>
      <c r="AD80" s="325">
        <v>94</v>
      </c>
      <c r="AE80" s="43">
        <v>32</v>
      </c>
      <c r="AF80" s="128"/>
      <c r="AG80">
        <f t="shared" si="84"/>
        <v>32</v>
      </c>
      <c r="AH80">
        <f t="shared" si="85"/>
        <v>1</v>
      </c>
      <c r="AJ80" s="207">
        <v>94</v>
      </c>
      <c r="AK80" s="127" t="str">
        <f t="shared" si="61"/>
        <v/>
      </c>
      <c r="AL80" s="128" t="str">
        <f t="shared" si="62"/>
        <v/>
      </c>
      <c r="AM80">
        <f t="shared" si="86"/>
        <v>0</v>
      </c>
      <c r="AO80">
        <f t="shared" si="87"/>
        <v>-32</v>
      </c>
      <c r="BB80" s="134">
        <f t="shared" si="63"/>
        <v>32</v>
      </c>
      <c r="BC80" s="44">
        <v>94</v>
      </c>
      <c r="BD80" s="149">
        <f t="shared" si="64"/>
        <v>0</v>
      </c>
      <c r="BE80" s="149">
        <f t="shared" si="65"/>
        <v>0</v>
      </c>
      <c r="BF80" s="149">
        <f t="shared" si="66"/>
        <v>0</v>
      </c>
      <c r="BG80" s="149">
        <f t="shared" si="67"/>
        <v>0</v>
      </c>
      <c r="BH80" s="149">
        <f t="shared" si="68"/>
        <v>0</v>
      </c>
      <c r="BI80" s="149">
        <f t="shared" si="69"/>
        <v>1</v>
      </c>
      <c r="BJ80" s="149">
        <f t="shared" si="70"/>
        <v>0</v>
      </c>
      <c r="BK80" s="149" t="str">
        <f>IFERROR(#REF!/$BB80,"")</f>
        <v/>
      </c>
      <c r="BL80" s="149" t="str">
        <f>IFERROR(#REF!/$BB80,"")</f>
        <v/>
      </c>
      <c r="BM80" s="149">
        <f t="shared" si="71"/>
        <v>0</v>
      </c>
      <c r="BN80" s="149">
        <f t="shared" si="72"/>
        <v>0</v>
      </c>
      <c r="BO80" s="149">
        <f t="shared" si="73"/>
        <v>0</v>
      </c>
      <c r="BP80" s="149">
        <f t="shared" si="74"/>
        <v>0</v>
      </c>
      <c r="BQ80" s="149">
        <f t="shared" si="75"/>
        <v>0</v>
      </c>
      <c r="BR80" s="149" t="str">
        <f>IFERROR(#REF!/$BB80,"")</f>
        <v/>
      </c>
      <c r="BS80" s="149" t="str">
        <f>IFERROR(#REF!/$BB80,"")</f>
        <v/>
      </c>
      <c r="BT80" s="149">
        <f t="shared" si="76"/>
        <v>0</v>
      </c>
      <c r="BU80" s="149">
        <f t="shared" si="77"/>
        <v>0</v>
      </c>
      <c r="BV80" s="149">
        <f t="shared" si="78"/>
        <v>0</v>
      </c>
      <c r="BW80" s="149">
        <f t="shared" si="79"/>
        <v>0</v>
      </c>
      <c r="BX80" s="149">
        <f t="shared" si="80"/>
        <v>0</v>
      </c>
      <c r="BY80" s="149" t="str">
        <f>IFERROR(#REF!/$BB80,"")</f>
        <v/>
      </c>
      <c r="BZ80" s="149" t="str">
        <f>IFERROR(#REF!/$BB80,"")</f>
        <v/>
      </c>
      <c r="CA80" s="149">
        <f t="shared" si="81"/>
        <v>0</v>
      </c>
      <c r="CB80" s="149">
        <f t="shared" si="82"/>
        <v>0</v>
      </c>
      <c r="CC80" s="207">
        <f t="shared" si="83"/>
        <v>1</v>
      </c>
      <c r="CD80" s="208" t="b">
        <f t="shared" si="57"/>
        <v>1</v>
      </c>
    </row>
    <row r="81" spans="3:82" x14ac:dyDescent="0.25">
      <c r="C81" s="44">
        <v>95</v>
      </c>
      <c r="D81" s="149"/>
      <c r="E81" s="149"/>
      <c r="F81" s="55">
        <v>0</v>
      </c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W81" s="127">
        <f t="shared" si="58"/>
        <v>0</v>
      </c>
      <c r="X81">
        <f t="shared" si="59"/>
        <v>0</v>
      </c>
      <c r="Y81" t="b">
        <f>LOOKUP($C81,Table7[Sample Name],Table7[Positive])</f>
        <v>1</v>
      </c>
      <c r="Z81" t="b">
        <f>LOOKUP($C81,Table7[Sample Name],Table7[Disseminated])</f>
        <v>1</v>
      </c>
      <c r="AA81">
        <f t="shared" si="60"/>
        <v>0</v>
      </c>
      <c r="AD81" s="325">
        <v>95</v>
      </c>
      <c r="AE81" s="43">
        <v>0</v>
      </c>
      <c r="AF81" s="128"/>
      <c r="AG81">
        <f t="shared" si="84"/>
        <v>0</v>
      </c>
      <c r="AH81">
        <f t="shared" si="85"/>
        <v>0</v>
      </c>
      <c r="AJ81" s="207">
        <v>95</v>
      </c>
      <c r="AK81" s="127" t="str">
        <f t="shared" si="61"/>
        <v/>
      </c>
      <c r="AL81" s="128" t="str">
        <f t="shared" si="62"/>
        <v/>
      </c>
      <c r="AM81">
        <f t="shared" si="86"/>
        <v>0</v>
      </c>
      <c r="AO81">
        <f t="shared" si="87"/>
        <v>0</v>
      </c>
      <c r="BB81" s="134">
        <f t="shared" si="63"/>
        <v>0</v>
      </c>
      <c r="BC81" s="44">
        <v>95</v>
      </c>
      <c r="BD81" s="149" t="str">
        <f t="shared" si="64"/>
        <v/>
      </c>
      <c r="BE81" s="149" t="str">
        <f t="shared" si="65"/>
        <v/>
      </c>
      <c r="BF81" s="149" t="str">
        <f t="shared" si="66"/>
        <v/>
      </c>
      <c r="BG81" s="149" t="str">
        <f t="shared" si="67"/>
        <v/>
      </c>
      <c r="BH81" s="149" t="str">
        <f t="shared" si="68"/>
        <v/>
      </c>
      <c r="BI81" s="149" t="str">
        <f t="shared" si="69"/>
        <v/>
      </c>
      <c r="BJ81" s="149" t="str">
        <f t="shared" si="70"/>
        <v/>
      </c>
      <c r="BK81" s="149" t="str">
        <f>IFERROR(#REF!/$BB81,"")</f>
        <v/>
      </c>
      <c r="BL81" s="149" t="str">
        <f>IFERROR(#REF!/$BB81,"")</f>
        <v/>
      </c>
      <c r="BM81" s="149" t="str">
        <f t="shared" si="71"/>
        <v/>
      </c>
      <c r="BN81" s="149" t="str">
        <f t="shared" si="72"/>
        <v/>
      </c>
      <c r="BO81" s="149" t="str">
        <f t="shared" si="73"/>
        <v/>
      </c>
      <c r="BP81" s="149" t="str">
        <f t="shared" si="74"/>
        <v/>
      </c>
      <c r="BQ81" s="149" t="str">
        <f t="shared" si="75"/>
        <v/>
      </c>
      <c r="BR81" s="149" t="str">
        <f>IFERROR(#REF!/$BB81,"")</f>
        <v/>
      </c>
      <c r="BS81" s="149" t="str">
        <f>IFERROR(#REF!/$BB81,"")</f>
        <v/>
      </c>
      <c r="BT81" s="149" t="str">
        <f t="shared" si="76"/>
        <v/>
      </c>
      <c r="BU81" s="149" t="str">
        <f t="shared" si="77"/>
        <v/>
      </c>
      <c r="BV81" s="149" t="str">
        <f t="shared" si="78"/>
        <v/>
      </c>
      <c r="BW81" s="149" t="str">
        <f t="shared" si="79"/>
        <v/>
      </c>
      <c r="BX81" s="149" t="str">
        <f t="shared" si="80"/>
        <v/>
      </c>
      <c r="BY81" s="149" t="str">
        <f>IFERROR(#REF!/$BB81,"")</f>
        <v/>
      </c>
      <c r="BZ81" s="149" t="str">
        <f>IFERROR(#REF!/$BB81,"")</f>
        <v/>
      </c>
      <c r="CA81" s="149" t="str">
        <f t="shared" si="81"/>
        <v/>
      </c>
      <c r="CB81" s="149" t="str">
        <f t="shared" si="82"/>
        <v/>
      </c>
      <c r="CC81" s="207" t="str">
        <f t="shared" si="83"/>
        <v/>
      </c>
      <c r="CD81" s="208" t="str">
        <f t="shared" si="57"/>
        <v/>
      </c>
    </row>
    <row r="82" spans="3:82" x14ac:dyDescent="0.25">
      <c r="C82" s="44">
        <v>96</v>
      </c>
      <c r="D82" s="149"/>
      <c r="E82" s="149"/>
      <c r="F82" s="55">
        <v>12</v>
      </c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W82" s="127">
        <f t="shared" si="58"/>
        <v>12</v>
      </c>
      <c r="X82">
        <f t="shared" si="59"/>
        <v>1</v>
      </c>
      <c r="Y82" t="b">
        <f>LOOKUP($C82,Table7[Sample Name],Table7[Positive])</f>
        <v>1</v>
      </c>
      <c r="Z82" t="b">
        <f>LOOKUP($C82,Table7[Sample Name],Table7[Disseminated])</f>
        <v>1</v>
      </c>
      <c r="AA82">
        <f t="shared" si="60"/>
        <v>12</v>
      </c>
      <c r="AD82" s="325">
        <v>96</v>
      </c>
      <c r="AE82" s="43">
        <v>12</v>
      </c>
      <c r="AF82" s="128"/>
      <c r="AG82">
        <f t="shared" si="84"/>
        <v>12</v>
      </c>
      <c r="AH82">
        <f t="shared" si="85"/>
        <v>1</v>
      </c>
      <c r="AJ82" s="207">
        <v>96</v>
      </c>
      <c r="AK82" s="127" t="str">
        <f t="shared" si="61"/>
        <v/>
      </c>
      <c r="AL82" s="128" t="str">
        <f t="shared" si="62"/>
        <v/>
      </c>
      <c r="AM82">
        <f t="shared" si="86"/>
        <v>0</v>
      </c>
      <c r="AO82">
        <f t="shared" si="87"/>
        <v>-12</v>
      </c>
      <c r="BB82" s="134">
        <f t="shared" si="63"/>
        <v>12</v>
      </c>
      <c r="BC82" s="44">
        <v>96</v>
      </c>
      <c r="BD82" s="149">
        <f t="shared" si="64"/>
        <v>0</v>
      </c>
      <c r="BE82" s="149">
        <f t="shared" si="65"/>
        <v>0</v>
      </c>
      <c r="BF82" s="149">
        <f t="shared" si="66"/>
        <v>1</v>
      </c>
      <c r="BG82" s="149">
        <f t="shared" si="67"/>
        <v>0</v>
      </c>
      <c r="BH82" s="149">
        <f t="shared" si="68"/>
        <v>0</v>
      </c>
      <c r="BI82" s="149">
        <f t="shared" si="69"/>
        <v>0</v>
      </c>
      <c r="BJ82" s="149">
        <f t="shared" si="70"/>
        <v>0</v>
      </c>
      <c r="BK82" s="149" t="str">
        <f>IFERROR(#REF!/$BB82,"")</f>
        <v/>
      </c>
      <c r="BL82" s="149" t="str">
        <f>IFERROR(#REF!/$BB82,"")</f>
        <v/>
      </c>
      <c r="BM82" s="149">
        <f t="shared" si="71"/>
        <v>0</v>
      </c>
      <c r="BN82" s="149">
        <f t="shared" si="72"/>
        <v>0</v>
      </c>
      <c r="BO82" s="149">
        <f t="shared" si="73"/>
        <v>0</v>
      </c>
      <c r="BP82" s="149">
        <f t="shared" si="74"/>
        <v>0</v>
      </c>
      <c r="BQ82" s="149">
        <f t="shared" si="75"/>
        <v>0</v>
      </c>
      <c r="BR82" s="149" t="str">
        <f>IFERROR(#REF!/$BB82,"")</f>
        <v/>
      </c>
      <c r="BS82" s="149" t="str">
        <f>IFERROR(#REF!/$BB82,"")</f>
        <v/>
      </c>
      <c r="BT82" s="149">
        <f t="shared" si="76"/>
        <v>0</v>
      </c>
      <c r="BU82" s="149">
        <f t="shared" si="77"/>
        <v>0</v>
      </c>
      <c r="BV82" s="149">
        <f t="shared" si="78"/>
        <v>0</v>
      </c>
      <c r="BW82" s="149">
        <f t="shared" si="79"/>
        <v>0</v>
      </c>
      <c r="BX82" s="149">
        <f t="shared" si="80"/>
        <v>0</v>
      </c>
      <c r="BY82" s="149" t="str">
        <f>IFERROR(#REF!/$BB82,"")</f>
        <v/>
      </c>
      <c r="BZ82" s="149" t="str">
        <f>IFERROR(#REF!/$BB82,"")</f>
        <v/>
      </c>
      <c r="CA82" s="149">
        <f t="shared" si="81"/>
        <v>0</v>
      </c>
      <c r="CB82" s="149">
        <f t="shared" si="82"/>
        <v>0</v>
      </c>
      <c r="CC82" s="207">
        <f t="shared" si="83"/>
        <v>1</v>
      </c>
      <c r="CD82" s="208" t="b">
        <f t="shared" si="57"/>
        <v>1</v>
      </c>
    </row>
    <row r="83" spans="3:82" x14ac:dyDescent="0.25">
      <c r="C83" s="44">
        <v>97</v>
      </c>
      <c r="D83" s="149"/>
      <c r="E83" s="149"/>
      <c r="F83" s="55"/>
      <c r="G83" s="55"/>
      <c r="H83" s="55"/>
      <c r="I83" s="55"/>
      <c r="J83" s="55"/>
      <c r="K83" s="55">
        <v>15</v>
      </c>
      <c r="L83" s="55"/>
      <c r="M83" s="55"/>
      <c r="N83" s="55"/>
      <c r="O83" s="55"/>
      <c r="P83" s="55"/>
      <c r="Q83" s="55"/>
      <c r="W83" s="127">
        <f t="shared" si="58"/>
        <v>15</v>
      </c>
      <c r="X83">
        <f t="shared" si="59"/>
        <v>1</v>
      </c>
      <c r="Y83" t="b">
        <f>LOOKUP($C83,Table7[Sample Name],Table7[Positive])</f>
        <v>1</v>
      </c>
      <c r="Z83" t="b">
        <f>LOOKUP($C83,Table7[Sample Name],Table7[Disseminated])</f>
        <v>1</v>
      </c>
      <c r="AA83">
        <f t="shared" si="60"/>
        <v>15</v>
      </c>
      <c r="AD83" s="325">
        <v>97</v>
      </c>
      <c r="AE83" s="43">
        <v>15</v>
      </c>
      <c r="AF83" s="128"/>
      <c r="AG83">
        <f t="shared" si="84"/>
        <v>15</v>
      </c>
      <c r="AH83">
        <f t="shared" si="85"/>
        <v>1</v>
      </c>
      <c r="AJ83" s="207">
        <v>97</v>
      </c>
      <c r="AK83" s="127" t="str">
        <f t="shared" si="61"/>
        <v/>
      </c>
      <c r="AL83" s="128" t="str">
        <f t="shared" si="62"/>
        <v/>
      </c>
      <c r="AM83">
        <f t="shared" si="86"/>
        <v>0</v>
      </c>
      <c r="AO83">
        <f t="shared" si="87"/>
        <v>-15</v>
      </c>
      <c r="BB83" s="134">
        <f t="shared" si="63"/>
        <v>15</v>
      </c>
      <c r="BC83" s="44">
        <v>97</v>
      </c>
      <c r="BD83" s="149">
        <f t="shared" si="64"/>
        <v>0</v>
      </c>
      <c r="BE83" s="149">
        <f t="shared" si="65"/>
        <v>0</v>
      </c>
      <c r="BF83" s="149">
        <f t="shared" si="66"/>
        <v>0</v>
      </c>
      <c r="BG83" s="149">
        <f t="shared" si="67"/>
        <v>0</v>
      </c>
      <c r="BH83" s="149">
        <f t="shared" si="68"/>
        <v>0</v>
      </c>
      <c r="BI83" s="149">
        <f t="shared" si="69"/>
        <v>0</v>
      </c>
      <c r="BJ83" s="149">
        <f t="shared" si="70"/>
        <v>0</v>
      </c>
      <c r="BK83" s="149" t="str">
        <f>IFERROR(#REF!/$BB83,"")</f>
        <v/>
      </c>
      <c r="BL83" s="149" t="str">
        <f>IFERROR(#REF!/$BB83,"")</f>
        <v/>
      </c>
      <c r="BM83" s="149">
        <f t="shared" si="71"/>
        <v>1</v>
      </c>
      <c r="BN83" s="149">
        <f t="shared" si="72"/>
        <v>0</v>
      </c>
      <c r="BO83" s="149">
        <f t="shared" si="73"/>
        <v>0</v>
      </c>
      <c r="BP83" s="149">
        <f t="shared" si="74"/>
        <v>0</v>
      </c>
      <c r="BQ83" s="149">
        <f t="shared" si="75"/>
        <v>0</v>
      </c>
      <c r="BR83" s="149" t="str">
        <f>IFERROR(#REF!/$BB83,"")</f>
        <v/>
      </c>
      <c r="BS83" s="149" t="str">
        <f>IFERROR(#REF!/$BB83,"")</f>
        <v/>
      </c>
      <c r="BT83" s="149">
        <f t="shared" si="76"/>
        <v>0</v>
      </c>
      <c r="BU83" s="149">
        <f t="shared" si="77"/>
        <v>0</v>
      </c>
      <c r="BV83" s="149">
        <f t="shared" si="78"/>
        <v>0</v>
      </c>
      <c r="BW83" s="149">
        <f t="shared" si="79"/>
        <v>0</v>
      </c>
      <c r="BX83" s="149">
        <f t="shared" si="80"/>
        <v>0</v>
      </c>
      <c r="BY83" s="149" t="str">
        <f>IFERROR(#REF!/$BB83,"")</f>
        <v/>
      </c>
      <c r="BZ83" s="149" t="str">
        <f>IFERROR(#REF!/$BB83,"")</f>
        <v/>
      </c>
      <c r="CA83" s="149">
        <f t="shared" si="81"/>
        <v>0</v>
      </c>
      <c r="CB83" s="149">
        <f t="shared" si="82"/>
        <v>0</v>
      </c>
      <c r="CC83" s="207">
        <f t="shared" si="83"/>
        <v>1</v>
      </c>
      <c r="CD83" s="208" t="b">
        <f t="shared" si="57"/>
        <v>1</v>
      </c>
    </row>
    <row r="84" spans="3:82" x14ac:dyDescent="0.25">
      <c r="C84" s="44">
        <v>98</v>
      </c>
      <c r="D84" s="149"/>
      <c r="F84" s="149">
        <v>0</v>
      </c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W84" s="127">
        <f t="shared" si="58"/>
        <v>0</v>
      </c>
      <c r="X84">
        <f t="shared" si="59"/>
        <v>0</v>
      </c>
      <c r="Y84" t="b">
        <f>LOOKUP($C84,Table7[Sample Name],Table7[Positive])</f>
        <v>1</v>
      </c>
      <c r="Z84" t="b">
        <f>LOOKUP($C84,Table7[Sample Name],Table7[Disseminated])</f>
        <v>1</v>
      </c>
      <c r="AA84">
        <f t="shared" si="60"/>
        <v>0</v>
      </c>
      <c r="AD84" s="325">
        <v>98</v>
      </c>
      <c r="AE84" s="43">
        <v>0</v>
      </c>
      <c r="AF84" s="128"/>
      <c r="AG84">
        <f t="shared" si="84"/>
        <v>0</v>
      </c>
      <c r="AH84">
        <f t="shared" si="85"/>
        <v>0</v>
      </c>
      <c r="AJ84" s="207">
        <v>98</v>
      </c>
      <c r="AK84" s="127" t="str">
        <f t="shared" si="61"/>
        <v/>
      </c>
      <c r="AL84" s="128" t="str">
        <f t="shared" si="62"/>
        <v/>
      </c>
      <c r="AM84">
        <f t="shared" si="86"/>
        <v>0</v>
      </c>
      <c r="AO84">
        <f t="shared" si="87"/>
        <v>0</v>
      </c>
      <c r="BB84" s="134">
        <f t="shared" si="63"/>
        <v>0</v>
      </c>
      <c r="BC84" s="44">
        <v>98</v>
      </c>
      <c r="BD84" s="149" t="str">
        <f t="shared" si="64"/>
        <v/>
      </c>
      <c r="BE84" s="149" t="str">
        <f t="shared" si="65"/>
        <v/>
      </c>
      <c r="BF84" s="149" t="str">
        <f t="shared" si="66"/>
        <v/>
      </c>
      <c r="BG84" s="149" t="str">
        <f t="shared" si="67"/>
        <v/>
      </c>
      <c r="BH84" s="149" t="str">
        <f t="shared" si="68"/>
        <v/>
      </c>
      <c r="BI84" s="149" t="str">
        <f t="shared" si="69"/>
        <v/>
      </c>
      <c r="BJ84" s="149" t="str">
        <f t="shared" si="70"/>
        <v/>
      </c>
      <c r="BK84" s="149" t="str">
        <f>IFERROR(#REF!/$BB84,"")</f>
        <v/>
      </c>
      <c r="BL84" s="149" t="str">
        <f>IFERROR(#REF!/$BB84,"")</f>
        <v/>
      </c>
      <c r="BM84" s="149" t="str">
        <f t="shared" si="71"/>
        <v/>
      </c>
      <c r="BN84" s="149" t="str">
        <f t="shared" si="72"/>
        <v/>
      </c>
      <c r="BO84" s="149" t="str">
        <f t="shared" si="73"/>
        <v/>
      </c>
      <c r="BP84" s="149" t="str">
        <f t="shared" si="74"/>
        <v/>
      </c>
      <c r="BQ84" s="149" t="str">
        <f t="shared" si="75"/>
        <v/>
      </c>
      <c r="BR84" s="149" t="str">
        <f>IFERROR(#REF!/$BB84,"")</f>
        <v/>
      </c>
      <c r="BS84" s="149" t="str">
        <f>IFERROR(#REF!/$BB84,"")</f>
        <v/>
      </c>
      <c r="BT84" s="149" t="str">
        <f t="shared" si="76"/>
        <v/>
      </c>
      <c r="BU84" s="149" t="str">
        <f t="shared" si="77"/>
        <v/>
      </c>
      <c r="BV84" s="149" t="str">
        <f t="shared" si="78"/>
        <v/>
      </c>
      <c r="BW84" s="149" t="str">
        <f t="shared" si="79"/>
        <v/>
      </c>
      <c r="BX84" s="149" t="str">
        <f t="shared" si="80"/>
        <v/>
      </c>
      <c r="BY84" s="149" t="str">
        <f>IFERROR(#REF!/$BB84,"")</f>
        <v/>
      </c>
      <c r="BZ84" s="149" t="str">
        <f>IFERROR(#REF!/$BB84,"")</f>
        <v/>
      </c>
      <c r="CA84" s="149" t="str">
        <f t="shared" si="81"/>
        <v/>
      </c>
      <c r="CB84" s="149" t="str">
        <f t="shared" si="82"/>
        <v/>
      </c>
      <c r="CC84" s="207" t="str">
        <f t="shared" si="83"/>
        <v/>
      </c>
      <c r="CD84" s="208" t="str">
        <f t="shared" si="57"/>
        <v/>
      </c>
    </row>
    <row r="85" spans="3:82" x14ac:dyDescent="0.25">
      <c r="C85" s="44">
        <v>99</v>
      </c>
      <c r="D85" s="149"/>
      <c r="F85" s="149">
        <v>1</v>
      </c>
      <c r="G85" s="55"/>
      <c r="H85" s="55"/>
      <c r="I85" s="55"/>
      <c r="J85" s="55"/>
      <c r="K85" s="55">
        <v>12</v>
      </c>
      <c r="L85" s="55"/>
      <c r="M85" s="55"/>
      <c r="N85" s="55"/>
      <c r="O85" s="55"/>
      <c r="P85" s="55"/>
      <c r="Q85" s="55"/>
      <c r="W85" s="127">
        <f t="shared" si="58"/>
        <v>13</v>
      </c>
      <c r="X85">
        <f t="shared" si="59"/>
        <v>2</v>
      </c>
      <c r="Y85" t="b">
        <f>LOOKUP($C85,Table7[Sample Name],Table7[Positive])</f>
        <v>1</v>
      </c>
      <c r="Z85" t="b">
        <f>LOOKUP($C85,Table7[Sample Name],Table7[Disseminated])</f>
        <v>1</v>
      </c>
      <c r="AA85">
        <f t="shared" si="60"/>
        <v>12</v>
      </c>
      <c r="AD85" s="325">
        <v>99</v>
      </c>
      <c r="AE85" s="43">
        <v>1</v>
      </c>
      <c r="AF85" s="128">
        <v>12</v>
      </c>
      <c r="AG85">
        <f t="shared" si="84"/>
        <v>13</v>
      </c>
      <c r="AH85">
        <f t="shared" si="85"/>
        <v>2</v>
      </c>
      <c r="AJ85" s="207">
        <v>99</v>
      </c>
      <c r="AK85" s="127" t="str">
        <f t="shared" si="61"/>
        <v/>
      </c>
      <c r="AL85" s="128" t="str">
        <f t="shared" si="62"/>
        <v/>
      </c>
      <c r="AM85">
        <f t="shared" si="86"/>
        <v>0</v>
      </c>
      <c r="AO85">
        <f t="shared" si="87"/>
        <v>-13</v>
      </c>
      <c r="BB85" s="134">
        <f t="shared" si="63"/>
        <v>12</v>
      </c>
      <c r="BC85" s="44">
        <v>99</v>
      </c>
      <c r="BD85" s="149">
        <f t="shared" si="64"/>
        <v>0</v>
      </c>
      <c r="BE85" s="149">
        <f t="shared" si="65"/>
        <v>0</v>
      </c>
      <c r="BF85" s="149">
        <f t="shared" si="66"/>
        <v>8.3333333333333329E-2</v>
      </c>
      <c r="BG85" s="149">
        <f t="shared" si="67"/>
        <v>0</v>
      </c>
      <c r="BH85" s="149">
        <f t="shared" si="68"/>
        <v>0</v>
      </c>
      <c r="BI85" s="149">
        <f t="shared" si="69"/>
        <v>0</v>
      </c>
      <c r="BJ85" s="149">
        <f t="shared" si="70"/>
        <v>0</v>
      </c>
      <c r="BK85" s="149" t="str">
        <f>IFERROR(#REF!/$BB85,"")</f>
        <v/>
      </c>
      <c r="BL85" s="149" t="str">
        <f>IFERROR(#REF!/$BB85,"")</f>
        <v/>
      </c>
      <c r="BM85" s="149">
        <f t="shared" si="71"/>
        <v>1</v>
      </c>
      <c r="BN85" s="149">
        <f t="shared" si="72"/>
        <v>0</v>
      </c>
      <c r="BO85" s="149">
        <f t="shared" si="73"/>
        <v>0</v>
      </c>
      <c r="BP85" s="149">
        <f t="shared" si="74"/>
        <v>0</v>
      </c>
      <c r="BQ85" s="149">
        <f t="shared" si="75"/>
        <v>0</v>
      </c>
      <c r="BR85" s="149" t="str">
        <f>IFERROR(#REF!/$BB85,"")</f>
        <v/>
      </c>
      <c r="BS85" s="149" t="str">
        <f>IFERROR(#REF!/$BB85,"")</f>
        <v/>
      </c>
      <c r="BT85" s="149">
        <f t="shared" si="76"/>
        <v>0</v>
      </c>
      <c r="BU85" s="149">
        <f t="shared" si="77"/>
        <v>0</v>
      </c>
      <c r="BV85" s="149">
        <f t="shared" si="78"/>
        <v>0</v>
      </c>
      <c r="BW85" s="149">
        <f t="shared" si="79"/>
        <v>0</v>
      </c>
      <c r="BX85" s="149">
        <f t="shared" si="80"/>
        <v>0</v>
      </c>
      <c r="BY85" s="149" t="str">
        <f>IFERROR(#REF!/$BB85,"")</f>
        <v/>
      </c>
      <c r="BZ85" s="149" t="str">
        <f>IFERROR(#REF!/$BB85,"")</f>
        <v/>
      </c>
      <c r="CA85" s="149">
        <f t="shared" si="81"/>
        <v>0</v>
      </c>
      <c r="CB85" s="149">
        <f t="shared" si="82"/>
        <v>0</v>
      </c>
      <c r="CC85" s="207">
        <f t="shared" si="83"/>
        <v>1.0833333333333333</v>
      </c>
      <c r="CD85" s="208" t="b">
        <f t="shared" si="57"/>
        <v>0</v>
      </c>
    </row>
    <row r="86" spans="3:82" x14ac:dyDescent="0.25">
      <c r="C86" s="44">
        <v>100</v>
      </c>
      <c r="D86" s="149"/>
      <c r="F86" s="149">
        <v>0</v>
      </c>
      <c r="G86" s="55"/>
      <c r="H86" s="55"/>
      <c r="I86" s="55"/>
      <c r="J86" s="55"/>
      <c r="K86" s="55"/>
      <c r="L86" s="55"/>
      <c r="M86" s="55"/>
      <c r="N86" s="55">
        <v>1</v>
      </c>
      <c r="O86" s="55"/>
      <c r="P86" s="55"/>
      <c r="Q86" s="55"/>
      <c r="W86" s="127">
        <f t="shared" si="58"/>
        <v>1</v>
      </c>
      <c r="X86">
        <f t="shared" si="59"/>
        <v>1</v>
      </c>
      <c r="Y86" t="b">
        <f>LOOKUP($C86,Table7[Sample Name],Table7[Positive])</f>
        <v>1</v>
      </c>
      <c r="Z86" t="b">
        <f>LOOKUP($C86,Table7[Sample Name],Table7[Disseminated])</f>
        <v>1</v>
      </c>
      <c r="AA86">
        <f t="shared" si="60"/>
        <v>1</v>
      </c>
      <c r="AD86" s="325">
        <v>100</v>
      </c>
      <c r="AE86" s="43">
        <v>1</v>
      </c>
      <c r="AF86" s="128"/>
      <c r="AG86">
        <f t="shared" si="84"/>
        <v>1</v>
      </c>
      <c r="AH86">
        <f t="shared" si="85"/>
        <v>1</v>
      </c>
      <c r="AJ86" s="207">
        <v>100</v>
      </c>
      <c r="AK86" s="127" t="str">
        <f t="shared" si="61"/>
        <v/>
      </c>
      <c r="AL86" s="128" t="str">
        <f t="shared" si="62"/>
        <v/>
      </c>
      <c r="AM86">
        <f t="shared" si="86"/>
        <v>0</v>
      </c>
      <c r="AO86">
        <f t="shared" si="87"/>
        <v>-1</v>
      </c>
      <c r="BB86" s="134">
        <f t="shared" si="63"/>
        <v>1</v>
      </c>
      <c r="BC86" s="44">
        <v>100</v>
      </c>
      <c r="BD86" s="149">
        <f t="shared" si="64"/>
        <v>0</v>
      </c>
      <c r="BE86" s="149">
        <f t="shared" si="65"/>
        <v>0</v>
      </c>
      <c r="BF86" s="149">
        <f t="shared" si="66"/>
        <v>0</v>
      </c>
      <c r="BG86" s="149">
        <f t="shared" si="67"/>
        <v>0</v>
      </c>
      <c r="BH86" s="149">
        <f t="shared" si="68"/>
        <v>0</v>
      </c>
      <c r="BI86" s="149">
        <f t="shared" si="69"/>
        <v>0</v>
      </c>
      <c r="BJ86" s="149">
        <f t="shared" si="70"/>
        <v>0</v>
      </c>
      <c r="BK86" s="149" t="str">
        <f>IFERROR(#REF!/$BB86,"")</f>
        <v/>
      </c>
      <c r="BL86" s="149" t="str">
        <f>IFERROR(#REF!/$BB86,"")</f>
        <v/>
      </c>
      <c r="BM86" s="149">
        <f t="shared" si="71"/>
        <v>0</v>
      </c>
      <c r="BN86" s="149">
        <f t="shared" si="72"/>
        <v>0</v>
      </c>
      <c r="BO86" s="149">
        <f t="shared" si="73"/>
        <v>0</v>
      </c>
      <c r="BP86" s="149">
        <f t="shared" si="74"/>
        <v>1</v>
      </c>
      <c r="BQ86" s="149">
        <f t="shared" si="75"/>
        <v>0</v>
      </c>
      <c r="BR86" s="149" t="str">
        <f>IFERROR(#REF!/$BB86,"")</f>
        <v/>
      </c>
      <c r="BS86" s="149" t="str">
        <f>IFERROR(#REF!/$BB86,"")</f>
        <v/>
      </c>
      <c r="BT86" s="149">
        <f t="shared" si="76"/>
        <v>0</v>
      </c>
      <c r="BU86" s="149">
        <f t="shared" si="77"/>
        <v>0</v>
      </c>
      <c r="BV86" s="149">
        <f t="shared" si="78"/>
        <v>0</v>
      </c>
      <c r="BW86" s="149">
        <f t="shared" si="79"/>
        <v>0</v>
      </c>
      <c r="BX86" s="149">
        <f t="shared" si="80"/>
        <v>0</v>
      </c>
      <c r="BY86" s="149" t="str">
        <f>IFERROR(#REF!/$BB86,"")</f>
        <v/>
      </c>
      <c r="BZ86" s="149" t="str">
        <f>IFERROR(#REF!/$BB86,"")</f>
        <v/>
      </c>
      <c r="CA86" s="149">
        <f t="shared" si="81"/>
        <v>0</v>
      </c>
      <c r="CB86" s="149">
        <f t="shared" si="82"/>
        <v>0</v>
      </c>
      <c r="CC86" s="207">
        <f t="shared" si="83"/>
        <v>1</v>
      </c>
      <c r="CD86" s="208" t="b">
        <f t="shared" si="57"/>
        <v>1</v>
      </c>
    </row>
    <row r="87" spans="3:82" x14ac:dyDescent="0.25">
      <c r="C87" s="44">
        <v>101</v>
      </c>
      <c r="D87" s="149"/>
      <c r="E87" s="149"/>
      <c r="F87" s="54">
        <v>0</v>
      </c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W87" s="127">
        <f t="shared" si="58"/>
        <v>0</v>
      </c>
      <c r="X87">
        <f t="shared" si="59"/>
        <v>0</v>
      </c>
      <c r="Y87" t="b">
        <f>LOOKUP($C87,Table7[Sample Name],Table7[Positive])</f>
        <v>1</v>
      </c>
      <c r="Z87" t="b">
        <f>LOOKUP($C87,Table7[Sample Name],Table7[Disseminated])</f>
        <v>1</v>
      </c>
      <c r="AA87">
        <f t="shared" si="60"/>
        <v>0</v>
      </c>
      <c r="AD87" s="325">
        <v>101</v>
      </c>
      <c r="AE87" s="43">
        <v>0</v>
      </c>
      <c r="AF87" s="128"/>
      <c r="AG87">
        <f t="shared" si="84"/>
        <v>0</v>
      </c>
      <c r="AH87">
        <f t="shared" si="85"/>
        <v>0</v>
      </c>
      <c r="AJ87" s="207">
        <v>101</v>
      </c>
      <c r="AK87" s="127" t="str">
        <f t="shared" si="61"/>
        <v/>
      </c>
      <c r="AL87" s="128" t="str">
        <f t="shared" si="62"/>
        <v/>
      </c>
      <c r="AM87">
        <f t="shared" si="86"/>
        <v>0</v>
      </c>
      <c r="AO87">
        <f t="shared" si="87"/>
        <v>0</v>
      </c>
      <c r="BB87" s="134">
        <f t="shared" si="63"/>
        <v>0</v>
      </c>
      <c r="BC87" s="44">
        <v>101</v>
      </c>
      <c r="BD87" s="149" t="str">
        <f t="shared" si="64"/>
        <v/>
      </c>
      <c r="BE87" s="149" t="str">
        <f t="shared" si="65"/>
        <v/>
      </c>
      <c r="BF87" s="149" t="str">
        <f t="shared" si="66"/>
        <v/>
      </c>
      <c r="BG87" s="149" t="str">
        <f t="shared" si="67"/>
        <v/>
      </c>
      <c r="BH87" s="149" t="str">
        <f t="shared" si="68"/>
        <v/>
      </c>
      <c r="BI87" s="149" t="str">
        <f t="shared" si="69"/>
        <v/>
      </c>
      <c r="BJ87" s="149" t="str">
        <f t="shared" si="70"/>
        <v/>
      </c>
      <c r="BK87" s="149" t="str">
        <f>IFERROR(#REF!/$BB87,"")</f>
        <v/>
      </c>
      <c r="BL87" s="149" t="str">
        <f>IFERROR(#REF!/$BB87,"")</f>
        <v/>
      </c>
      <c r="BM87" s="149" t="str">
        <f t="shared" si="71"/>
        <v/>
      </c>
      <c r="BN87" s="149" t="str">
        <f t="shared" si="72"/>
        <v/>
      </c>
      <c r="BO87" s="149" t="str">
        <f t="shared" si="73"/>
        <v/>
      </c>
      <c r="BP87" s="149" t="str">
        <f t="shared" si="74"/>
        <v/>
      </c>
      <c r="BQ87" s="149" t="str">
        <f t="shared" si="75"/>
        <v/>
      </c>
      <c r="BR87" s="149" t="str">
        <f>IFERROR(#REF!/$BB87,"")</f>
        <v/>
      </c>
      <c r="BS87" s="149" t="str">
        <f>IFERROR(#REF!/$BB87,"")</f>
        <v/>
      </c>
      <c r="BT87" s="149" t="str">
        <f t="shared" si="76"/>
        <v/>
      </c>
      <c r="BU87" s="149" t="str">
        <f t="shared" si="77"/>
        <v/>
      </c>
      <c r="BV87" s="149" t="str">
        <f t="shared" si="78"/>
        <v/>
      </c>
      <c r="BW87" s="149" t="str">
        <f t="shared" si="79"/>
        <v/>
      </c>
      <c r="BX87" s="149" t="str">
        <f t="shared" si="80"/>
        <v/>
      </c>
      <c r="BY87" s="149" t="str">
        <f>IFERROR(#REF!/$BB87,"")</f>
        <v/>
      </c>
      <c r="BZ87" s="149" t="str">
        <f>IFERROR(#REF!/$BB87,"")</f>
        <v/>
      </c>
      <c r="CA87" s="149" t="str">
        <f t="shared" si="81"/>
        <v/>
      </c>
      <c r="CB87" s="149" t="str">
        <f t="shared" si="82"/>
        <v/>
      </c>
      <c r="CC87" s="207" t="str">
        <f t="shared" si="83"/>
        <v/>
      </c>
      <c r="CD87" s="208" t="str">
        <f t="shared" si="57"/>
        <v/>
      </c>
    </row>
    <row r="88" spans="3:82" x14ac:dyDescent="0.25">
      <c r="C88" s="44">
        <v>102</v>
      </c>
      <c r="D88" s="149"/>
      <c r="E88" s="149"/>
      <c r="F88" s="55"/>
      <c r="G88" s="55"/>
      <c r="H88" s="55"/>
      <c r="I88" s="55"/>
      <c r="J88" s="55"/>
      <c r="K88" s="55"/>
      <c r="L88" s="55"/>
      <c r="M88" s="55">
        <v>45</v>
      </c>
      <c r="N88" s="55"/>
      <c r="O88" s="55"/>
      <c r="P88" s="55"/>
      <c r="Q88" s="55"/>
      <c r="W88" s="127">
        <f t="shared" si="58"/>
        <v>45</v>
      </c>
      <c r="X88">
        <f t="shared" si="59"/>
        <v>1</v>
      </c>
      <c r="Y88" t="b">
        <f>LOOKUP($C88,Table7[Sample Name],Table7[Positive])</f>
        <v>1</v>
      </c>
      <c r="Z88" t="b">
        <f>LOOKUP($C88,Table7[Sample Name],Table7[Disseminated])</f>
        <v>1</v>
      </c>
      <c r="AA88">
        <f t="shared" si="60"/>
        <v>45</v>
      </c>
      <c r="AD88" s="325">
        <v>102</v>
      </c>
      <c r="AE88" s="43">
        <v>45</v>
      </c>
      <c r="AF88" s="128"/>
      <c r="AG88">
        <f t="shared" si="84"/>
        <v>45</v>
      </c>
      <c r="AH88">
        <f t="shared" si="85"/>
        <v>1</v>
      </c>
      <c r="AJ88" s="207">
        <v>102</v>
      </c>
      <c r="AK88" s="127" t="str">
        <f t="shared" si="61"/>
        <v/>
      </c>
      <c r="AL88" s="128" t="str">
        <f t="shared" si="62"/>
        <v/>
      </c>
      <c r="AM88">
        <f t="shared" si="86"/>
        <v>0</v>
      </c>
      <c r="AO88">
        <f t="shared" si="87"/>
        <v>-45</v>
      </c>
      <c r="BB88" s="134">
        <f t="shared" si="63"/>
        <v>45</v>
      </c>
      <c r="BC88" s="44">
        <v>102</v>
      </c>
      <c r="BD88" s="149">
        <f t="shared" si="64"/>
        <v>0</v>
      </c>
      <c r="BE88" s="149">
        <f t="shared" si="65"/>
        <v>0</v>
      </c>
      <c r="BF88" s="149">
        <f t="shared" si="66"/>
        <v>0</v>
      </c>
      <c r="BG88" s="149">
        <f t="shared" si="67"/>
        <v>0</v>
      </c>
      <c r="BH88" s="149">
        <f t="shared" si="68"/>
        <v>0</v>
      </c>
      <c r="BI88" s="149">
        <f t="shared" si="69"/>
        <v>0</v>
      </c>
      <c r="BJ88" s="149">
        <f t="shared" si="70"/>
        <v>0</v>
      </c>
      <c r="BK88" s="149" t="str">
        <f>IFERROR(#REF!/$BB88,"")</f>
        <v/>
      </c>
      <c r="BL88" s="149" t="str">
        <f>IFERROR(#REF!/$BB88,"")</f>
        <v/>
      </c>
      <c r="BM88" s="149">
        <f t="shared" si="71"/>
        <v>0</v>
      </c>
      <c r="BN88" s="149">
        <f t="shared" si="72"/>
        <v>0</v>
      </c>
      <c r="BO88" s="149">
        <f t="shared" si="73"/>
        <v>1</v>
      </c>
      <c r="BP88" s="149">
        <f t="shared" si="74"/>
        <v>0</v>
      </c>
      <c r="BQ88" s="149">
        <f t="shared" si="75"/>
        <v>0</v>
      </c>
      <c r="BR88" s="149" t="str">
        <f>IFERROR(#REF!/$BB88,"")</f>
        <v/>
      </c>
      <c r="BS88" s="149" t="str">
        <f>IFERROR(#REF!/$BB88,"")</f>
        <v/>
      </c>
      <c r="BT88" s="149">
        <f t="shared" si="76"/>
        <v>0</v>
      </c>
      <c r="BU88" s="149">
        <f t="shared" si="77"/>
        <v>0</v>
      </c>
      <c r="BV88" s="149">
        <f t="shared" si="78"/>
        <v>0</v>
      </c>
      <c r="BW88" s="149">
        <f t="shared" si="79"/>
        <v>0</v>
      </c>
      <c r="BX88" s="149">
        <f t="shared" si="80"/>
        <v>0</v>
      </c>
      <c r="BY88" s="149" t="str">
        <f>IFERROR(#REF!/$BB88,"")</f>
        <v/>
      </c>
      <c r="BZ88" s="149" t="str">
        <f>IFERROR(#REF!/$BB88,"")</f>
        <v/>
      </c>
      <c r="CA88" s="149">
        <f t="shared" si="81"/>
        <v>0</v>
      </c>
      <c r="CB88" s="149">
        <f t="shared" si="82"/>
        <v>0</v>
      </c>
      <c r="CC88" s="207">
        <f t="shared" si="83"/>
        <v>1</v>
      </c>
      <c r="CD88" s="208" t="b">
        <f t="shared" si="57"/>
        <v>1</v>
      </c>
    </row>
    <row r="89" spans="3:82" x14ac:dyDescent="0.25">
      <c r="C89" s="44">
        <v>103</v>
      </c>
      <c r="D89" s="149"/>
      <c r="E89" s="149"/>
      <c r="F89" s="54">
        <v>0</v>
      </c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W89" s="127">
        <f t="shared" si="58"/>
        <v>0</v>
      </c>
      <c r="X89">
        <f t="shared" si="59"/>
        <v>0</v>
      </c>
      <c r="Y89" t="b">
        <f>LOOKUP($C89,Table7[Sample Name],Table7[Positive])</f>
        <v>1</v>
      </c>
      <c r="Z89" t="b">
        <f>LOOKUP($C89,Table7[Sample Name],Table7[Disseminated])</f>
        <v>1</v>
      </c>
      <c r="AA89">
        <f t="shared" si="60"/>
        <v>0</v>
      </c>
      <c r="AD89" s="325">
        <v>103</v>
      </c>
      <c r="AE89" s="43">
        <v>0</v>
      </c>
      <c r="AF89" s="128"/>
      <c r="AG89">
        <f t="shared" si="84"/>
        <v>0</v>
      </c>
      <c r="AH89">
        <f t="shared" si="85"/>
        <v>0</v>
      </c>
      <c r="AJ89" s="207">
        <v>103</v>
      </c>
      <c r="AK89" s="127" t="str">
        <f t="shared" si="61"/>
        <v/>
      </c>
      <c r="AL89" s="128" t="str">
        <f t="shared" si="62"/>
        <v/>
      </c>
      <c r="AM89">
        <f t="shared" si="86"/>
        <v>0</v>
      </c>
      <c r="AO89">
        <f t="shared" si="87"/>
        <v>0</v>
      </c>
      <c r="BB89" s="134">
        <f t="shared" si="63"/>
        <v>0</v>
      </c>
      <c r="BC89" s="44">
        <v>103</v>
      </c>
      <c r="BD89" s="149" t="str">
        <f t="shared" si="64"/>
        <v/>
      </c>
      <c r="BE89" s="149" t="str">
        <f t="shared" si="65"/>
        <v/>
      </c>
      <c r="BF89" s="149" t="str">
        <f t="shared" si="66"/>
        <v/>
      </c>
      <c r="BG89" s="149" t="str">
        <f t="shared" si="67"/>
        <v/>
      </c>
      <c r="BH89" s="149" t="str">
        <f t="shared" si="68"/>
        <v/>
      </c>
      <c r="BI89" s="149" t="str">
        <f t="shared" si="69"/>
        <v/>
      </c>
      <c r="BJ89" s="149" t="str">
        <f t="shared" si="70"/>
        <v/>
      </c>
      <c r="BK89" s="149" t="str">
        <f>IFERROR(#REF!/$BB89,"")</f>
        <v/>
      </c>
      <c r="BL89" s="149" t="str">
        <f>IFERROR(#REF!/$BB89,"")</f>
        <v/>
      </c>
      <c r="BM89" s="149" t="str">
        <f t="shared" si="71"/>
        <v/>
      </c>
      <c r="BN89" s="149" t="str">
        <f t="shared" si="72"/>
        <v/>
      </c>
      <c r="BO89" s="149" t="str">
        <f t="shared" si="73"/>
        <v/>
      </c>
      <c r="BP89" s="149" t="str">
        <f t="shared" si="74"/>
        <v/>
      </c>
      <c r="BQ89" s="149" t="str">
        <f t="shared" si="75"/>
        <v/>
      </c>
      <c r="BR89" s="149" t="str">
        <f>IFERROR(#REF!/$BB89,"")</f>
        <v/>
      </c>
      <c r="BS89" s="149" t="str">
        <f>IFERROR(#REF!/$BB89,"")</f>
        <v/>
      </c>
      <c r="BT89" s="149" t="str">
        <f t="shared" si="76"/>
        <v/>
      </c>
      <c r="BU89" s="149" t="str">
        <f t="shared" si="77"/>
        <v/>
      </c>
      <c r="BV89" s="149" t="str">
        <f t="shared" si="78"/>
        <v/>
      </c>
      <c r="BW89" s="149" t="str">
        <f t="shared" si="79"/>
        <v/>
      </c>
      <c r="BX89" s="149" t="str">
        <f t="shared" si="80"/>
        <v/>
      </c>
      <c r="BY89" s="149" t="str">
        <f>IFERROR(#REF!/$BB89,"")</f>
        <v/>
      </c>
      <c r="BZ89" s="149" t="str">
        <f>IFERROR(#REF!/$BB89,"")</f>
        <v/>
      </c>
      <c r="CA89" s="149" t="str">
        <f t="shared" si="81"/>
        <v/>
      </c>
      <c r="CB89" s="149" t="str">
        <f t="shared" si="82"/>
        <v/>
      </c>
      <c r="CC89" s="207" t="str">
        <f t="shared" si="83"/>
        <v/>
      </c>
      <c r="CD89" s="208" t="str">
        <f t="shared" si="57"/>
        <v/>
      </c>
    </row>
    <row r="90" spans="3:82" x14ac:dyDescent="0.25">
      <c r="C90" s="44">
        <v>104</v>
      </c>
      <c r="D90" s="149"/>
      <c r="E90" s="149"/>
      <c r="F90" s="54">
        <v>0</v>
      </c>
      <c r="G90" s="55"/>
      <c r="H90" s="55"/>
      <c r="I90" s="55"/>
      <c r="J90" s="55"/>
      <c r="K90" s="55"/>
      <c r="L90" s="55"/>
      <c r="M90" s="55"/>
      <c r="N90" s="55"/>
      <c r="O90" s="55"/>
      <c r="P90" s="55">
        <v>0</v>
      </c>
      <c r="Q90" s="55"/>
      <c r="W90" s="127">
        <f t="shared" si="58"/>
        <v>0</v>
      </c>
      <c r="X90">
        <f t="shared" si="59"/>
        <v>0</v>
      </c>
      <c r="Y90" t="b">
        <f>LOOKUP($C90,Table7[Sample Name],Table7[Positive])</f>
        <v>1</v>
      </c>
      <c r="Z90" t="b">
        <f>LOOKUP($C90,Table7[Sample Name],Table7[Disseminated])</f>
        <v>1</v>
      </c>
      <c r="AA90">
        <f t="shared" si="60"/>
        <v>0</v>
      </c>
      <c r="AD90" s="325">
        <v>104</v>
      </c>
      <c r="AE90" s="43">
        <v>0</v>
      </c>
      <c r="AF90" s="128"/>
      <c r="AG90">
        <f t="shared" si="84"/>
        <v>0</v>
      </c>
      <c r="AH90">
        <f t="shared" si="85"/>
        <v>0</v>
      </c>
      <c r="AJ90" s="207">
        <v>104</v>
      </c>
      <c r="AK90" s="127" t="str">
        <f t="shared" si="61"/>
        <v/>
      </c>
      <c r="AL90" s="128" t="str">
        <f t="shared" si="62"/>
        <v/>
      </c>
      <c r="AM90">
        <f t="shared" si="86"/>
        <v>0</v>
      </c>
      <c r="AO90">
        <f t="shared" si="87"/>
        <v>0</v>
      </c>
      <c r="BB90" s="134">
        <f t="shared" si="63"/>
        <v>0</v>
      </c>
      <c r="BC90" s="44">
        <v>104</v>
      </c>
      <c r="BD90" s="149" t="str">
        <f t="shared" si="64"/>
        <v/>
      </c>
      <c r="BE90" s="149" t="str">
        <f t="shared" si="65"/>
        <v/>
      </c>
      <c r="BF90" s="149" t="str">
        <f t="shared" si="66"/>
        <v/>
      </c>
      <c r="BG90" s="149" t="str">
        <f t="shared" si="67"/>
        <v/>
      </c>
      <c r="BH90" s="149" t="str">
        <f t="shared" si="68"/>
        <v/>
      </c>
      <c r="BI90" s="149" t="str">
        <f t="shared" si="69"/>
        <v/>
      </c>
      <c r="BJ90" s="149" t="str">
        <f t="shared" si="70"/>
        <v/>
      </c>
      <c r="BK90" s="149" t="str">
        <f>IFERROR(#REF!/$BB90,"")</f>
        <v/>
      </c>
      <c r="BL90" s="149" t="str">
        <f>IFERROR(#REF!/$BB90,"")</f>
        <v/>
      </c>
      <c r="BM90" s="149" t="str">
        <f t="shared" si="71"/>
        <v/>
      </c>
      <c r="BN90" s="149" t="str">
        <f t="shared" si="72"/>
        <v/>
      </c>
      <c r="BO90" s="149" t="str">
        <f t="shared" si="73"/>
        <v/>
      </c>
      <c r="BP90" s="149" t="str">
        <f t="shared" si="74"/>
        <v/>
      </c>
      <c r="BQ90" s="149" t="str">
        <f t="shared" si="75"/>
        <v/>
      </c>
      <c r="BR90" s="149" t="str">
        <f>IFERROR(#REF!/$BB90,"")</f>
        <v/>
      </c>
      <c r="BS90" s="149" t="str">
        <f>IFERROR(#REF!/$BB90,"")</f>
        <v/>
      </c>
      <c r="BT90" s="149" t="str">
        <f t="shared" si="76"/>
        <v/>
      </c>
      <c r="BU90" s="149" t="str">
        <f t="shared" si="77"/>
        <v/>
      </c>
      <c r="BV90" s="149" t="str">
        <f t="shared" si="78"/>
        <v/>
      </c>
      <c r="BW90" s="149" t="str">
        <f t="shared" si="79"/>
        <v/>
      </c>
      <c r="BX90" s="149" t="str">
        <f t="shared" si="80"/>
        <v/>
      </c>
      <c r="BY90" s="149" t="str">
        <f>IFERROR(#REF!/$BB90,"")</f>
        <v/>
      </c>
      <c r="BZ90" s="149" t="str">
        <f>IFERROR(#REF!/$BB90,"")</f>
        <v/>
      </c>
      <c r="CA90" s="149" t="str">
        <f t="shared" si="81"/>
        <v/>
      </c>
      <c r="CB90" s="149" t="str">
        <f t="shared" si="82"/>
        <v/>
      </c>
      <c r="CC90" s="207" t="str">
        <f t="shared" si="83"/>
        <v/>
      </c>
      <c r="CD90" s="208" t="str">
        <f t="shared" si="57"/>
        <v/>
      </c>
    </row>
    <row r="91" spans="3:82" x14ac:dyDescent="0.25">
      <c r="C91" s="44">
        <v>105</v>
      </c>
      <c r="D91" s="149"/>
      <c r="E91" s="149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W91" s="127">
        <f t="shared" si="58"/>
        <v>0</v>
      </c>
      <c r="X91">
        <f t="shared" si="59"/>
        <v>0</v>
      </c>
      <c r="Y91" t="b">
        <f>LOOKUP($C91,Table7[Sample Name],Table7[Positive])</f>
        <v>0</v>
      </c>
      <c r="Z91" t="str">
        <f>LOOKUP($C91,Table7[Sample Name],Table7[Disseminated])</f>
        <v>N/A</v>
      </c>
      <c r="AA91">
        <f t="shared" si="60"/>
        <v>0</v>
      </c>
      <c r="AD91" s="325">
        <v>105</v>
      </c>
      <c r="AE91" s="43">
        <v>0</v>
      </c>
      <c r="AF91" s="128"/>
      <c r="AG91">
        <f t="shared" si="84"/>
        <v>0</v>
      </c>
      <c r="AH91">
        <f t="shared" si="85"/>
        <v>0</v>
      </c>
      <c r="AJ91" s="207">
        <v>105</v>
      </c>
      <c r="AK91" s="127" t="str">
        <f t="shared" si="61"/>
        <v/>
      </c>
      <c r="AL91" s="128" t="str">
        <f t="shared" si="62"/>
        <v/>
      </c>
      <c r="AM91">
        <f t="shared" si="86"/>
        <v>0</v>
      </c>
      <c r="AO91">
        <f t="shared" si="87"/>
        <v>0</v>
      </c>
      <c r="BB91" s="134" t="str">
        <f t="shared" si="63"/>
        <v/>
      </c>
      <c r="BC91" s="44">
        <v>105</v>
      </c>
      <c r="BD91" s="149" t="str">
        <f t="shared" si="64"/>
        <v/>
      </c>
      <c r="BE91" s="149" t="str">
        <f t="shared" si="65"/>
        <v/>
      </c>
      <c r="BF91" s="149" t="str">
        <f t="shared" si="66"/>
        <v/>
      </c>
      <c r="BG91" s="149" t="str">
        <f t="shared" si="67"/>
        <v/>
      </c>
      <c r="BH91" s="149" t="str">
        <f t="shared" si="68"/>
        <v/>
      </c>
      <c r="BI91" s="149" t="str">
        <f t="shared" si="69"/>
        <v/>
      </c>
      <c r="BJ91" s="149" t="str">
        <f t="shared" si="70"/>
        <v/>
      </c>
      <c r="BK91" s="149" t="str">
        <f>IFERROR(#REF!/$BB91,"")</f>
        <v/>
      </c>
      <c r="BL91" s="149" t="str">
        <f>IFERROR(#REF!/$BB91,"")</f>
        <v/>
      </c>
      <c r="BM91" s="149" t="str">
        <f t="shared" si="71"/>
        <v/>
      </c>
      <c r="BN91" s="149" t="str">
        <f t="shared" si="72"/>
        <v/>
      </c>
      <c r="BO91" s="149" t="str">
        <f t="shared" si="73"/>
        <v/>
      </c>
      <c r="BP91" s="149" t="str">
        <f t="shared" si="74"/>
        <v/>
      </c>
      <c r="BQ91" s="149" t="str">
        <f t="shared" si="75"/>
        <v/>
      </c>
      <c r="BR91" s="149" t="str">
        <f>IFERROR(#REF!/$BB91,"")</f>
        <v/>
      </c>
      <c r="BS91" s="149" t="str">
        <f>IFERROR(#REF!/$BB91,"")</f>
        <v/>
      </c>
      <c r="BT91" s="149" t="str">
        <f t="shared" si="76"/>
        <v/>
      </c>
      <c r="BU91" s="149" t="str">
        <f t="shared" si="77"/>
        <v/>
      </c>
      <c r="BV91" s="149" t="str">
        <f t="shared" si="78"/>
        <v/>
      </c>
      <c r="BW91" s="149" t="str">
        <f t="shared" si="79"/>
        <v/>
      </c>
      <c r="BX91" s="149" t="str">
        <f t="shared" si="80"/>
        <v/>
      </c>
      <c r="BY91" s="149" t="str">
        <f>IFERROR(#REF!/$BB91,"")</f>
        <v/>
      </c>
      <c r="BZ91" s="149" t="str">
        <f>IFERROR(#REF!/$BB91,"")</f>
        <v/>
      </c>
      <c r="CA91" s="149" t="str">
        <f t="shared" si="81"/>
        <v/>
      </c>
      <c r="CB91" s="149" t="str">
        <f t="shared" si="82"/>
        <v/>
      </c>
      <c r="CC91" s="207" t="str">
        <f t="shared" si="83"/>
        <v/>
      </c>
      <c r="CD91" s="208" t="str">
        <f t="shared" si="57"/>
        <v/>
      </c>
    </row>
    <row r="92" spans="3:82" x14ac:dyDescent="0.25">
      <c r="C92" s="44">
        <v>106</v>
      </c>
      <c r="D92" s="149"/>
      <c r="E92" s="149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W92" s="127">
        <f t="shared" si="58"/>
        <v>0</v>
      </c>
      <c r="X92">
        <f t="shared" si="59"/>
        <v>0</v>
      </c>
      <c r="Y92" t="b">
        <f>LOOKUP($C92,Table7[Sample Name],Table7[Positive])</f>
        <v>1</v>
      </c>
      <c r="Z92" t="str">
        <f>LOOKUP($C92,Table7[Sample Name],Table7[Disseminated])</f>
        <v>N/A</v>
      </c>
      <c r="AA92">
        <f t="shared" si="60"/>
        <v>0</v>
      </c>
      <c r="AD92" s="325">
        <v>106</v>
      </c>
      <c r="AE92" s="43">
        <v>0</v>
      </c>
      <c r="AF92" s="128"/>
      <c r="AG92">
        <f t="shared" si="84"/>
        <v>0</v>
      </c>
      <c r="AH92">
        <f t="shared" si="85"/>
        <v>0</v>
      </c>
      <c r="AJ92" s="207">
        <v>106</v>
      </c>
      <c r="AK92" s="127" t="str">
        <f t="shared" si="61"/>
        <v/>
      </c>
      <c r="AL92" s="128" t="str">
        <f t="shared" si="62"/>
        <v/>
      </c>
      <c r="AM92">
        <f t="shared" si="86"/>
        <v>0</v>
      </c>
      <c r="AO92">
        <f t="shared" si="87"/>
        <v>0</v>
      </c>
      <c r="BB92" s="134" t="str">
        <f t="shared" si="63"/>
        <v/>
      </c>
      <c r="BC92" s="44">
        <v>106</v>
      </c>
      <c r="BD92" s="149" t="str">
        <f t="shared" si="64"/>
        <v/>
      </c>
      <c r="BE92" s="149" t="str">
        <f t="shared" si="65"/>
        <v/>
      </c>
      <c r="BF92" s="149" t="str">
        <f t="shared" si="66"/>
        <v/>
      </c>
      <c r="BG92" s="149" t="str">
        <f t="shared" si="67"/>
        <v/>
      </c>
      <c r="BH92" s="149" t="str">
        <f t="shared" si="68"/>
        <v/>
      </c>
      <c r="BI92" s="149" t="str">
        <f t="shared" si="69"/>
        <v/>
      </c>
      <c r="BJ92" s="149" t="str">
        <f t="shared" si="70"/>
        <v/>
      </c>
      <c r="BK92" s="149" t="str">
        <f>IFERROR(#REF!/$BB92,"")</f>
        <v/>
      </c>
      <c r="BL92" s="149" t="str">
        <f>IFERROR(#REF!/$BB92,"")</f>
        <v/>
      </c>
      <c r="BM92" s="149" t="str">
        <f t="shared" si="71"/>
        <v/>
      </c>
      <c r="BN92" s="149" t="str">
        <f t="shared" si="72"/>
        <v/>
      </c>
      <c r="BO92" s="149" t="str">
        <f t="shared" si="73"/>
        <v/>
      </c>
      <c r="BP92" s="149" t="str">
        <f t="shared" si="74"/>
        <v/>
      </c>
      <c r="BQ92" s="149" t="str">
        <f t="shared" si="75"/>
        <v/>
      </c>
      <c r="BR92" s="149" t="str">
        <f>IFERROR(#REF!/$BB92,"")</f>
        <v/>
      </c>
      <c r="BS92" s="149" t="str">
        <f>IFERROR(#REF!/$BB92,"")</f>
        <v/>
      </c>
      <c r="BT92" s="149" t="str">
        <f t="shared" si="76"/>
        <v/>
      </c>
      <c r="BU92" s="149" t="str">
        <f t="shared" si="77"/>
        <v/>
      </c>
      <c r="BV92" s="149" t="str">
        <f t="shared" si="78"/>
        <v/>
      </c>
      <c r="BW92" s="149" t="str">
        <f t="shared" si="79"/>
        <v/>
      </c>
      <c r="BX92" s="149" t="str">
        <f t="shared" si="80"/>
        <v/>
      </c>
      <c r="BY92" s="149" t="str">
        <f>IFERROR(#REF!/$BB92,"")</f>
        <v/>
      </c>
      <c r="BZ92" s="149" t="str">
        <f>IFERROR(#REF!/$BB92,"")</f>
        <v/>
      </c>
      <c r="CA92" s="149" t="str">
        <f t="shared" si="81"/>
        <v/>
      </c>
      <c r="CB92" s="149" t="str">
        <f t="shared" si="82"/>
        <v/>
      </c>
      <c r="CC92" s="207" t="str">
        <f t="shared" si="83"/>
        <v/>
      </c>
      <c r="CD92" s="208" t="str">
        <f t="shared" si="57"/>
        <v/>
      </c>
    </row>
    <row r="93" spans="3:82" x14ac:dyDescent="0.25">
      <c r="C93" s="44">
        <v>107</v>
      </c>
      <c r="D93" s="149"/>
      <c r="E93" s="149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W93" s="127">
        <f t="shared" si="58"/>
        <v>0</v>
      </c>
      <c r="X93">
        <f t="shared" si="59"/>
        <v>0</v>
      </c>
      <c r="Y93" t="b">
        <f>LOOKUP($C93,Table7[Sample Name],Table7[Positive])</f>
        <v>1</v>
      </c>
      <c r="Z93" t="b">
        <f>LOOKUP($C93,Table7[Sample Name],Table7[Disseminated])</f>
        <v>0</v>
      </c>
      <c r="AA93">
        <f t="shared" si="60"/>
        <v>0</v>
      </c>
      <c r="AD93" s="325">
        <v>107</v>
      </c>
      <c r="AE93" s="43">
        <v>0</v>
      </c>
      <c r="AF93" s="128"/>
      <c r="AG93">
        <f t="shared" si="84"/>
        <v>0</v>
      </c>
      <c r="AH93">
        <f t="shared" si="85"/>
        <v>0</v>
      </c>
      <c r="AJ93" s="207">
        <v>107</v>
      </c>
      <c r="AK93" s="127" t="str">
        <f t="shared" si="61"/>
        <v/>
      </c>
      <c r="AL93" s="128" t="str">
        <f t="shared" si="62"/>
        <v/>
      </c>
      <c r="AM93">
        <f t="shared" si="86"/>
        <v>0</v>
      </c>
      <c r="AO93">
        <f t="shared" si="87"/>
        <v>0</v>
      </c>
      <c r="BB93" s="134" t="str">
        <f t="shared" si="63"/>
        <v/>
      </c>
      <c r="BC93" s="44">
        <v>107</v>
      </c>
      <c r="BD93" s="149" t="str">
        <f t="shared" si="64"/>
        <v/>
      </c>
      <c r="BE93" s="149" t="str">
        <f t="shared" si="65"/>
        <v/>
      </c>
      <c r="BF93" s="149" t="str">
        <f t="shared" si="66"/>
        <v/>
      </c>
      <c r="BG93" s="149" t="str">
        <f t="shared" si="67"/>
        <v/>
      </c>
      <c r="BH93" s="149" t="str">
        <f t="shared" si="68"/>
        <v/>
      </c>
      <c r="BI93" s="149" t="str">
        <f t="shared" si="69"/>
        <v/>
      </c>
      <c r="BJ93" s="149" t="str">
        <f t="shared" si="70"/>
        <v/>
      </c>
      <c r="BK93" s="149" t="str">
        <f>IFERROR(#REF!/$BB93,"")</f>
        <v/>
      </c>
      <c r="BL93" s="149" t="str">
        <f>IFERROR(#REF!/$BB93,"")</f>
        <v/>
      </c>
      <c r="BM93" s="149" t="str">
        <f t="shared" si="71"/>
        <v/>
      </c>
      <c r="BN93" s="149" t="str">
        <f t="shared" si="72"/>
        <v/>
      </c>
      <c r="BO93" s="149" t="str">
        <f t="shared" si="73"/>
        <v/>
      </c>
      <c r="BP93" s="149" t="str">
        <f t="shared" si="74"/>
        <v/>
      </c>
      <c r="BQ93" s="149" t="str">
        <f t="shared" si="75"/>
        <v/>
      </c>
      <c r="BR93" s="149" t="str">
        <f>IFERROR(#REF!/$BB93,"")</f>
        <v/>
      </c>
      <c r="BS93" s="149" t="str">
        <f>IFERROR(#REF!/$BB93,"")</f>
        <v/>
      </c>
      <c r="BT93" s="149" t="str">
        <f t="shared" si="76"/>
        <v/>
      </c>
      <c r="BU93" s="149" t="str">
        <f t="shared" si="77"/>
        <v/>
      </c>
      <c r="BV93" s="149" t="str">
        <f t="shared" si="78"/>
        <v/>
      </c>
      <c r="BW93" s="149" t="str">
        <f t="shared" si="79"/>
        <v/>
      </c>
      <c r="BX93" s="149" t="str">
        <f t="shared" si="80"/>
        <v/>
      </c>
      <c r="BY93" s="149" t="str">
        <f>IFERROR(#REF!/$BB93,"")</f>
        <v/>
      </c>
      <c r="BZ93" s="149" t="str">
        <f>IFERROR(#REF!/$BB93,"")</f>
        <v/>
      </c>
      <c r="CA93" s="149" t="str">
        <f t="shared" si="81"/>
        <v/>
      </c>
      <c r="CB93" s="149" t="str">
        <f t="shared" si="82"/>
        <v/>
      </c>
      <c r="CC93" s="207" t="str">
        <f t="shared" si="83"/>
        <v/>
      </c>
      <c r="CD93" s="208" t="str">
        <f t="shared" si="57"/>
        <v/>
      </c>
    </row>
    <row r="94" spans="3:82" x14ac:dyDescent="0.25">
      <c r="C94" s="44">
        <v>108</v>
      </c>
      <c r="D94" s="149"/>
      <c r="E94" s="149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>
        <v>0</v>
      </c>
      <c r="Q94" s="55"/>
      <c r="U94">
        <v>0</v>
      </c>
      <c r="V94">
        <v>1</v>
      </c>
      <c r="W94" s="127">
        <f t="shared" si="58"/>
        <v>1</v>
      </c>
      <c r="X94">
        <f t="shared" si="59"/>
        <v>1</v>
      </c>
      <c r="Y94" t="b">
        <f>LOOKUP($C94,Table7[Sample Name],Table7[Positive])</f>
        <v>1</v>
      </c>
      <c r="Z94" t="b">
        <f>LOOKUP($C94,Table7[Sample Name],Table7[Disseminated])</f>
        <v>1</v>
      </c>
      <c r="AA94">
        <f t="shared" si="60"/>
        <v>1</v>
      </c>
      <c r="AD94" s="325">
        <v>108</v>
      </c>
      <c r="AE94" s="43">
        <v>1</v>
      </c>
      <c r="AF94" s="128"/>
      <c r="AG94">
        <f t="shared" si="84"/>
        <v>1</v>
      </c>
      <c r="AH94">
        <f t="shared" si="85"/>
        <v>1</v>
      </c>
      <c r="AJ94" s="207">
        <v>108</v>
      </c>
      <c r="AK94" s="127" t="str">
        <f t="shared" si="61"/>
        <v/>
      </c>
      <c r="AL94" s="128" t="str">
        <f t="shared" si="62"/>
        <v/>
      </c>
      <c r="AM94">
        <f t="shared" si="86"/>
        <v>0</v>
      </c>
      <c r="AO94">
        <f t="shared" si="87"/>
        <v>-1</v>
      </c>
      <c r="BB94" s="134">
        <f t="shared" si="63"/>
        <v>1</v>
      </c>
      <c r="BC94" s="44">
        <v>108</v>
      </c>
      <c r="BD94" s="149">
        <f t="shared" si="64"/>
        <v>0</v>
      </c>
      <c r="BE94" s="149">
        <f t="shared" si="65"/>
        <v>0</v>
      </c>
      <c r="BF94" s="149">
        <f t="shared" si="66"/>
        <v>0</v>
      </c>
      <c r="BG94" s="149">
        <f t="shared" si="67"/>
        <v>0</v>
      </c>
      <c r="BH94" s="149">
        <f t="shared" si="68"/>
        <v>0</v>
      </c>
      <c r="BI94" s="149">
        <f t="shared" si="69"/>
        <v>0</v>
      </c>
      <c r="BJ94" s="149">
        <f t="shared" si="70"/>
        <v>0</v>
      </c>
      <c r="BK94" s="149" t="str">
        <f>IFERROR(#REF!/$BB94,"")</f>
        <v/>
      </c>
      <c r="BL94" s="149" t="str">
        <f>IFERROR(#REF!/$BB94,"")</f>
        <v/>
      </c>
      <c r="BM94" s="149">
        <f t="shared" si="71"/>
        <v>0</v>
      </c>
      <c r="BN94" s="149">
        <f t="shared" si="72"/>
        <v>0</v>
      </c>
      <c r="BO94" s="149">
        <f t="shared" si="73"/>
        <v>0</v>
      </c>
      <c r="BP94" s="149">
        <f t="shared" si="74"/>
        <v>0</v>
      </c>
      <c r="BQ94" s="149">
        <f t="shared" si="75"/>
        <v>0</v>
      </c>
      <c r="BR94" s="149" t="str">
        <f>IFERROR(#REF!/$BB94,"")</f>
        <v/>
      </c>
      <c r="BS94" s="149" t="str">
        <f>IFERROR(#REF!/$BB94,"")</f>
        <v/>
      </c>
      <c r="BT94" s="149">
        <f t="shared" si="76"/>
        <v>0</v>
      </c>
      <c r="BU94" s="149">
        <f t="shared" si="77"/>
        <v>0</v>
      </c>
      <c r="BV94" s="149">
        <f t="shared" si="78"/>
        <v>0</v>
      </c>
      <c r="BW94" s="149">
        <f t="shared" si="79"/>
        <v>0</v>
      </c>
      <c r="BX94" s="149">
        <f t="shared" si="80"/>
        <v>0</v>
      </c>
      <c r="BY94" s="149" t="str">
        <f>IFERROR(#REF!/$BB94,"")</f>
        <v/>
      </c>
      <c r="BZ94" s="149" t="str">
        <f>IFERROR(#REF!/$BB94,"")</f>
        <v/>
      </c>
      <c r="CA94" s="149">
        <f t="shared" si="81"/>
        <v>0</v>
      </c>
      <c r="CB94" s="149">
        <f t="shared" si="82"/>
        <v>1</v>
      </c>
      <c r="CC94" s="207">
        <f t="shared" si="83"/>
        <v>1</v>
      </c>
      <c r="CD94" s="208" t="b">
        <f t="shared" si="57"/>
        <v>1</v>
      </c>
    </row>
    <row r="95" spans="3:82" x14ac:dyDescent="0.25">
      <c r="C95" s="44">
        <v>109</v>
      </c>
      <c r="D95" s="149"/>
      <c r="E95" s="149"/>
      <c r="F95" s="55">
        <v>0</v>
      </c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W95" s="127">
        <f t="shared" si="58"/>
        <v>0</v>
      </c>
      <c r="X95">
        <f t="shared" si="59"/>
        <v>0</v>
      </c>
      <c r="Y95" t="b">
        <f>LOOKUP($C95,Table7[Sample Name],Table7[Positive])</f>
        <v>1</v>
      </c>
      <c r="Z95" t="b">
        <f>LOOKUP($C95,Table7[Sample Name],Table7[Disseminated])</f>
        <v>1</v>
      </c>
      <c r="AA95">
        <f t="shared" si="60"/>
        <v>0</v>
      </c>
      <c r="AD95" s="325">
        <v>109</v>
      </c>
      <c r="AE95" s="43">
        <v>0</v>
      </c>
      <c r="AF95" s="128"/>
      <c r="AG95">
        <f t="shared" si="84"/>
        <v>0</v>
      </c>
      <c r="AH95">
        <f t="shared" si="85"/>
        <v>0</v>
      </c>
      <c r="AJ95" s="207">
        <v>109</v>
      </c>
      <c r="AK95" s="127" t="str">
        <f t="shared" si="61"/>
        <v/>
      </c>
      <c r="AL95" s="128" t="str">
        <f t="shared" si="62"/>
        <v/>
      </c>
      <c r="AM95">
        <f t="shared" si="86"/>
        <v>0</v>
      </c>
      <c r="AO95">
        <f t="shared" si="87"/>
        <v>0</v>
      </c>
      <c r="BB95" s="134">
        <f t="shared" si="63"/>
        <v>0</v>
      </c>
      <c r="BC95" s="44">
        <v>109</v>
      </c>
      <c r="BD95" s="149" t="str">
        <f t="shared" si="64"/>
        <v/>
      </c>
      <c r="BE95" s="149" t="str">
        <f t="shared" si="65"/>
        <v/>
      </c>
      <c r="BF95" s="149" t="str">
        <f t="shared" si="66"/>
        <v/>
      </c>
      <c r="BG95" s="149" t="str">
        <f t="shared" si="67"/>
        <v/>
      </c>
      <c r="BH95" s="149" t="str">
        <f t="shared" si="68"/>
        <v/>
      </c>
      <c r="BI95" s="149" t="str">
        <f t="shared" si="69"/>
        <v/>
      </c>
      <c r="BJ95" s="149" t="str">
        <f t="shared" si="70"/>
        <v/>
      </c>
      <c r="BK95" s="149" t="str">
        <f>IFERROR(#REF!/$BB95,"")</f>
        <v/>
      </c>
      <c r="BL95" s="149" t="str">
        <f>IFERROR(#REF!/$BB95,"")</f>
        <v/>
      </c>
      <c r="BM95" s="149" t="str">
        <f t="shared" si="71"/>
        <v/>
      </c>
      <c r="BN95" s="149" t="str">
        <f t="shared" si="72"/>
        <v/>
      </c>
      <c r="BO95" s="149" t="str">
        <f t="shared" si="73"/>
        <v/>
      </c>
      <c r="BP95" s="149" t="str">
        <f t="shared" si="74"/>
        <v/>
      </c>
      <c r="BQ95" s="149" t="str">
        <f t="shared" si="75"/>
        <v/>
      </c>
      <c r="BR95" s="149" t="str">
        <f>IFERROR(#REF!/$BB95,"")</f>
        <v/>
      </c>
      <c r="BS95" s="149" t="str">
        <f>IFERROR(#REF!/$BB95,"")</f>
        <v/>
      </c>
      <c r="BT95" s="149" t="str">
        <f t="shared" si="76"/>
        <v/>
      </c>
      <c r="BU95" s="149" t="str">
        <f t="shared" si="77"/>
        <v/>
      </c>
      <c r="BV95" s="149" t="str">
        <f t="shared" si="78"/>
        <v/>
      </c>
      <c r="BW95" s="149" t="str">
        <f t="shared" si="79"/>
        <v/>
      </c>
      <c r="BX95" s="149" t="str">
        <f t="shared" si="80"/>
        <v/>
      </c>
      <c r="BY95" s="149" t="str">
        <f>IFERROR(#REF!/$BB95,"")</f>
        <v/>
      </c>
      <c r="BZ95" s="149" t="str">
        <f>IFERROR(#REF!/$BB95,"")</f>
        <v/>
      </c>
      <c r="CA95" s="149" t="str">
        <f t="shared" si="81"/>
        <v/>
      </c>
      <c r="CB95" s="149" t="str">
        <f t="shared" si="82"/>
        <v/>
      </c>
      <c r="CC95" s="207" t="str">
        <f t="shared" si="83"/>
        <v/>
      </c>
      <c r="CD95" s="208" t="str">
        <f t="shared" si="57"/>
        <v/>
      </c>
    </row>
    <row r="96" spans="3:82" x14ac:dyDescent="0.25">
      <c r="C96" s="44">
        <v>110</v>
      </c>
      <c r="D96" s="149"/>
      <c r="E96" s="149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W96" s="127">
        <f t="shared" si="58"/>
        <v>0</v>
      </c>
      <c r="X96">
        <f t="shared" si="59"/>
        <v>0</v>
      </c>
      <c r="Y96" t="b">
        <f>LOOKUP($C96,Table7[Sample Name],Table7[Positive])</f>
        <v>0</v>
      </c>
      <c r="Z96" t="str">
        <f>LOOKUP($C96,Table7[Sample Name],Table7[Disseminated])</f>
        <v>N/A</v>
      </c>
      <c r="AA96">
        <f t="shared" si="60"/>
        <v>0</v>
      </c>
      <c r="AD96" s="325">
        <v>110</v>
      </c>
      <c r="AE96" s="43">
        <v>0</v>
      </c>
      <c r="AF96" s="128"/>
      <c r="AG96">
        <f t="shared" si="84"/>
        <v>0</v>
      </c>
      <c r="AH96">
        <f t="shared" si="85"/>
        <v>0</v>
      </c>
      <c r="AJ96" s="207">
        <v>110</v>
      </c>
      <c r="AK96" s="127" t="str">
        <f t="shared" si="61"/>
        <v/>
      </c>
      <c r="AL96" s="128" t="str">
        <f t="shared" si="62"/>
        <v/>
      </c>
      <c r="AM96">
        <f t="shared" si="86"/>
        <v>0</v>
      </c>
      <c r="AO96">
        <f t="shared" si="87"/>
        <v>0</v>
      </c>
      <c r="BB96" s="134" t="str">
        <f t="shared" si="63"/>
        <v/>
      </c>
      <c r="BC96" s="44">
        <v>110</v>
      </c>
      <c r="BD96" s="149" t="str">
        <f t="shared" si="64"/>
        <v/>
      </c>
      <c r="BE96" s="149" t="str">
        <f t="shared" si="65"/>
        <v/>
      </c>
      <c r="BF96" s="149" t="str">
        <f t="shared" si="66"/>
        <v/>
      </c>
      <c r="BG96" s="149" t="str">
        <f t="shared" si="67"/>
        <v/>
      </c>
      <c r="BH96" s="149" t="str">
        <f t="shared" si="68"/>
        <v/>
      </c>
      <c r="BI96" s="149" t="str">
        <f t="shared" si="69"/>
        <v/>
      </c>
      <c r="BJ96" s="149" t="str">
        <f t="shared" si="70"/>
        <v/>
      </c>
      <c r="BK96" s="149" t="str">
        <f>IFERROR(#REF!/$BB96,"")</f>
        <v/>
      </c>
      <c r="BL96" s="149" t="str">
        <f>IFERROR(#REF!/$BB96,"")</f>
        <v/>
      </c>
      <c r="BM96" s="149" t="str">
        <f t="shared" si="71"/>
        <v/>
      </c>
      <c r="BN96" s="149" t="str">
        <f t="shared" si="72"/>
        <v/>
      </c>
      <c r="BO96" s="149" t="str">
        <f t="shared" si="73"/>
        <v/>
      </c>
      <c r="BP96" s="149" t="str">
        <f t="shared" si="74"/>
        <v/>
      </c>
      <c r="BQ96" s="149" t="str">
        <f t="shared" si="75"/>
        <v/>
      </c>
      <c r="BR96" s="149" t="str">
        <f>IFERROR(#REF!/$BB96,"")</f>
        <v/>
      </c>
      <c r="BS96" s="149" t="str">
        <f>IFERROR(#REF!/$BB96,"")</f>
        <v/>
      </c>
      <c r="BT96" s="149" t="str">
        <f t="shared" si="76"/>
        <v/>
      </c>
      <c r="BU96" s="149" t="str">
        <f t="shared" si="77"/>
        <v/>
      </c>
      <c r="BV96" s="149" t="str">
        <f t="shared" si="78"/>
        <v/>
      </c>
      <c r="BW96" s="149" t="str">
        <f t="shared" si="79"/>
        <v/>
      </c>
      <c r="BX96" s="149" t="str">
        <f t="shared" si="80"/>
        <v/>
      </c>
      <c r="BY96" s="149" t="str">
        <f>IFERROR(#REF!/$BB96,"")</f>
        <v/>
      </c>
      <c r="BZ96" s="149" t="str">
        <f>IFERROR(#REF!/$BB96,"")</f>
        <v/>
      </c>
      <c r="CA96" s="149" t="str">
        <f t="shared" si="81"/>
        <v/>
      </c>
      <c r="CB96" s="149" t="str">
        <f t="shared" si="82"/>
        <v/>
      </c>
      <c r="CC96" s="207" t="str">
        <f t="shared" si="83"/>
        <v/>
      </c>
      <c r="CD96" s="208" t="str">
        <f t="shared" si="57"/>
        <v/>
      </c>
    </row>
    <row r="97" spans="1:82" x14ac:dyDescent="0.25">
      <c r="C97" s="44">
        <v>111</v>
      </c>
      <c r="D97" s="149"/>
      <c r="E97" s="149"/>
      <c r="F97" s="55">
        <v>0</v>
      </c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W97" s="127">
        <f t="shared" si="58"/>
        <v>0</v>
      </c>
      <c r="X97">
        <f t="shared" si="59"/>
        <v>0</v>
      </c>
      <c r="Y97" t="b">
        <f>LOOKUP($C97,Table7[Sample Name],Table7[Positive])</f>
        <v>1</v>
      </c>
      <c r="Z97" t="b">
        <f>LOOKUP($C97,Table7[Sample Name],Table7[Disseminated])</f>
        <v>1</v>
      </c>
      <c r="AA97">
        <f t="shared" si="60"/>
        <v>0</v>
      </c>
      <c r="AD97" s="325">
        <v>111</v>
      </c>
      <c r="AE97" s="43">
        <v>0</v>
      </c>
      <c r="AF97" s="128"/>
      <c r="AG97">
        <f t="shared" si="84"/>
        <v>0</v>
      </c>
      <c r="AH97">
        <f t="shared" si="85"/>
        <v>0</v>
      </c>
      <c r="AJ97" s="207">
        <v>111</v>
      </c>
      <c r="AK97" s="127" t="str">
        <f t="shared" si="61"/>
        <v/>
      </c>
      <c r="AL97" s="128" t="str">
        <f t="shared" si="62"/>
        <v/>
      </c>
      <c r="AM97">
        <f t="shared" si="86"/>
        <v>0</v>
      </c>
      <c r="AO97">
        <f t="shared" si="87"/>
        <v>0</v>
      </c>
      <c r="BB97" s="134">
        <f t="shared" si="63"/>
        <v>0</v>
      </c>
      <c r="BC97" s="44">
        <v>111</v>
      </c>
      <c r="BD97" s="149" t="str">
        <f t="shared" si="64"/>
        <v/>
      </c>
      <c r="BE97" s="149" t="str">
        <f t="shared" si="65"/>
        <v/>
      </c>
      <c r="BF97" s="149" t="str">
        <f t="shared" si="66"/>
        <v/>
      </c>
      <c r="BG97" s="149" t="str">
        <f t="shared" si="67"/>
        <v/>
      </c>
      <c r="BH97" s="149" t="str">
        <f t="shared" si="68"/>
        <v/>
      </c>
      <c r="BI97" s="149" t="str">
        <f t="shared" si="69"/>
        <v/>
      </c>
      <c r="BJ97" s="149" t="str">
        <f t="shared" si="70"/>
        <v/>
      </c>
      <c r="BK97" s="149" t="str">
        <f>IFERROR(#REF!/$BB97,"")</f>
        <v/>
      </c>
      <c r="BL97" s="149" t="str">
        <f>IFERROR(#REF!/$BB97,"")</f>
        <v/>
      </c>
      <c r="BM97" s="149" t="str">
        <f t="shared" si="71"/>
        <v/>
      </c>
      <c r="BN97" s="149" t="str">
        <f t="shared" si="72"/>
        <v/>
      </c>
      <c r="BO97" s="149" t="str">
        <f t="shared" si="73"/>
        <v/>
      </c>
      <c r="BP97" s="149" t="str">
        <f t="shared" si="74"/>
        <v/>
      </c>
      <c r="BQ97" s="149" t="str">
        <f t="shared" si="75"/>
        <v/>
      </c>
      <c r="BR97" s="149" t="str">
        <f>IFERROR(#REF!/$BB97,"")</f>
        <v/>
      </c>
      <c r="BS97" s="149" t="str">
        <f>IFERROR(#REF!/$BB97,"")</f>
        <v/>
      </c>
      <c r="BT97" s="149" t="str">
        <f t="shared" si="76"/>
        <v/>
      </c>
      <c r="BU97" s="149" t="str">
        <f t="shared" si="77"/>
        <v/>
      </c>
      <c r="BV97" s="149" t="str">
        <f t="shared" si="78"/>
        <v/>
      </c>
      <c r="BW97" s="149" t="str">
        <f t="shared" si="79"/>
        <v/>
      </c>
      <c r="BX97" s="149" t="str">
        <f t="shared" si="80"/>
        <v/>
      </c>
      <c r="BY97" s="149" t="str">
        <f>IFERROR(#REF!/$BB97,"")</f>
        <v/>
      </c>
      <c r="BZ97" s="149" t="str">
        <f>IFERROR(#REF!/$BB97,"")</f>
        <v/>
      </c>
      <c r="CA97" s="149" t="str">
        <f t="shared" si="81"/>
        <v/>
      </c>
      <c r="CB97" s="149" t="str">
        <f t="shared" si="82"/>
        <v/>
      </c>
      <c r="CC97" s="207" t="str">
        <f t="shared" si="83"/>
        <v/>
      </c>
      <c r="CD97" s="208" t="str">
        <f t="shared" si="57"/>
        <v/>
      </c>
    </row>
    <row r="98" spans="1:82" x14ac:dyDescent="0.25">
      <c r="C98" s="44">
        <v>112</v>
      </c>
      <c r="D98" s="149"/>
      <c r="E98" s="149"/>
      <c r="F98" s="55">
        <v>0</v>
      </c>
      <c r="G98" s="55"/>
      <c r="H98" s="55"/>
      <c r="I98" s="55"/>
      <c r="J98" s="55"/>
      <c r="K98" s="55">
        <v>25</v>
      </c>
      <c r="L98" s="55"/>
      <c r="M98" s="55"/>
      <c r="N98" s="55"/>
      <c r="O98" s="55"/>
      <c r="P98" s="55"/>
      <c r="Q98" s="55"/>
      <c r="W98" s="127">
        <f t="shared" si="58"/>
        <v>25</v>
      </c>
      <c r="X98">
        <f t="shared" si="59"/>
        <v>1</v>
      </c>
      <c r="Y98" t="b">
        <f>LOOKUP($C98,Table7[Sample Name],Table7[Positive])</f>
        <v>1</v>
      </c>
      <c r="Z98" t="b">
        <f>LOOKUP($C98,Table7[Sample Name],Table7[Disseminated])</f>
        <v>1</v>
      </c>
      <c r="AA98">
        <f t="shared" si="60"/>
        <v>25</v>
      </c>
      <c r="AD98" s="325">
        <v>112</v>
      </c>
      <c r="AE98" s="43">
        <v>25</v>
      </c>
      <c r="AF98" s="128"/>
      <c r="AG98">
        <f t="shared" si="84"/>
        <v>25</v>
      </c>
      <c r="AH98">
        <f t="shared" si="85"/>
        <v>1</v>
      </c>
      <c r="AJ98" s="207">
        <v>112</v>
      </c>
      <c r="AK98" s="127" t="str">
        <f t="shared" si="61"/>
        <v/>
      </c>
      <c r="AL98" s="128" t="str">
        <f t="shared" si="62"/>
        <v/>
      </c>
      <c r="AM98">
        <f t="shared" si="86"/>
        <v>0</v>
      </c>
      <c r="AO98">
        <f t="shared" si="87"/>
        <v>-25</v>
      </c>
      <c r="BB98" s="134">
        <f t="shared" si="63"/>
        <v>25</v>
      </c>
      <c r="BC98" s="44">
        <v>112</v>
      </c>
      <c r="BD98" s="149">
        <f t="shared" si="64"/>
        <v>0</v>
      </c>
      <c r="BE98" s="149">
        <f t="shared" si="65"/>
        <v>0</v>
      </c>
      <c r="BF98" s="149">
        <f t="shared" si="66"/>
        <v>0</v>
      </c>
      <c r="BG98" s="149">
        <f t="shared" si="67"/>
        <v>0</v>
      </c>
      <c r="BH98" s="149">
        <f t="shared" si="68"/>
        <v>0</v>
      </c>
      <c r="BI98" s="149">
        <f t="shared" si="69"/>
        <v>0</v>
      </c>
      <c r="BJ98" s="149">
        <f t="shared" si="70"/>
        <v>0</v>
      </c>
      <c r="BK98" s="149" t="str">
        <f>IFERROR(#REF!/$BB98,"")</f>
        <v/>
      </c>
      <c r="BL98" s="149" t="str">
        <f>IFERROR(#REF!/$BB98,"")</f>
        <v/>
      </c>
      <c r="BM98" s="149">
        <f t="shared" si="71"/>
        <v>1</v>
      </c>
      <c r="BN98" s="149">
        <f t="shared" si="72"/>
        <v>0</v>
      </c>
      <c r="BO98" s="149">
        <f t="shared" si="73"/>
        <v>0</v>
      </c>
      <c r="BP98" s="149">
        <f t="shared" si="74"/>
        <v>0</v>
      </c>
      <c r="BQ98" s="149">
        <f t="shared" si="75"/>
        <v>0</v>
      </c>
      <c r="BR98" s="149" t="str">
        <f>IFERROR(#REF!/$BB98,"")</f>
        <v/>
      </c>
      <c r="BS98" s="149" t="str">
        <f>IFERROR(#REF!/$BB98,"")</f>
        <v/>
      </c>
      <c r="BT98" s="149">
        <f t="shared" si="76"/>
        <v>0</v>
      </c>
      <c r="BU98" s="149">
        <f t="shared" si="77"/>
        <v>0</v>
      </c>
      <c r="BV98" s="149">
        <f t="shared" si="78"/>
        <v>0</v>
      </c>
      <c r="BW98" s="149">
        <f t="shared" si="79"/>
        <v>0</v>
      </c>
      <c r="BX98" s="149">
        <f t="shared" si="80"/>
        <v>0</v>
      </c>
      <c r="BY98" s="149" t="str">
        <f>IFERROR(#REF!/$BB98,"")</f>
        <v/>
      </c>
      <c r="BZ98" s="149" t="str">
        <f>IFERROR(#REF!/$BB98,"")</f>
        <v/>
      </c>
      <c r="CA98" s="149">
        <f t="shared" si="81"/>
        <v>0</v>
      </c>
      <c r="CB98" s="149">
        <f t="shared" si="82"/>
        <v>0</v>
      </c>
      <c r="CC98" s="207">
        <f t="shared" si="83"/>
        <v>1</v>
      </c>
      <c r="CD98" s="208" t="b">
        <f t="shared" si="57"/>
        <v>1</v>
      </c>
    </row>
    <row r="99" spans="1:82" x14ac:dyDescent="0.25">
      <c r="C99" s="44">
        <v>113</v>
      </c>
      <c r="D99" s="149"/>
      <c r="E99" s="149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W99" s="127">
        <f t="shared" si="58"/>
        <v>0</v>
      </c>
      <c r="X99">
        <f t="shared" si="59"/>
        <v>0</v>
      </c>
      <c r="Y99" t="b">
        <f>LOOKUP($C99,Table7[Sample Name],Table7[Positive])</f>
        <v>1</v>
      </c>
      <c r="Z99" t="b">
        <f>LOOKUP($C99,Table7[Sample Name],Table7[Disseminated])</f>
        <v>1</v>
      </c>
      <c r="AA99">
        <f t="shared" si="60"/>
        <v>0</v>
      </c>
      <c r="AD99" s="325">
        <v>113</v>
      </c>
      <c r="AE99" s="43">
        <v>0</v>
      </c>
      <c r="AF99" s="128"/>
      <c r="AG99">
        <f t="shared" si="84"/>
        <v>0</v>
      </c>
      <c r="AH99">
        <f t="shared" si="85"/>
        <v>0</v>
      </c>
      <c r="AJ99" s="207">
        <v>113</v>
      </c>
      <c r="AK99" s="127" t="str">
        <f t="shared" si="61"/>
        <v/>
      </c>
      <c r="AL99" s="128" t="str">
        <f t="shared" si="62"/>
        <v/>
      </c>
      <c r="AM99">
        <f t="shared" si="86"/>
        <v>0</v>
      </c>
      <c r="AO99">
        <f t="shared" si="87"/>
        <v>0</v>
      </c>
      <c r="BB99" s="134" t="str">
        <f t="shared" si="63"/>
        <v/>
      </c>
      <c r="BC99" s="44">
        <v>113</v>
      </c>
      <c r="BD99" s="149" t="str">
        <f t="shared" si="64"/>
        <v/>
      </c>
      <c r="BE99" s="149" t="str">
        <f t="shared" si="65"/>
        <v/>
      </c>
      <c r="BF99" s="149" t="str">
        <f t="shared" si="66"/>
        <v/>
      </c>
      <c r="BG99" s="149" t="str">
        <f t="shared" si="67"/>
        <v/>
      </c>
      <c r="BH99" s="149" t="str">
        <f t="shared" si="68"/>
        <v/>
      </c>
      <c r="BI99" s="149" t="str">
        <f t="shared" si="69"/>
        <v/>
      </c>
      <c r="BJ99" s="149" t="str">
        <f t="shared" si="70"/>
        <v/>
      </c>
      <c r="BK99" s="149" t="str">
        <f>IFERROR(#REF!/$BB99,"")</f>
        <v/>
      </c>
      <c r="BL99" s="149" t="str">
        <f>IFERROR(#REF!/$BB99,"")</f>
        <v/>
      </c>
      <c r="BM99" s="149" t="str">
        <f t="shared" si="71"/>
        <v/>
      </c>
      <c r="BN99" s="149" t="str">
        <f t="shared" si="72"/>
        <v/>
      </c>
      <c r="BO99" s="149" t="str">
        <f t="shared" si="73"/>
        <v/>
      </c>
      <c r="BP99" s="149" t="str">
        <f t="shared" si="74"/>
        <v/>
      </c>
      <c r="BQ99" s="149" t="str">
        <f t="shared" si="75"/>
        <v/>
      </c>
      <c r="BR99" s="149" t="str">
        <f>IFERROR(#REF!/$BB99,"")</f>
        <v/>
      </c>
      <c r="BS99" s="149" t="str">
        <f>IFERROR(#REF!/$BB99,"")</f>
        <v/>
      </c>
      <c r="BT99" s="149" t="str">
        <f t="shared" si="76"/>
        <v/>
      </c>
      <c r="BU99" s="149" t="str">
        <f t="shared" si="77"/>
        <v/>
      </c>
      <c r="BV99" s="149" t="str">
        <f t="shared" si="78"/>
        <v/>
      </c>
      <c r="BW99" s="149" t="str">
        <f t="shared" si="79"/>
        <v/>
      </c>
      <c r="BX99" s="149" t="str">
        <f t="shared" si="80"/>
        <v/>
      </c>
      <c r="BY99" s="149" t="str">
        <f>IFERROR(#REF!/$BB99,"")</f>
        <v/>
      </c>
      <c r="BZ99" s="149" t="str">
        <f>IFERROR(#REF!/$BB99,"")</f>
        <v/>
      </c>
      <c r="CA99" s="149" t="str">
        <f t="shared" si="81"/>
        <v/>
      </c>
      <c r="CB99" s="149" t="str">
        <f t="shared" si="82"/>
        <v/>
      </c>
      <c r="CC99" s="207" t="str">
        <f t="shared" si="83"/>
        <v/>
      </c>
      <c r="CD99" s="208" t="str">
        <f t="shared" si="57"/>
        <v/>
      </c>
    </row>
    <row r="100" spans="1:82" x14ac:dyDescent="0.25">
      <c r="C100" s="44">
        <v>114</v>
      </c>
      <c r="D100" s="149"/>
      <c r="E100" s="149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W100" s="127">
        <f t="shared" si="58"/>
        <v>0</v>
      </c>
      <c r="X100">
        <f t="shared" si="59"/>
        <v>0</v>
      </c>
      <c r="Y100" t="b">
        <f>LOOKUP($C100,Table7[Sample Name],Table7[Positive])</f>
        <v>1</v>
      </c>
      <c r="Z100" t="b">
        <f>LOOKUP($C100,Table7[Sample Name],Table7[Disseminated])</f>
        <v>1</v>
      </c>
      <c r="AA100">
        <f t="shared" si="60"/>
        <v>0</v>
      </c>
      <c r="AD100" s="325">
        <v>114</v>
      </c>
      <c r="AE100" s="43">
        <v>0</v>
      </c>
      <c r="AF100" s="128"/>
      <c r="AG100">
        <f t="shared" si="84"/>
        <v>0</v>
      </c>
      <c r="AH100">
        <f t="shared" si="85"/>
        <v>0</v>
      </c>
      <c r="AJ100" s="207">
        <v>114</v>
      </c>
      <c r="AK100" s="127" t="str">
        <f t="shared" si="61"/>
        <v/>
      </c>
      <c r="AL100" s="128" t="str">
        <f t="shared" si="62"/>
        <v/>
      </c>
      <c r="AM100">
        <f t="shared" si="86"/>
        <v>0</v>
      </c>
      <c r="AO100">
        <f t="shared" si="87"/>
        <v>0</v>
      </c>
      <c r="BB100" s="134" t="str">
        <f t="shared" si="63"/>
        <v/>
      </c>
      <c r="BC100" s="44">
        <v>114</v>
      </c>
      <c r="BD100" s="149" t="str">
        <f t="shared" si="64"/>
        <v/>
      </c>
      <c r="BE100" s="149" t="str">
        <f t="shared" si="65"/>
        <v/>
      </c>
      <c r="BF100" s="149" t="str">
        <f t="shared" si="66"/>
        <v/>
      </c>
      <c r="BG100" s="149" t="str">
        <f t="shared" si="67"/>
        <v/>
      </c>
      <c r="BH100" s="149" t="str">
        <f t="shared" si="68"/>
        <v/>
      </c>
      <c r="BI100" s="149" t="str">
        <f t="shared" si="69"/>
        <v/>
      </c>
      <c r="BJ100" s="149" t="str">
        <f t="shared" si="70"/>
        <v/>
      </c>
      <c r="BK100" s="149" t="str">
        <f>IFERROR(#REF!/$BB100,"")</f>
        <v/>
      </c>
      <c r="BL100" s="149" t="str">
        <f>IFERROR(#REF!/$BB100,"")</f>
        <v/>
      </c>
      <c r="BM100" s="149" t="str">
        <f t="shared" si="71"/>
        <v/>
      </c>
      <c r="BN100" s="149" t="str">
        <f t="shared" si="72"/>
        <v/>
      </c>
      <c r="BO100" s="149" t="str">
        <f t="shared" si="73"/>
        <v/>
      </c>
      <c r="BP100" s="149" t="str">
        <f t="shared" si="74"/>
        <v/>
      </c>
      <c r="BQ100" s="149" t="str">
        <f t="shared" si="75"/>
        <v/>
      </c>
      <c r="BR100" s="149" t="str">
        <f>IFERROR(#REF!/$BB100,"")</f>
        <v/>
      </c>
      <c r="BS100" s="149" t="str">
        <f>IFERROR(#REF!/$BB100,"")</f>
        <v/>
      </c>
      <c r="BT100" s="149" t="str">
        <f t="shared" si="76"/>
        <v/>
      </c>
      <c r="BU100" s="149" t="str">
        <f t="shared" si="77"/>
        <v/>
      </c>
      <c r="BV100" s="149" t="str">
        <f t="shared" si="78"/>
        <v/>
      </c>
      <c r="BW100" s="149" t="str">
        <f t="shared" si="79"/>
        <v/>
      </c>
      <c r="BX100" s="149" t="str">
        <f t="shared" si="80"/>
        <v/>
      </c>
      <c r="BY100" s="149" t="str">
        <f>IFERROR(#REF!/$BB100,"")</f>
        <v/>
      </c>
      <c r="BZ100" s="149" t="str">
        <f>IFERROR(#REF!/$BB100,"")</f>
        <v/>
      </c>
      <c r="CA100" s="149" t="str">
        <f t="shared" si="81"/>
        <v/>
      </c>
      <c r="CB100" s="149" t="str">
        <f t="shared" si="82"/>
        <v/>
      </c>
      <c r="CC100" s="207" t="str">
        <f t="shared" si="83"/>
        <v/>
      </c>
      <c r="CD100" s="208" t="str">
        <f t="shared" si="57"/>
        <v/>
      </c>
    </row>
    <row r="101" spans="1:82" ht="18.75" x14ac:dyDescent="0.3">
      <c r="C101" s="44">
        <v>115</v>
      </c>
      <c r="D101" s="149"/>
      <c r="E101" s="149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W101" s="127">
        <f t="shared" si="58"/>
        <v>0</v>
      </c>
      <c r="X101">
        <f t="shared" si="59"/>
        <v>0</v>
      </c>
      <c r="Y101" t="b">
        <f>LOOKUP($C101,Table7[Sample Name],Table7[Positive])</f>
        <v>0</v>
      </c>
      <c r="Z101" t="str">
        <f>LOOKUP($C101,Table7[Sample Name],Table7[Disseminated])</f>
        <v>N/A</v>
      </c>
      <c r="AA101">
        <f t="shared" si="60"/>
        <v>0</v>
      </c>
      <c r="AD101" s="325">
        <v>115</v>
      </c>
      <c r="AE101" s="43">
        <v>0</v>
      </c>
      <c r="AF101" s="128"/>
      <c r="AG101">
        <f t="shared" si="84"/>
        <v>0</v>
      </c>
      <c r="AH101">
        <f t="shared" si="85"/>
        <v>0</v>
      </c>
      <c r="AJ101" s="207">
        <v>115</v>
      </c>
      <c r="AK101" s="127" t="str">
        <f t="shared" si="61"/>
        <v/>
      </c>
      <c r="AL101" s="128" t="str">
        <f t="shared" si="62"/>
        <v/>
      </c>
      <c r="AM101">
        <f t="shared" si="86"/>
        <v>0</v>
      </c>
      <c r="AO101">
        <f t="shared" si="87"/>
        <v>0</v>
      </c>
      <c r="AQ101" s="340" t="s">
        <v>182</v>
      </c>
      <c r="BB101" s="134" t="str">
        <f t="shared" si="63"/>
        <v/>
      </c>
      <c r="BC101" s="44">
        <v>115</v>
      </c>
      <c r="BD101" s="149" t="str">
        <f t="shared" si="64"/>
        <v/>
      </c>
      <c r="BE101" s="149" t="str">
        <f t="shared" si="65"/>
        <v/>
      </c>
      <c r="BF101" s="149" t="str">
        <f t="shared" si="66"/>
        <v/>
      </c>
      <c r="BG101" s="149" t="str">
        <f t="shared" si="67"/>
        <v/>
      </c>
      <c r="BH101" s="149" t="str">
        <f t="shared" si="68"/>
        <v/>
      </c>
      <c r="BI101" s="149" t="str">
        <f t="shared" si="69"/>
        <v/>
      </c>
      <c r="BJ101" s="149" t="str">
        <f t="shared" si="70"/>
        <v/>
      </c>
      <c r="BK101" s="149" t="str">
        <f>IFERROR(#REF!/$BB101,"")</f>
        <v/>
      </c>
      <c r="BL101" s="149" t="str">
        <f>IFERROR(#REF!/$BB101,"")</f>
        <v/>
      </c>
      <c r="BM101" s="149" t="str">
        <f t="shared" si="71"/>
        <v/>
      </c>
      <c r="BN101" s="149" t="str">
        <f t="shared" si="72"/>
        <v/>
      </c>
      <c r="BO101" s="149" t="str">
        <f t="shared" si="73"/>
        <v/>
      </c>
      <c r="BP101" s="149" t="str">
        <f t="shared" si="74"/>
        <v/>
      </c>
      <c r="BQ101" s="149" t="str">
        <f t="shared" si="75"/>
        <v/>
      </c>
      <c r="BR101" s="149" t="str">
        <f>IFERROR(#REF!/$BB101,"")</f>
        <v/>
      </c>
      <c r="BS101" s="149" t="str">
        <f>IFERROR(#REF!/$BB101,"")</f>
        <v/>
      </c>
      <c r="BT101" s="149" t="str">
        <f t="shared" si="76"/>
        <v/>
      </c>
      <c r="BU101" s="149" t="str">
        <f t="shared" si="77"/>
        <v/>
      </c>
      <c r="BV101" s="149" t="str">
        <f t="shared" si="78"/>
        <v/>
      </c>
      <c r="BW101" s="149" t="str">
        <f t="shared" si="79"/>
        <v/>
      </c>
      <c r="BX101" s="149" t="str">
        <f t="shared" si="80"/>
        <v/>
      </c>
      <c r="BY101" s="149" t="str">
        <f>IFERROR(#REF!/$BB101,"")</f>
        <v/>
      </c>
      <c r="BZ101" s="149" t="str">
        <f>IFERROR(#REF!/$BB101,"")</f>
        <v/>
      </c>
      <c r="CA101" s="149" t="str">
        <f t="shared" si="81"/>
        <v/>
      </c>
      <c r="CB101" s="149" t="str">
        <f t="shared" si="82"/>
        <v/>
      </c>
      <c r="CC101" s="207" t="str">
        <f t="shared" si="83"/>
        <v/>
      </c>
      <c r="CD101" s="208" t="str">
        <f t="shared" si="57"/>
        <v/>
      </c>
    </row>
    <row r="102" spans="1:82" x14ac:dyDescent="0.25">
      <c r="C102" s="44">
        <v>116</v>
      </c>
      <c r="D102" s="149"/>
      <c r="E102" s="149"/>
      <c r="F102" s="55">
        <v>0</v>
      </c>
      <c r="G102" s="55"/>
      <c r="H102" s="55"/>
      <c r="I102" s="55"/>
      <c r="J102" s="55"/>
      <c r="K102" s="55">
        <v>19</v>
      </c>
      <c r="L102" s="55"/>
      <c r="M102" s="55"/>
      <c r="N102" s="55"/>
      <c r="O102" s="55"/>
      <c r="P102" s="55"/>
      <c r="Q102" s="55"/>
      <c r="W102" s="127">
        <f t="shared" si="58"/>
        <v>19</v>
      </c>
      <c r="X102">
        <f t="shared" si="59"/>
        <v>1</v>
      </c>
      <c r="Y102" t="b">
        <f>LOOKUP($C102,Table7[Sample Name],Table7[Positive])</f>
        <v>1</v>
      </c>
      <c r="Z102" t="b">
        <f>LOOKUP($C102,Table7[Sample Name],Table7[Disseminated])</f>
        <v>1</v>
      </c>
      <c r="AA102">
        <f t="shared" si="60"/>
        <v>19</v>
      </c>
      <c r="AD102" s="325">
        <v>116</v>
      </c>
      <c r="AE102" s="43">
        <v>19</v>
      </c>
      <c r="AF102" s="128"/>
      <c r="AG102">
        <f t="shared" si="84"/>
        <v>19</v>
      </c>
      <c r="AH102">
        <f t="shared" si="85"/>
        <v>1</v>
      </c>
      <c r="AJ102" s="207">
        <v>116</v>
      </c>
      <c r="AK102" s="127" t="str">
        <f t="shared" si="61"/>
        <v/>
      </c>
      <c r="AL102" s="128" t="str">
        <f t="shared" si="62"/>
        <v/>
      </c>
      <c r="AM102">
        <f t="shared" si="86"/>
        <v>0</v>
      </c>
      <c r="AO102">
        <f t="shared" si="87"/>
        <v>-19</v>
      </c>
      <c r="BB102" s="134">
        <f t="shared" si="63"/>
        <v>19</v>
      </c>
      <c r="BC102" s="44">
        <v>116</v>
      </c>
      <c r="BD102" s="149">
        <f t="shared" si="64"/>
        <v>0</v>
      </c>
      <c r="BE102" s="149">
        <f t="shared" si="65"/>
        <v>0</v>
      </c>
      <c r="BF102" s="149">
        <f t="shared" si="66"/>
        <v>0</v>
      </c>
      <c r="BG102" s="149">
        <f t="shared" si="67"/>
        <v>0</v>
      </c>
      <c r="BH102" s="149">
        <f t="shared" si="68"/>
        <v>0</v>
      </c>
      <c r="BI102" s="149">
        <f t="shared" si="69"/>
        <v>0</v>
      </c>
      <c r="BJ102" s="149">
        <f t="shared" si="70"/>
        <v>0</v>
      </c>
      <c r="BK102" s="149" t="str">
        <f>IFERROR(#REF!/$BB102,"")</f>
        <v/>
      </c>
      <c r="BL102" s="149" t="str">
        <f>IFERROR(#REF!/$BB102,"")</f>
        <v/>
      </c>
      <c r="BM102" s="149">
        <f t="shared" si="71"/>
        <v>1</v>
      </c>
      <c r="BN102" s="149">
        <f t="shared" si="72"/>
        <v>0</v>
      </c>
      <c r="BO102" s="149">
        <f t="shared" si="73"/>
        <v>0</v>
      </c>
      <c r="BP102" s="149">
        <f t="shared" si="74"/>
        <v>0</v>
      </c>
      <c r="BQ102" s="149">
        <f t="shared" si="75"/>
        <v>0</v>
      </c>
      <c r="BR102" s="149" t="str">
        <f>IFERROR(#REF!/$BB102,"")</f>
        <v/>
      </c>
      <c r="BS102" s="149" t="str">
        <f>IFERROR(#REF!/$BB102,"")</f>
        <v/>
      </c>
      <c r="BT102" s="149">
        <f t="shared" si="76"/>
        <v>0</v>
      </c>
      <c r="BU102" s="149">
        <f t="shared" si="77"/>
        <v>0</v>
      </c>
      <c r="BV102" s="149">
        <f t="shared" si="78"/>
        <v>0</v>
      </c>
      <c r="BW102" s="149">
        <f t="shared" si="79"/>
        <v>0</v>
      </c>
      <c r="BX102" s="149">
        <f t="shared" si="80"/>
        <v>0</v>
      </c>
      <c r="BY102" s="149" t="str">
        <f>IFERROR(#REF!/$BB102,"")</f>
        <v/>
      </c>
      <c r="BZ102" s="149" t="str">
        <f>IFERROR(#REF!/$BB102,"")</f>
        <v/>
      </c>
      <c r="CA102" s="149">
        <f t="shared" si="81"/>
        <v>0</v>
      </c>
      <c r="CB102" s="149">
        <f t="shared" si="82"/>
        <v>0</v>
      </c>
      <c r="CC102" s="207">
        <f t="shared" si="83"/>
        <v>1</v>
      </c>
      <c r="CD102" s="208" t="b">
        <f t="shared" si="57"/>
        <v>1</v>
      </c>
    </row>
    <row r="103" spans="1:82" x14ac:dyDescent="0.25">
      <c r="C103" s="44">
        <v>117</v>
      </c>
      <c r="D103" s="149"/>
      <c r="E103" s="149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W103" s="127">
        <f>SUM(D103:V103)</f>
        <v>0</v>
      </c>
      <c r="X103">
        <f t="shared" si="59"/>
        <v>0</v>
      </c>
      <c r="Y103" t="b">
        <f>LOOKUP($C103,Table7[Sample Name],Table7[Positive])</f>
        <v>1</v>
      </c>
      <c r="Z103" t="b">
        <f>LOOKUP($C103,Table7[Sample Name],Table7[Disseminated])</f>
        <v>0</v>
      </c>
      <c r="AA103">
        <f t="shared" si="60"/>
        <v>0</v>
      </c>
      <c r="AD103" s="325">
        <v>117</v>
      </c>
      <c r="AE103" s="43">
        <v>0</v>
      </c>
      <c r="AF103" s="128"/>
      <c r="AG103">
        <f t="shared" si="84"/>
        <v>0</v>
      </c>
      <c r="AH103">
        <f t="shared" si="85"/>
        <v>0</v>
      </c>
      <c r="AJ103" s="207">
        <v>117</v>
      </c>
      <c r="AK103" s="127" t="str">
        <f t="shared" si="61"/>
        <v/>
      </c>
      <c r="AL103" s="128" t="str">
        <f t="shared" si="62"/>
        <v/>
      </c>
      <c r="AM103">
        <f t="shared" si="86"/>
        <v>0</v>
      </c>
      <c r="AO103">
        <f t="shared" si="87"/>
        <v>0</v>
      </c>
      <c r="BB103" s="134" t="str">
        <f t="shared" si="63"/>
        <v/>
      </c>
      <c r="BC103" s="44">
        <v>117</v>
      </c>
      <c r="BD103" s="149" t="str">
        <f t="shared" si="64"/>
        <v/>
      </c>
      <c r="BE103" s="149" t="str">
        <f t="shared" si="65"/>
        <v/>
      </c>
      <c r="BF103" s="149" t="str">
        <f t="shared" si="66"/>
        <v/>
      </c>
      <c r="BG103" s="149" t="str">
        <f t="shared" si="67"/>
        <v/>
      </c>
      <c r="BH103" s="149" t="str">
        <f t="shared" si="68"/>
        <v/>
      </c>
      <c r="BI103" s="149" t="str">
        <f t="shared" si="69"/>
        <v/>
      </c>
      <c r="BJ103" s="149" t="str">
        <f t="shared" si="70"/>
        <v/>
      </c>
      <c r="BK103" s="149" t="str">
        <f>IFERROR(#REF!/$BB103,"")</f>
        <v/>
      </c>
      <c r="BL103" s="149" t="str">
        <f>IFERROR(#REF!/$BB103,"")</f>
        <v/>
      </c>
      <c r="BM103" s="149" t="str">
        <f t="shared" si="71"/>
        <v/>
      </c>
      <c r="BN103" s="149" t="str">
        <f t="shared" si="72"/>
        <v/>
      </c>
      <c r="BO103" s="149" t="str">
        <f t="shared" si="73"/>
        <v/>
      </c>
      <c r="BP103" s="149" t="str">
        <f t="shared" si="74"/>
        <v/>
      </c>
      <c r="BQ103" s="149" t="str">
        <f t="shared" si="75"/>
        <v/>
      </c>
      <c r="BR103" s="149" t="str">
        <f>IFERROR(#REF!/$BB103,"")</f>
        <v/>
      </c>
      <c r="BS103" s="149" t="str">
        <f>IFERROR(#REF!/$BB103,"")</f>
        <v/>
      </c>
      <c r="BT103" s="149" t="str">
        <f t="shared" si="76"/>
        <v/>
      </c>
      <c r="BU103" s="149" t="str">
        <f t="shared" si="77"/>
        <v/>
      </c>
      <c r="BV103" s="149" t="str">
        <f t="shared" si="78"/>
        <v/>
      </c>
      <c r="BW103" s="149" t="str">
        <f t="shared" si="79"/>
        <v/>
      </c>
      <c r="BX103" s="149" t="str">
        <f t="shared" si="80"/>
        <v/>
      </c>
      <c r="BY103" s="149" t="str">
        <f>IFERROR(#REF!/$BB103,"")</f>
        <v/>
      </c>
      <c r="BZ103" s="149" t="str">
        <f>IFERROR(#REF!/$BB103,"")</f>
        <v/>
      </c>
      <c r="CA103" s="149" t="str">
        <f t="shared" si="81"/>
        <v/>
      </c>
      <c r="CB103" s="149" t="str">
        <f t="shared" si="82"/>
        <v/>
      </c>
      <c r="CC103" s="207" t="str">
        <f t="shared" si="83"/>
        <v/>
      </c>
      <c r="CD103" s="208" t="str">
        <f t="shared" si="57"/>
        <v/>
      </c>
    </row>
    <row r="104" spans="1:82" x14ac:dyDescent="0.25">
      <c r="C104" s="44">
        <v>118</v>
      </c>
      <c r="D104" s="149"/>
      <c r="E104" s="149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W104" s="127">
        <f>SUM(D104:V104)</f>
        <v>0</v>
      </c>
      <c r="X104">
        <f t="shared" si="59"/>
        <v>0</v>
      </c>
      <c r="Y104" t="b">
        <f>LOOKUP($C104,Table7[Sample Name],Table7[Positive])</f>
        <v>1</v>
      </c>
      <c r="Z104" t="str">
        <f>LOOKUP($C104,Table7[Sample Name],Table7[Disseminated])</f>
        <v>N/A</v>
      </c>
      <c r="AA104">
        <f t="shared" si="60"/>
        <v>0</v>
      </c>
      <c r="AD104" s="325">
        <v>118</v>
      </c>
      <c r="AE104" s="43">
        <v>0</v>
      </c>
      <c r="AF104" s="128"/>
      <c r="AG104">
        <f t="shared" si="84"/>
        <v>0</v>
      </c>
      <c r="AH104">
        <f t="shared" si="85"/>
        <v>0</v>
      </c>
      <c r="AJ104" s="207">
        <v>118</v>
      </c>
      <c r="AK104" s="127" t="str">
        <f t="shared" si="61"/>
        <v/>
      </c>
      <c r="AL104" s="128" t="str">
        <f t="shared" si="62"/>
        <v/>
      </c>
      <c r="AM104">
        <f t="shared" si="86"/>
        <v>0</v>
      </c>
      <c r="AO104">
        <f t="shared" si="87"/>
        <v>0</v>
      </c>
      <c r="BB104" s="134" t="str">
        <f t="shared" si="63"/>
        <v/>
      </c>
      <c r="BC104" s="44">
        <v>118</v>
      </c>
      <c r="BD104" s="149" t="str">
        <f t="shared" si="64"/>
        <v/>
      </c>
      <c r="BE104" s="149" t="str">
        <f t="shared" si="65"/>
        <v/>
      </c>
      <c r="BF104" s="149" t="str">
        <f t="shared" si="66"/>
        <v/>
      </c>
      <c r="BG104" s="149" t="str">
        <f t="shared" si="67"/>
        <v/>
      </c>
      <c r="BH104" s="149" t="str">
        <f t="shared" si="68"/>
        <v/>
      </c>
      <c r="BI104" s="149" t="str">
        <f t="shared" si="69"/>
        <v/>
      </c>
      <c r="BJ104" s="149" t="str">
        <f t="shared" si="70"/>
        <v/>
      </c>
      <c r="BK104" s="149" t="str">
        <f>IFERROR(#REF!/$BB104,"")</f>
        <v/>
      </c>
      <c r="BL104" s="149" t="str">
        <f>IFERROR(#REF!/$BB104,"")</f>
        <v/>
      </c>
      <c r="BM104" s="149" t="str">
        <f t="shared" si="71"/>
        <v/>
      </c>
      <c r="BN104" s="149" t="str">
        <f t="shared" si="72"/>
        <v/>
      </c>
      <c r="BO104" s="149" t="str">
        <f t="shared" si="73"/>
        <v/>
      </c>
      <c r="BP104" s="149" t="str">
        <f t="shared" si="74"/>
        <v/>
      </c>
      <c r="BQ104" s="149" t="str">
        <f t="shared" si="75"/>
        <v/>
      </c>
      <c r="BR104" s="149" t="str">
        <f>IFERROR(#REF!/$BB104,"")</f>
        <v/>
      </c>
      <c r="BS104" s="149" t="str">
        <f>IFERROR(#REF!/$BB104,"")</f>
        <v/>
      </c>
      <c r="BT104" s="149" t="str">
        <f t="shared" si="76"/>
        <v/>
      </c>
      <c r="BU104" s="149" t="str">
        <f t="shared" si="77"/>
        <v/>
      </c>
      <c r="BV104" s="149" t="str">
        <f t="shared" si="78"/>
        <v/>
      </c>
      <c r="BW104" s="149" t="str">
        <f t="shared" si="79"/>
        <v/>
      </c>
      <c r="BX104" s="149" t="str">
        <f t="shared" si="80"/>
        <v/>
      </c>
      <c r="BY104" s="149" t="str">
        <f>IFERROR(#REF!/$BB104,"")</f>
        <v/>
      </c>
      <c r="BZ104" s="149" t="str">
        <f>IFERROR(#REF!/$BB104,"")</f>
        <v/>
      </c>
      <c r="CA104" s="149" t="str">
        <f t="shared" si="81"/>
        <v/>
      </c>
      <c r="CB104" s="149" t="str">
        <f t="shared" si="82"/>
        <v/>
      </c>
      <c r="CC104" s="207" t="str">
        <f t="shared" si="83"/>
        <v/>
      </c>
      <c r="CD104" s="208" t="str">
        <f t="shared" si="57"/>
        <v/>
      </c>
    </row>
    <row r="105" spans="1:82" x14ac:dyDescent="0.25">
      <c r="A105" t="s">
        <v>186</v>
      </c>
      <c r="C105" s="44">
        <v>119</v>
      </c>
      <c r="D105" s="149"/>
      <c r="E105" s="149"/>
      <c r="F105" s="55">
        <v>0</v>
      </c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W105" s="127">
        <f>SUM(D105:V105)</f>
        <v>0</v>
      </c>
      <c r="X105">
        <f t="shared" si="59"/>
        <v>0</v>
      </c>
      <c r="Y105" t="b">
        <f>LOOKUP($C105,Table7[Sample Name],Table7[Positive])</f>
        <v>1</v>
      </c>
      <c r="Z105" t="b">
        <f>LOOKUP($C105,Table7[Sample Name],Table7[Disseminated])</f>
        <v>1</v>
      </c>
      <c r="AA105">
        <f t="shared" si="60"/>
        <v>0</v>
      </c>
      <c r="AD105" s="325">
        <v>119</v>
      </c>
      <c r="AE105" s="43">
        <v>0</v>
      </c>
      <c r="AF105" s="128"/>
      <c r="AG105">
        <f t="shared" si="84"/>
        <v>0</v>
      </c>
      <c r="AH105">
        <f t="shared" si="85"/>
        <v>0</v>
      </c>
      <c r="AJ105" s="207">
        <v>119</v>
      </c>
      <c r="AK105" s="127" t="str">
        <f t="shared" si="61"/>
        <v/>
      </c>
      <c r="AL105" s="128" t="str">
        <f t="shared" si="62"/>
        <v/>
      </c>
      <c r="AM105">
        <f t="shared" si="86"/>
        <v>0</v>
      </c>
      <c r="AO105">
        <f t="shared" si="87"/>
        <v>0</v>
      </c>
      <c r="BB105" s="134">
        <f t="shared" si="63"/>
        <v>0</v>
      </c>
      <c r="BC105" s="44">
        <v>119</v>
      </c>
      <c r="BD105" s="149" t="str">
        <f t="shared" si="64"/>
        <v/>
      </c>
      <c r="BE105" s="149" t="str">
        <f t="shared" si="65"/>
        <v/>
      </c>
      <c r="BF105" s="149" t="str">
        <f t="shared" si="66"/>
        <v/>
      </c>
      <c r="BG105" s="149" t="str">
        <f t="shared" si="67"/>
        <v/>
      </c>
      <c r="BH105" s="149" t="str">
        <f t="shared" si="68"/>
        <v/>
      </c>
      <c r="BI105" s="149" t="str">
        <f t="shared" si="69"/>
        <v/>
      </c>
      <c r="BJ105" s="149" t="str">
        <f t="shared" si="70"/>
        <v/>
      </c>
      <c r="BK105" s="149" t="str">
        <f>IFERROR(#REF!/$BB105,"")</f>
        <v/>
      </c>
      <c r="BL105" s="149" t="str">
        <f>IFERROR(#REF!/$BB105,"")</f>
        <v/>
      </c>
      <c r="BM105" s="149" t="str">
        <f t="shared" si="71"/>
        <v/>
      </c>
      <c r="BN105" s="149" t="str">
        <f t="shared" si="72"/>
        <v/>
      </c>
      <c r="BO105" s="149" t="str">
        <f t="shared" si="73"/>
        <v/>
      </c>
      <c r="BP105" s="149" t="str">
        <f t="shared" si="74"/>
        <v/>
      </c>
      <c r="BQ105" s="149" t="str">
        <f t="shared" si="75"/>
        <v/>
      </c>
      <c r="BR105" s="149" t="str">
        <f>IFERROR(#REF!/$BB105,"")</f>
        <v/>
      </c>
      <c r="BS105" s="149" t="str">
        <f>IFERROR(#REF!/$BB105,"")</f>
        <v/>
      </c>
      <c r="BT105" s="149" t="str">
        <f t="shared" si="76"/>
        <v/>
      </c>
      <c r="BU105" s="149" t="str">
        <f t="shared" si="77"/>
        <v/>
      </c>
      <c r="BV105" s="149" t="str">
        <f t="shared" si="78"/>
        <v/>
      </c>
      <c r="BW105" s="149" t="str">
        <f t="shared" si="79"/>
        <v/>
      </c>
      <c r="BX105" s="149" t="str">
        <f t="shared" si="80"/>
        <v/>
      </c>
      <c r="BY105" s="149" t="str">
        <f>IFERROR(#REF!/$BB105,"")</f>
        <v/>
      </c>
      <c r="BZ105" s="149" t="str">
        <f>IFERROR(#REF!/$BB105,"")</f>
        <v/>
      </c>
      <c r="CA105" s="149" t="str">
        <f t="shared" si="81"/>
        <v/>
      </c>
      <c r="CB105" s="149" t="str">
        <f t="shared" si="82"/>
        <v/>
      </c>
      <c r="CC105" s="207" t="str">
        <f t="shared" si="83"/>
        <v/>
      </c>
      <c r="CD105" s="208" t="str">
        <f t="shared" si="57"/>
        <v/>
      </c>
    </row>
    <row r="106" spans="1:82" ht="15.75" thickBot="1" x14ac:dyDescent="0.3">
      <c r="C106" s="204">
        <v>120</v>
      </c>
      <c r="D106" s="205"/>
      <c r="E106" s="205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52"/>
      <c r="S106" s="52"/>
      <c r="T106" s="52"/>
      <c r="U106" s="52"/>
      <c r="V106" s="52"/>
      <c r="W106" s="127">
        <f>SUM(D106:V106)</f>
        <v>0</v>
      </c>
      <c r="X106">
        <f t="shared" si="59"/>
        <v>0</v>
      </c>
      <c r="Y106" t="b">
        <f>LOOKUP($C106,Table7[Sample Name],Table7[Positive])</f>
        <v>0</v>
      </c>
      <c r="Z106" t="str">
        <f>LOOKUP($C106,Table7[Sample Name],Table7[Disseminated])</f>
        <v>N/A</v>
      </c>
      <c r="AA106">
        <f t="shared" si="60"/>
        <v>0</v>
      </c>
      <c r="AD106" s="326">
        <v>120</v>
      </c>
      <c r="AE106" s="45">
        <v>0</v>
      </c>
      <c r="AF106" s="42"/>
      <c r="AG106">
        <f t="shared" si="84"/>
        <v>0</v>
      </c>
      <c r="AH106">
        <f t="shared" si="85"/>
        <v>0</v>
      </c>
      <c r="AJ106" s="209">
        <v>120</v>
      </c>
      <c r="AK106" s="129" t="str">
        <f t="shared" si="61"/>
        <v/>
      </c>
      <c r="AL106" s="42" t="str">
        <f t="shared" si="62"/>
        <v/>
      </c>
      <c r="AM106">
        <f t="shared" si="86"/>
        <v>0</v>
      </c>
      <c r="AO106">
        <f t="shared" si="87"/>
        <v>0</v>
      </c>
      <c r="AQ106" s="149"/>
      <c r="AR106" s="149"/>
      <c r="AS106" s="149"/>
      <c r="AT106" s="149"/>
      <c r="BB106" s="134" t="str">
        <f t="shared" si="63"/>
        <v/>
      </c>
      <c r="BC106" s="44">
        <v>120</v>
      </c>
      <c r="BD106" s="149" t="str">
        <f t="shared" si="64"/>
        <v/>
      </c>
      <c r="BE106" s="149" t="str">
        <f t="shared" si="65"/>
        <v/>
      </c>
      <c r="BF106" s="149" t="str">
        <f t="shared" si="66"/>
        <v/>
      </c>
      <c r="BG106" s="149" t="str">
        <f t="shared" si="67"/>
        <v/>
      </c>
      <c r="BH106" s="149" t="str">
        <f t="shared" si="68"/>
        <v/>
      </c>
      <c r="BI106" s="149" t="str">
        <f t="shared" si="69"/>
        <v/>
      </c>
      <c r="BJ106" s="149" t="str">
        <f t="shared" si="70"/>
        <v/>
      </c>
      <c r="BK106" s="149" t="str">
        <f>IFERROR(#REF!/$BB106,"")</f>
        <v/>
      </c>
      <c r="BL106" s="149" t="str">
        <f>IFERROR(#REF!/$BB106,"")</f>
        <v/>
      </c>
      <c r="BM106" s="149" t="str">
        <f t="shared" si="71"/>
        <v/>
      </c>
      <c r="BN106" s="149" t="str">
        <f t="shared" si="72"/>
        <v/>
      </c>
      <c r="BO106" s="149" t="str">
        <f t="shared" si="73"/>
        <v/>
      </c>
      <c r="BP106" s="149" t="str">
        <f t="shared" si="74"/>
        <v/>
      </c>
      <c r="BQ106" s="149" t="str">
        <f t="shared" si="75"/>
        <v/>
      </c>
      <c r="BR106" s="149" t="str">
        <f>IFERROR(#REF!/$BB106,"")</f>
        <v/>
      </c>
      <c r="BS106" s="149" t="str">
        <f>IFERROR(#REF!/$BB106,"")</f>
        <v/>
      </c>
      <c r="BT106" s="149" t="str">
        <f t="shared" si="76"/>
        <v/>
      </c>
      <c r="BU106" s="149" t="str">
        <f t="shared" si="77"/>
        <v/>
      </c>
      <c r="BV106" s="149" t="str">
        <f t="shared" si="78"/>
        <v/>
      </c>
      <c r="BW106" s="149" t="str">
        <f t="shared" si="79"/>
        <v/>
      </c>
      <c r="BX106" s="149" t="str">
        <f t="shared" si="80"/>
        <v/>
      </c>
      <c r="BY106" s="149" t="str">
        <f>IFERROR(#REF!/$BB106,"")</f>
        <v/>
      </c>
      <c r="BZ106" s="149" t="str">
        <f>IFERROR(#REF!/$BB106,"")</f>
        <v/>
      </c>
      <c r="CA106" s="149" t="str">
        <f t="shared" si="81"/>
        <v/>
      </c>
      <c r="CB106" s="149" t="str">
        <f t="shared" si="82"/>
        <v/>
      </c>
      <c r="CC106" s="207" t="str">
        <f t="shared" si="83"/>
        <v/>
      </c>
      <c r="CD106" s="208" t="str">
        <f t="shared" si="57"/>
        <v/>
      </c>
    </row>
    <row r="107" spans="1:82" ht="15.75" thickTop="1" x14ac:dyDescent="0.25">
      <c r="C107" s="151" t="s">
        <v>17</v>
      </c>
      <c r="D107" s="151">
        <f t="shared" ref="D107:V107" si="88">SUM(D7:D106)</f>
        <v>0</v>
      </c>
      <c r="E107" s="151">
        <f t="shared" si="88"/>
        <v>50</v>
      </c>
      <c r="F107" s="151">
        <f t="shared" si="88"/>
        <v>45</v>
      </c>
      <c r="G107" s="151">
        <f t="shared" si="88"/>
        <v>0</v>
      </c>
      <c r="H107" s="151">
        <f t="shared" si="88"/>
        <v>0</v>
      </c>
      <c r="I107" s="151">
        <f t="shared" si="88"/>
        <v>126</v>
      </c>
      <c r="J107" s="151">
        <f t="shared" si="88"/>
        <v>98</v>
      </c>
      <c r="K107" s="151">
        <f t="shared" si="88"/>
        <v>218</v>
      </c>
      <c r="L107" s="151">
        <f t="shared" si="88"/>
        <v>4</v>
      </c>
      <c r="M107" s="151">
        <f t="shared" si="88"/>
        <v>45</v>
      </c>
      <c r="N107" s="151">
        <f t="shared" si="88"/>
        <v>19</v>
      </c>
      <c r="O107" s="151">
        <f t="shared" si="88"/>
        <v>0</v>
      </c>
      <c r="P107" s="151">
        <f t="shared" si="88"/>
        <v>26</v>
      </c>
      <c r="Q107" s="151">
        <f t="shared" si="88"/>
        <v>0</v>
      </c>
      <c r="R107" s="151">
        <f t="shared" si="88"/>
        <v>0</v>
      </c>
      <c r="S107" s="151">
        <f t="shared" si="88"/>
        <v>0</v>
      </c>
      <c r="T107" s="151">
        <f t="shared" si="88"/>
        <v>0</v>
      </c>
      <c r="U107" s="151">
        <f t="shared" si="88"/>
        <v>0</v>
      </c>
      <c r="V107" s="151">
        <f t="shared" si="88"/>
        <v>1</v>
      </c>
      <c r="W107" s="209">
        <f>SUM(D107:V107)</f>
        <v>632</v>
      </c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Z107" s="244">
        <f>IFERROR(LARGE(D107:V107,1),"")</f>
        <v>218</v>
      </c>
      <c r="BA107" s="211" t="s">
        <v>74</v>
      </c>
      <c r="BB107" s="211">
        <f t="shared" ref="BB107:BH107" si="89">IFERROR(D107/$AZ107,"")</f>
        <v>0</v>
      </c>
      <c r="BC107" s="211">
        <f t="shared" si="89"/>
        <v>0.22935779816513763</v>
      </c>
      <c r="BD107" s="211">
        <f t="shared" si="89"/>
        <v>0.20642201834862386</v>
      </c>
      <c r="BE107" s="211">
        <f t="shared" si="89"/>
        <v>0</v>
      </c>
      <c r="BF107" s="211">
        <f t="shared" si="89"/>
        <v>0</v>
      </c>
      <c r="BG107" s="211">
        <f t="shared" si="89"/>
        <v>0.57798165137614677</v>
      </c>
      <c r="BH107" s="211">
        <f t="shared" si="89"/>
        <v>0.44954128440366975</v>
      </c>
      <c r="BI107" s="211" t="str">
        <f>IFERROR(#REF!/$AZ107,"")</f>
        <v/>
      </c>
      <c r="BJ107" s="211" t="str">
        <f>IFERROR(#REF!/$AZ107,"")</f>
        <v/>
      </c>
      <c r="BK107" s="211">
        <f>IFERROR(K107/$AZ107,"")</f>
        <v>1</v>
      </c>
      <c r="BL107" s="211">
        <f>IFERROR(L107/$AZ107,"")</f>
        <v>1.834862385321101E-2</v>
      </c>
      <c r="BM107" s="211">
        <f>IFERROR(M107/$AZ107,"")</f>
        <v>0.20642201834862386</v>
      </c>
      <c r="BN107" s="211">
        <f>IFERROR(N107/$AZ107,"")</f>
        <v>8.7155963302752298E-2</v>
      </c>
      <c r="BO107" s="211">
        <f>IFERROR(O107/$AZ107,"")</f>
        <v>0</v>
      </c>
      <c r="BP107" s="211" t="str">
        <f>IFERROR(#REF!/$AZ107,"")</f>
        <v/>
      </c>
      <c r="BQ107" s="211" t="str">
        <f>IFERROR(#REF!/$AZ107,"")</f>
        <v/>
      </c>
      <c r="BR107" s="211">
        <f>IFERROR(P107/$AZ107,"")</f>
        <v>0.11926605504587157</v>
      </c>
      <c r="BS107" s="211">
        <f>IFERROR(Q107/$AZ107,"")</f>
        <v>0</v>
      </c>
      <c r="BT107" s="211">
        <f>IFERROR(R107/$AZ107,"")</f>
        <v>0</v>
      </c>
      <c r="BU107" s="211">
        <f>IFERROR(S107/$AZ107,"")</f>
        <v>0</v>
      </c>
      <c r="BV107" s="211">
        <f>IFERROR(T107/$AZ107,"")</f>
        <v>0</v>
      </c>
      <c r="BW107" s="211" t="str">
        <f>IFERROR(#REF!/$AZ107,"")</f>
        <v/>
      </c>
      <c r="BX107" s="211" t="str">
        <f>IFERROR(#REF!/$AZ107,"")</f>
        <v/>
      </c>
      <c r="BY107" s="211">
        <f>IFERROR(U107/$AZ107,"")</f>
        <v>0</v>
      </c>
      <c r="BZ107" s="211">
        <f>IFERROR(V107/$AZ107,"")</f>
        <v>4.5871559633027525E-3</v>
      </c>
      <c r="CA107" s="242">
        <f>IFERROR(W107/$AZ107,"")</f>
        <v>2.8990825688073394</v>
      </c>
      <c r="CB107" s="243" t="s">
        <v>48</v>
      </c>
    </row>
    <row r="108" spans="1:82" x14ac:dyDescent="0.25">
      <c r="C108" s="149"/>
      <c r="D108" s="149"/>
      <c r="E108" s="149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V108" t="s">
        <v>185</v>
      </c>
      <c r="W108" s="127"/>
      <c r="AZ108" s="43"/>
      <c r="BA108" s="149"/>
      <c r="BB108" s="149"/>
      <c r="BC108" s="149"/>
      <c r="BD108" s="153"/>
      <c r="BE108" s="153"/>
      <c r="BF108" s="153"/>
      <c r="BG108" s="153"/>
      <c r="BH108" s="153"/>
      <c r="BI108" s="153"/>
      <c r="BJ108" s="153"/>
      <c r="BK108" s="153"/>
      <c r="BL108" s="153"/>
      <c r="BM108" s="153"/>
      <c r="BN108" s="153"/>
      <c r="BO108" s="153"/>
      <c r="BP108" s="153"/>
      <c r="BQ108" s="153"/>
      <c r="BR108" s="153"/>
      <c r="BS108" s="153"/>
      <c r="BW108" t="s">
        <v>89</v>
      </c>
      <c r="BY108">
        <f>COUNTIF(CC7:CC106,"&gt;"&amp;0)</f>
        <v>30</v>
      </c>
      <c r="CA108" s="127"/>
    </row>
    <row r="109" spans="1:82" ht="15.75" thickBot="1" x14ac:dyDescent="0.3">
      <c r="C109" s="149"/>
      <c r="D109" s="149"/>
      <c r="E109" s="149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V109" t="s">
        <v>185</v>
      </c>
      <c r="W109" s="127"/>
      <c r="AZ109" s="43"/>
      <c r="BA109" s="149"/>
      <c r="BB109" s="149"/>
      <c r="BC109" s="149"/>
      <c r="BD109" s="153"/>
      <c r="BE109" s="153"/>
      <c r="BF109" s="153"/>
      <c r="BG109" s="153"/>
      <c r="BH109" s="153"/>
      <c r="BI109" s="153"/>
      <c r="BJ109" s="153"/>
      <c r="BK109" s="153"/>
      <c r="BL109" s="153"/>
      <c r="BM109" s="153"/>
      <c r="BN109" s="153"/>
      <c r="BO109" s="153"/>
      <c r="BP109" s="153"/>
      <c r="BQ109" s="153"/>
      <c r="BR109" s="153"/>
      <c r="BS109" s="153"/>
      <c r="CA109" s="127"/>
    </row>
    <row r="110" spans="1:82" ht="15" customHeight="1" x14ac:dyDescent="0.25">
      <c r="A110" s="404" t="s">
        <v>79</v>
      </c>
      <c r="B110" s="312" t="s">
        <v>172</v>
      </c>
      <c r="C110" s="308">
        <f>COUNTIF($Y$7:$Y$106,FALSE)</f>
        <v>13</v>
      </c>
      <c r="D110" s="227" t="s">
        <v>136</v>
      </c>
      <c r="E110" s="307">
        <f>SUMPRODUCT(--(E$7:E$106&gt;0),--($Y$7:$Y$106=FALSE))</f>
        <v>0</v>
      </c>
      <c r="F110" s="307">
        <f t="shared" ref="F110:V110" si="90">SUMPRODUCT(--(F$7:F$106&gt;0),--($Y$7:$Y$106=FALSE))</f>
        <v>0</v>
      </c>
      <c r="G110" s="307">
        <f t="shared" si="90"/>
        <v>0</v>
      </c>
      <c r="H110" s="307">
        <f t="shared" si="90"/>
        <v>0</v>
      </c>
      <c r="I110" s="307">
        <f t="shared" si="90"/>
        <v>0</v>
      </c>
      <c r="J110" s="307">
        <f t="shared" si="90"/>
        <v>0</v>
      </c>
      <c r="K110" s="307">
        <f t="shared" si="90"/>
        <v>0</v>
      </c>
      <c r="L110" s="307">
        <f t="shared" si="90"/>
        <v>0</v>
      </c>
      <c r="M110" s="307">
        <f t="shared" si="90"/>
        <v>0</v>
      </c>
      <c r="N110" s="307">
        <f t="shared" si="90"/>
        <v>0</v>
      </c>
      <c r="O110" s="307">
        <f t="shared" si="90"/>
        <v>0</v>
      </c>
      <c r="P110" s="307">
        <f t="shared" si="90"/>
        <v>0</v>
      </c>
      <c r="Q110" s="307">
        <f t="shared" si="90"/>
        <v>0</v>
      </c>
      <c r="R110" s="307">
        <f t="shared" si="90"/>
        <v>0</v>
      </c>
      <c r="S110" s="307">
        <f t="shared" si="90"/>
        <v>0</v>
      </c>
      <c r="T110" s="307">
        <f t="shared" si="90"/>
        <v>0</v>
      </c>
      <c r="U110" s="307">
        <f t="shared" si="90"/>
        <v>0</v>
      </c>
      <c r="V110" s="307">
        <f t="shared" si="90"/>
        <v>0</v>
      </c>
      <c r="W110" s="127"/>
      <c r="AZ110" s="43"/>
      <c r="BA110" s="149"/>
      <c r="BB110" s="149"/>
      <c r="BC110" s="149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CA110" s="127"/>
    </row>
    <row r="111" spans="1:82" x14ac:dyDescent="0.25">
      <c r="A111" s="402"/>
      <c r="B111" s="289" t="s">
        <v>173</v>
      </c>
      <c r="C111" s="229">
        <f>SUMPRODUCT(--($Y$7:$Y$106=FALSE),--($AA$7:$AA$106&gt;0))</f>
        <v>0</v>
      </c>
      <c r="D111" s="149" t="s">
        <v>137</v>
      </c>
      <c r="E111" s="43">
        <f>E110/INDEX('Albopictus Mortality'!$A$3:$AP$52,MATCH("Uninfected",'Albopictus Mortality'!$A$3:$A$52,0)+1,MATCH(E$6,'Albopictus Mortality'!$A$3:$AP$3,0)-1)%</f>
        <v>0</v>
      </c>
      <c r="F111" s="43">
        <f>F110/INDEX('Albopictus Mortality'!$A$3:$AP$52,MATCH("Uninfected",'Albopictus Mortality'!$A$3:$A$52,0)+1,MATCH(F$6,'Albopictus Mortality'!$A$3:$AP$3,0)-1)%</f>
        <v>0</v>
      </c>
      <c r="G111" s="43">
        <f>G110/INDEX('Albopictus Mortality'!$A$3:$AP$52,MATCH("Uninfected",'Albopictus Mortality'!$A$3:$A$52,0)+1,MATCH(G$6,'Albopictus Mortality'!$A$3:$AP$3,0)-1)%</f>
        <v>0</v>
      </c>
      <c r="H111" s="43">
        <f>H110/INDEX('Albopictus Mortality'!$A$3:$AP$52,MATCH("Uninfected",'Albopictus Mortality'!$A$3:$A$52,0)+1,MATCH(H$6,'Albopictus Mortality'!$A$3:$AP$3,0)-1)%</f>
        <v>0</v>
      </c>
      <c r="I111" s="43">
        <f>I110/INDEX('Albopictus Mortality'!$A$3:$AP$52,MATCH("Uninfected",'Albopictus Mortality'!$A$3:$A$52,0)+1,MATCH(I$6,'Albopictus Mortality'!$A$3:$AP$3,0)-1)%</f>
        <v>0</v>
      </c>
      <c r="J111" s="43">
        <f>J110/INDEX('Albopictus Mortality'!$A$3:$AP$52,MATCH("Uninfected",'Albopictus Mortality'!$A$3:$A$52,0)+1,MATCH(J$6,'Albopictus Mortality'!$A$3:$AP$3,0)-1)%</f>
        <v>0</v>
      </c>
      <c r="K111" s="43">
        <f>K110/INDEX('Albopictus Mortality'!$A$3:$AP$52,MATCH("Uninfected",'Albopictus Mortality'!$A$3:$A$52,0)+1,MATCH(K$6,'Albopictus Mortality'!$A$3:$AP$3,0)-1)%</f>
        <v>0</v>
      </c>
      <c r="L111" s="43">
        <f>L110/INDEX('Albopictus Mortality'!$A$3:$AP$52,MATCH("Uninfected",'Albopictus Mortality'!$A$3:$A$52,0)+1,MATCH(L$6,'Albopictus Mortality'!$A$3:$AP$3,0)-1)%</f>
        <v>0</v>
      </c>
      <c r="M111" s="43">
        <f>M110/INDEX('Albopictus Mortality'!$A$3:$AP$52,MATCH("Uninfected",'Albopictus Mortality'!$A$3:$A$52,0)+1,MATCH(M$6,'Albopictus Mortality'!$A$3:$AP$3,0)-1)%</f>
        <v>0</v>
      </c>
      <c r="N111" s="43">
        <f>N110/INDEX('Albopictus Mortality'!$A$3:$AP$52,MATCH("Uninfected",'Albopictus Mortality'!$A$3:$A$52,0)+1,MATCH(N$6,'Albopictus Mortality'!$A$3:$AP$3,0)-1)%</f>
        <v>0</v>
      </c>
      <c r="O111" s="43">
        <f>O110/INDEX('Albopictus Mortality'!$A$3:$AP$52,MATCH("Uninfected",'Albopictus Mortality'!$A$3:$A$52,0)+1,MATCH(O$6,'Albopictus Mortality'!$A$3:$AP$3,0)-1)%</f>
        <v>0</v>
      </c>
      <c r="P111" s="43">
        <f>P110/INDEX('Albopictus Mortality'!$A$3:$AP$52,MATCH("Uninfected",'Albopictus Mortality'!$A$3:$A$52,0)+1,MATCH(P$6,'Albopictus Mortality'!$A$3:$AP$3,0)-1)%</f>
        <v>0</v>
      </c>
      <c r="Q111" s="43">
        <f>Q110/INDEX('Albopictus Mortality'!$A$3:$AP$52,MATCH("Uninfected",'Albopictus Mortality'!$A$3:$A$52,0)+1,MATCH(Q$6,'Albopictus Mortality'!$A$3:$AP$3,0)-1)%</f>
        <v>0</v>
      </c>
      <c r="R111" s="43">
        <f>R110/INDEX('Albopictus Mortality'!$A$3:$AP$52,MATCH("Uninfected",'Albopictus Mortality'!$A$3:$A$52,0)+1,MATCH(R$6,'Albopictus Mortality'!$A$3:$AP$3,0)-1)%</f>
        <v>0</v>
      </c>
      <c r="S111" s="43">
        <f>S110/INDEX('Albopictus Mortality'!$A$3:$AP$52,MATCH("Uninfected",'Albopictus Mortality'!$A$3:$A$52,0)+1,MATCH(S$6,'Albopictus Mortality'!$A$3:$AP$3,0)-1)%</f>
        <v>0</v>
      </c>
      <c r="T111" s="43">
        <f>T110/INDEX('Albopictus Mortality'!$A$3:$AP$52,MATCH("Uninfected",'Albopictus Mortality'!$A$3:$A$52,0)+1,MATCH(T$6,'Albopictus Mortality'!$A$3:$AP$3,0)-1)%</f>
        <v>0</v>
      </c>
      <c r="U111" s="43">
        <f>U110/INDEX('Albopictus Mortality'!$A$3:$AP$52,MATCH("Uninfected",'Albopictus Mortality'!$A$3:$A$52,0)+1,MATCH(U$6,'Albopictus Mortality'!$A$3:$AP$3,0)-1)%</f>
        <v>0</v>
      </c>
      <c r="V111" s="43">
        <f>V110/INDEX('Albopictus Mortality'!$A$3:$AP$52,MATCH("Uninfected",'Albopictus Mortality'!$A$3:$A$52,0)+1,MATCH(V$6,'Albopictus Mortality'!$A$3:$AP$3,0)-1)%</f>
        <v>0</v>
      </c>
      <c r="W111" s="127"/>
      <c r="AZ111" s="43"/>
      <c r="BA111" s="149"/>
      <c r="BB111" s="149"/>
      <c r="BC111" s="149"/>
      <c r="BD111" s="153"/>
      <c r="BE111" s="153"/>
      <c r="BF111" s="153"/>
      <c r="BG111" s="153"/>
      <c r="BH111" s="153"/>
      <c r="BI111" s="153"/>
      <c r="BJ111" s="153"/>
      <c r="BK111" s="153"/>
      <c r="BL111" s="153"/>
      <c r="BM111" s="153"/>
      <c r="BN111" s="153"/>
      <c r="BO111" s="153"/>
      <c r="BP111" s="153"/>
      <c r="BQ111" s="153"/>
      <c r="BR111" s="153"/>
      <c r="BS111" s="153"/>
      <c r="CA111" s="127"/>
    </row>
    <row r="112" spans="1:82" x14ac:dyDescent="0.25">
      <c r="A112" s="402"/>
      <c r="B112" s="289" t="s">
        <v>142</v>
      </c>
      <c r="C112" s="229">
        <f>C110-C111</f>
        <v>13</v>
      </c>
      <c r="D112" s="149" t="s">
        <v>138</v>
      </c>
      <c r="E112" s="149">
        <f>SUMPRODUCT(E$7:E$106,--($Y$7:$Y$106=FALSE))/INDEX('Albopictus Mortality'!$A$3:$AP$52,MATCH("Uninfected",'Albopictus Mortality'!$A$3:$A$52,0)+1,MATCH(E$6,'Albopictus Mortality'!$A$3:$AP$3,0)-1)</f>
        <v>0</v>
      </c>
      <c r="F112" s="149">
        <f>SUMPRODUCT(F$7:F$106,--($Y$7:$Y$106=FALSE))/INDEX('Albopictus Mortality'!$A$3:$AP$52,MATCH("Uninfected",'Albopictus Mortality'!$A$3:$A$52,0)+1,MATCH(F$6,'Albopictus Mortality'!$A$3:$AP$3,0)-1)</f>
        <v>0</v>
      </c>
      <c r="G112" s="149">
        <f>SUMPRODUCT(G$7:G$106,--($Y$7:$Y$106=FALSE))/INDEX('Albopictus Mortality'!$A$3:$AP$52,MATCH("Uninfected",'Albopictus Mortality'!$A$3:$A$52,0)+1,MATCH(G$6,'Albopictus Mortality'!$A$3:$AP$3,0)-1)</f>
        <v>0</v>
      </c>
      <c r="H112" s="149">
        <f>SUMPRODUCT(H$7:H$106,--($Y$7:$Y$106=FALSE))/INDEX('Albopictus Mortality'!$A$3:$AP$52,MATCH("Uninfected",'Albopictus Mortality'!$A$3:$A$52,0)+1,MATCH(H$6,'Albopictus Mortality'!$A$3:$AP$3,0)-1)</f>
        <v>0</v>
      </c>
      <c r="I112" s="149">
        <f>SUMPRODUCT(I$7:I$106,--($Y$7:$Y$106=FALSE))/INDEX('Albopictus Mortality'!$A$3:$AP$52,MATCH("Uninfected",'Albopictus Mortality'!$A$3:$A$52,0)+1,MATCH(I$6,'Albopictus Mortality'!$A$3:$AP$3,0)-1)</f>
        <v>0</v>
      </c>
      <c r="J112" s="149">
        <f>SUMPRODUCT(J$7:J$106,--($Y$7:$Y$106=FALSE))/INDEX('Albopictus Mortality'!$A$3:$AP$52,MATCH("Uninfected",'Albopictus Mortality'!$A$3:$A$52,0)+1,MATCH(J$6,'Albopictus Mortality'!$A$3:$AP$3,0)-1)</f>
        <v>0</v>
      </c>
      <c r="K112" s="149">
        <f>SUMPRODUCT(K$7:K$106,--($Y$7:$Y$106=FALSE))/INDEX('Albopictus Mortality'!$A$3:$AP$52,MATCH("Uninfected",'Albopictus Mortality'!$A$3:$A$52,0)+1,MATCH(K$6,'Albopictus Mortality'!$A$3:$AP$3,0)-1)</f>
        <v>0</v>
      </c>
      <c r="L112" s="149">
        <f>SUMPRODUCT(L$7:L$106,--($Y$7:$Y$106=FALSE))/INDEX('Albopictus Mortality'!$A$3:$AP$52,MATCH("Uninfected",'Albopictus Mortality'!$A$3:$A$52,0)+1,MATCH(L$6,'Albopictus Mortality'!$A$3:$AP$3,0)-1)</f>
        <v>0</v>
      </c>
      <c r="M112" s="149">
        <f>SUMPRODUCT(M$7:M$106,--($Y$7:$Y$106=FALSE))/INDEX('Albopictus Mortality'!$A$3:$AP$52,MATCH("Uninfected",'Albopictus Mortality'!$A$3:$A$52,0)+1,MATCH(M$6,'Albopictus Mortality'!$A$3:$AP$3,0)-1)</f>
        <v>0</v>
      </c>
      <c r="N112" s="149">
        <f>SUMPRODUCT(N$7:N$106,--($Y$7:$Y$106=FALSE))/INDEX('Albopictus Mortality'!$A$3:$AP$52,MATCH("Uninfected",'Albopictus Mortality'!$A$3:$A$52,0)+1,MATCH(N$6,'Albopictus Mortality'!$A$3:$AP$3,0)-1)</f>
        <v>0</v>
      </c>
      <c r="O112" s="149">
        <f>SUMPRODUCT(O$7:O$106,--($Y$7:$Y$106=FALSE))/INDEX('Albopictus Mortality'!$A$3:$AP$52,MATCH("Uninfected",'Albopictus Mortality'!$A$3:$A$52,0)+1,MATCH(O$6,'Albopictus Mortality'!$A$3:$AP$3,0)-1)</f>
        <v>0</v>
      </c>
      <c r="P112" s="149">
        <f>SUMPRODUCT(P$7:P$106,--($Y$7:$Y$106=FALSE))/INDEX('Albopictus Mortality'!$A$3:$AP$52,MATCH("Uninfected",'Albopictus Mortality'!$A$3:$A$52,0)+1,MATCH(P$6,'Albopictus Mortality'!$A$3:$AP$3,0)-1)</f>
        <v>0</v>
      </c>
      <c r="Q112" s="149">
        <f>SUMPRODUCT(Q$7:Q$106,--($Y$7:$Y$106=FALSE))/INDEX('Albopictus Mortality'!$A$3:$AP$52,MATCH("Uninfected",'Albopictus Mortality'!$A$3:$A$52,0)+1,MATCH(Q$6,'Albopictus Mortality'!$A$3:$AP$3,0)-1)</f>
        <v>0</v>
      </c>
      <c r="R112" s="149">
        <f>SUMPRODUCT(R$7:R$106,--($Y$7:$Y$106=FALSE))/INDEX('Albopictus Mortality'!$A$3:$AP$52,MATCH("Uninfected",'Albopictus Mortality'!$A$3:$A$52,0)+1,MATCH(R$6,'Albopictus Mortality'!$A$3:$AP$3,0)-1)</f>
        <v>0</v>
      </c>
      <c r="S112" s="149">
        <f>SUMPRODUCT(S$7:S$106,--($Y$7:$Y$106=FALSE))/INDEX('Albopictus Mortality'!$A$3:$AP$52,MATCH("Uninfected",'Albopictus Mortality'!$A$3:$A$52,0)+1,MATCH(S$6,'Albopictus Mortality'!$A$3:$AP$3,0)-1)</f>
        <v>0</v>
      </c>
      <c r="T112" s="149">
        <f>SUMPRODUCT(T$7:T$106,--($Y$7:$Y$106=FALSE))/INDEX('Albopictus Mortality'!$A$3:$AP$52,MATCH("Uninfected",'Albopictus Mortality'!$A$3:$A$52,0)+1,MATCH(T$6,'Albopictus Mortality'!$A$3:$AP$3,0)-1)</f>
        <v>0</v>
      </c>
      <c r="U112" s="149">
        <f>SUMPRODUCT(U$7:U$106,--($Y$7:$Y$106=FALSE))/INDEX('Albopictus Mortality'!$A$3:$AP$52,MATCH("Uninfected",'Albopictus Mortality'!$A$3:$A$52,0)+1,MATCH(U$6,'Albopictus Mortality'!$A$3:$AP$3,0)-1)</f>
        <v>0</v>
      </c>
      <c r="V112" s="149">
        <f>SUMPRODUCT(V$7:V$106,--($Y$7:$Y$106=FALSE))/INDEX('Albopictus Mortality'!$A$3:$AP$52,MATCH("Uninfected",'Albopictus Mortality'!$A$3:$A$52,0)+1,MATCH(V$6,'Albopictus Mortality'!$A$3:$AP$3,0)-1)</f>
        <v>0</v>
      </c>
      <c r="W112" s="127"/>
      <c r="AZ112" s="43"/>
      <c r="BA112" s="149"/>
      <c r="BB112" s="149"/>
      <c r="BC112" s="149"/>
      <c r="BD112" s="153"/>
      <c r="BE112" s="153"/>
      <c r="BF112" s="153"/>
      <c r="BG112" s="153"/>
      <c r="BH112" s="153"/>
      <c r="BI112" s="153"/>
      <c r="BJ112" s="153"/>
      <c r="BK112" s="153"/>
      <c r="BL112" s="153"/>
      <c r="BM112" s="153"/>
      <c r="BN112" s="153"/>
      <c r="BO112" s="153"/>
      <c r="BP112" s="153"/>
      <c r="BQ112" s="153"/>
      <c r="BR112" s="153"/>
      <c r="BS112" s="153"/>
      <c r="CA112" s="127"/>
    </row>
    <row r="113" spans="1:79" x14ac:dyDescent="0.25">
      <c r="A113" s="402"/>
      <c r="B113" s="289" t="s">
        <v>143</v>
      </c>
      <c r="C113" s="229">
        <f>C111/C110%</f>
        <v>0</v>
      </c>
      <c r="D113" s="149" t="s">
        <v>140</v>
      </c>
      <c r="E113" s="149">
        <f t="array" ref="E113">IFERROR(SUMPRODUCT(--($Y$7:$Y$106=FALSE),IFERROR(E$7:E$106/$AA$7:$AA$106,0))/E114,0)</f>
        <v>0</v>
      </c>
      <c r="F113" s="149">
        <f t="array" ref="F113">IFERROR(SUMPRODUCT(--($Y$7:$Y$106=FALSE),IFERROR(F$7:F$106/$AA$7:$AA$106,0))/F114,0)</f>
        <v>0</v>
      </c>
      <c r="G113" s="149">
        <f t="array" ref="G113">IFERROR(SUMPRODUCT(--($Y$7:$Y$106=FALSE),IFERROR(G$7:G$106/$AA$7:$AA$106,0))/G114,0)</f>
        <v>0</v>
      </c>
      <c r="H113" s="149">
        <f t="array" ref="H113">IFERROR(SUMPRODUCT(--($Y$7:$Y$106=FALSE),IFERROR(H$7:H$106/$AA$7:$AA$106,0))/H114,0)</f>
        <v>0</v>
      </c>
      <c r="I113" s="149">
        <f t="array" ref="I113">IFERROR(SUMPRODUCT(--($Y$7:$Y$106=FALSE),IFERROR(I$7:I$106/$AA$7:$AA$106,0))/I114,0)</f>
        <v>0</v>
      </c>
      <c r="J113" s="149">
        <f t="array" ref="J113">IFERROR(SUMPRODUCT(--($Y$7:$Y$106=FALSE),IFERROR(J$7:J$106/$AA$7:$AA$106,0))/J114,0)</f>
        <v>0</v>
      </c>
      <c r="K113" s="149">
        <f t="array" ref="K113">IFERROR(SUMPRODUCT(--($Y$7:$Y$106=FALSE),IFERROR(K$7:K$106/$AA$7:$AA$106,0))/K114,0)</f>
        <v>0</v>
      </c>
      <c r="L113" s="149">
        <f t="array" ref="L113">IFERROR(SUMPRODUCT(--($Y$7:$Y$106=FALSE),IFERROR(L$7:L$106/$AA$7:$AA$106,0))/L114,0)</f>
        <v>0</v>
      </c>
      <c r="M113" s="149">
        <f t="array" ref="M113">IFERROR(SUMPRODUCT(--($Y$7:$Y$106=FALSE),IFERROR(M$7:M$106/$AA$7:$AA$106,0))/M114,0)</f>
        <v>0</v>
      </c>
      <c r="N113" s="149">
        <f t="array" ref="N113">IFERROR(SUMPRODUCT(--($Y$7:$Y$106=FALSE),IFERROR(N$7:N$106/$AA$7:$AA$106,0))/N114,0)</f>
        <v>0</v>
      </c>
      <c r="O113" s="149">
        <f t="array" ref="O113">IFERROR(SUMPRODUCT(--($Y$7:$Y$106=FALSE),IFERROR(O$7:O$106/$AA$7:$AA$106,0))/O114,0)</f>
        <v>0</v>
      </c>
      <c r="P113" s="149">
        <f t="array" ref="P113">IFERROR(SUMPRODUCT(--($Y$7:$Y$106=FALSE),IFERROR(P$7:P$106/$AA$7:$AA$106,0))/P114,0)</f>
        <v>0</v>
      </c>
      <c r="Q113" s="149">
        <f t="array" ref="Q113">IFERROR(SUMPRODUCT(--($Y$7:$Y$106=FALSE),IFERROR(Q$7:Q$106/$AA$7:$AA$106,0))/Q114,0)</f>
        <v>0</v>
      </c>
      <c r="R113" s="149">
        <f t="array" ref="R113">IFERROR(SUMPRODUCT(--($Y$7:$Y$106=FALSE),IFERROR(R$7:R$106/$AA$7:$AA$106,0))/R114,0)</f>
        <v>0</v>
      </c>
      <c r="S113" s="149">
        <f t="array" ref="S113">IFERROR(SUMPRODUCT(--($Y$7:$Y$106=FALSE),IFERROR(S$7:S$106/$AA$7:$AA$106,0))/S114,0)</f>
        <v>0</v>
      </c>
      <c r="T113" s="149">
        <f t="array" ref="T113">IFERROR(SUMPRODUCT(--($Y$7:$Y$106=FALSE),IFERROR(T$7:T$106/$AA$7:$AA$106,0))/T114,0)</f>
        <v>0</v>
      </c>
      <c r="U113" s="149">
        <f t="array" ref="U113">IFERROR(SUMPRODUCT(--($Y$7:$Y$106=FALSE),IFERROR(U$7:U$106/$AA$7:$AA$106,0))/U114,0)</f>
        <v>0</v>
      </c>
      <c r="V113" s="149">
        <f t="array" ref="V113">IFERROR(SUMPRODUCT(--($Y$7:$Y$106=FALSE),IFERROR(V$7:V$106/$AA$7:$AA$106,0))/V114,0)</f>
        <v>0</v>
      </c>
      <c r="W113" s="127"/>
      <c r="AZ113" s="43"/>
      <c r="BA113" s="149"/>
      <c r="BB113" s="149"/>
      <c r="BC113" s="149"/>
      <c r="BD113" s="153"/>
      <c r="BE113" s="153"/>
      <c r="BF113" s="153"/>
      <c r="BG113" s="153"/>
      <c r="BH113" s="153"/>
      <c r="BI113" s="153"/>
      <c r="BJ113" s="153"/>
      <c r="BK113" s="153"/>
      <c r="BL113" s="153"/>
      <c r="BM113" s="153"/>
      <c r="BN113" s="153"/>
      <c r="BO113" s="153"/>
      <c r="BP113" s="153"/>
      <c r="BQ113" s="153"/>
      <c r="BR113" s="153"/>
      <c r="BS113" s="153"/>
      <c r="CA113" s="127"/>
    </row>
    <row r="114" spans="1:79" ht="15.75" thickBot="1" x14ac:dyDescent="0.3">
      <c r="A114" s="403"/>
      <c r="B114" s="290" t="s">
        <v>184</v>
      </c>
      <c r="C114" s="339">
        <f t="array" ref="C114">SUM($E114:$V114/$C110)</f>
        <v>0</v>
      </c>
      <c r="D114" s="310" t="s">
        <v>132</v>
      </c>
      <c r="E114" s="310">
        <f>SUMPRODUCT(E$7:E$106,--($Y$7:$Y$106=FALSE))</f>
        <v>0</v>
      </c>
      <c r="F114" s="310">
        <f t="shared" ref="F114:V114" si="91">SUMPRODUCT(F$7:F$106,--($Y$7:$Y$106=FALSE))</f>
        <v>0</v>
      </c>
      <c r="G114" s="310">
        <f t="shared" si="91"/>
        <v>0</v>
      </c>
      <c r="H114" s="310">
        <f t="shared" si="91"/>
        <v>0</v>
      </c>
      <c r="I114" s="310">
        <f t="shared" si="91"/>
        <v>0</v>
      </c>
      <c r="J114" s="310">
        <f t="shared" si="91"/>
        <v>0</v>
      </c>
      <c r="K114" s="310">
        <f t="shared" si="91"/>
        <v>0</v>
      </c>
      <c r="L114" s="310">
        <f t="shared" si="91"/>
        <v>0</v>
      </c>
      <c r="M114" s="310">
        <f t="shared" si="91"/>
        <v>0</v>
      </c>
      <c r="N114" s="310">
        <f t="shared" si="91"/>
        <v>0</v>
      </c>
      <c r="O114" s="310">
        <f t="shared" si="91"/>
        <v>0</v>
      </c>
      <c r="P114" s="310">
        <f t="shared" si="91"/>
        <v>0</v>
      </c>
      <c r="Q114" s="310">
        <f t="shared" si="91"/>
        <v>0</v>
      </c>
      <c r="R114" s="310">
        <f t="shared" si="91"/>
        <v>0</v>
      </c>
      <c r="S114" s="310">
        <f t="shared" si="91"/>
        <v>0</v>
      </c>
      <c r="T114" s="310">
        <f t="shared" si="91"/>
        <v>0</v>
      </c>
      <c r="U114" s="310">
        <f t="shared" si="91"/>
        <v>0</v>
      </c>
      <c r="V114" s="310">
        <f t="shared" si="91"/>
        <v>0</v>
      </c>
      <c r="W114" s="127"/>
      <c r="AZ114" s="43"/>
      <c r="BA114" s="149"/>
      <c r="BB114" s="149"/>
      <c r="BC114" s="149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CA114" s="127"/>
    </row>
    <row r="115" spans="1:79" x14ac:dyDescent="0.25">
      <c r="A115" s="404" t="s">
        <v>54</v>
      </c>
      <c r="B115" s="312" t="s">
        <v>172</v>
      </c>
      <c r="C115" s="308">
        <f>COUNTIF($Y$7:$Y$106,TRUE)</f>
        <v>87</v>
      </c>
      <c r="D115" s="227" t="s">
        <v>136</v>
      </c>
      <c r="E115" s="307">
        <f>SUMPRODUCT(--(E$7:E$106&gt;0),--($Y$7:$Y$106=TRUE))</f>
        <v>1</v>
      </c>
      <c r="F115" s="307">
        <f t="shared" ref="F115:V115" si="92">SUMPRODUCT(--(F$7:F$106&gt;0),--($Y$7:$Y$106=TRUE))</f>
        <v>7</v>
      </c>
      <c r="G115" s="307">
        <f t="shared" si="92"/>
        <v>0</v>
      </c>
      <c r="H115" s="307">
        <f t="shared" si="92"/>
        <v>0</v>
      </c>
      <c r="I115" s="307">
        <f t="shared" si="92"/>
        <v>4</v>
      </c>
      <c r="J115" s="307">
        <f t="shared" si="92"/>
        <v>3</v>
      </c>
      <c r="K115" s="307">
        <f t="shared" si="92"/>
        <v>12</v>
      </c>
      <c r="L115" s="307">
        <f t="shared" si="92"/>
        <v>1</v>
      </c>
      <c r="M115" s="307">
        <f t="shared" si="92"/>
        <v>1</v>
      </c>
      <c r="N115" s="307">
        <f t="shared" si="92"/>
        <v>2</v>
      </c>
      <c r="O115" s="307">
        <f t="shared" si="92"/>
        <v>0</v>
      </c>
      <c r="P115" s="307">
        <f t="shared" si="92"/>
        <v>4</v>
      </c>
      <c r="Q115" s="307">
        <f t="shared" si="92"/>
        <v>0</v>
      </c>
      <c r="R115" s="307">
        <f t="shared" si="92"/>
        <v>0</v>
      </c>
      <c r="S115" s="307">
        <f t="shared" si="92"/>
        <v>0</v>
      </c>
      <c r="T115" s="307">
        <f t="shared" si="92"/>
        <v>0</v>
      </c>
      <c r="U115" s="307">
        <f t="shared" si="92"/>
        <v>0</v>
      </c>
      <c r="V115" s="307">
        <f t="shared" si="92"/>
        <v>1</v>
      </c>
      <c r="W115" s="127"/>
      <c r="AZ115" s="43"/>
      <c r="BA115" s="149"/>
      <c r="BB115" s="149"/>
      <c r="BC115" s="149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CA115" s="127"/>
    </row>
    <row r="116" spans="1:79" x14ac:dyDescent="0.25">
      <c r="A116" s="402"/>
      <c r="B116" s="289" t="s">
        <v>173</v>
      </c>
      <c r="C116" s="229">
        <f>SUMPRODUCT(--($Y$7:$Y$106=TRUE),--($AA$7:$AA$106&gt;0))</f>
        <v>30</v>
      </c>
      <c r="D116" s="149" t="s">
        <v>137</v>
      </c>
      <c r="E116" s="43">
        <f>E115/INDEX('Albopictus Mortality'!$A$3:$AP$52,MATCH("Infected",'Albopictus Mortality'!$A$3:$A$52,0)+1,MATCH(E$6,'Albopictus Mortality'!$A$3:$AP$3,0)-1)%</f>
        <v>1.2658227848101264</v>
      </c>
      <c r="F116" s="43">
        <f>F115/INDEX('Albopictus Mortality'!$A$3:$AP$52,MATCH("Infected",'Albopictus Mortality'!$A$3:$A$52,0)+1,MATCH(F$6,'Albopictus Mortality'!$A$3:$AP$3,0)-1)%</f>
        <v>8.9743589743589745</v>
      </c>
      <c r="G116" s="43">
        <f>G115/INDEX('Albopictus Mortality'!$A$3:$AP$52,MATCH("Infected",'Albopictus Mortality'!$A$3:$A$52,0)+1,MATCH(G$6,'Albopictus Mortality'!$A$3:$AP$3,0)-1)%</f>
        <v>0</v>
      </c>
      <c r="H116" s="43">
        <f>H115/INDEX('Albopictus Mortality'!$A$3:$AP$52,MATCH("Infected",'Albopictus Mortality'!$A$3:$A$52,0)+1,MATCH(H$6,'Albopictus Mortality'!$A$3:$AP$3,0)-1)%</f>
        <v>0</v>
      </c>
      <c r="I116" s="43">
        <f>I115/INDEX('Albopictus Mortality'!$A$3:$AP$52,MATCH("Infected",'Albopictus Mortality'!$A$3:$A$52,0)+1,MATCH(I$6,'Albopictus Mortality'!$A$3:$AP$3,0)-1)%</f>
        <v>5.7971014492753632</v>
      </c>
      <c r="J116" s="43">
        <f>J115/INDEX('Albopictus Mortality'!$A$3:$AP$52,MATCH("Infected",'Albopictus Mortality'!$A$3:$A$52,0)+1,MATCH(J$6,'Albopictus Mortality'!$A$3:$AP$3,0)-1)%</f>
        <v>4.4776119402985071</v>
      </c>
      <c r="K116" s="43">
        <f>K115/INDEX('Albopictus Mortality'!$A$3:$AP$52,MATCH("Infected",'Albopictus Mortality'!$A$3:$A$52,0)+1,MATCH(K$6,'Albopictus Mortality'!$A$3:$AP$3,0)-1)%</f>
        <v>18.75</v>
      </c>
      <c r="L116" s="43">
        <f>L115/INDEX('Albopictus Mortality'!$A$3:$AP$52,MATCH("Infected",'Albopictus Mortality'!$A$3:$A$52,0)+1,MATCH(L$6,'Albopictus Mortality'!$A$3:$AP$3,0)-1)%</f>
        <v>1.9607843137254901</v>
      </c>
      <c r="M116" s="43">
        <f>M115/INDEX('Albopictus Mortality'!$A$3:$AP$52,MATCH("Infected",'Albopictus Mortality'!$A$3:$A$52,0)+1,MATCH(M$6,'Albopictus Mortality'!$A$3:$AP$3,0)-1)%</f>
        <v>2.0833333333333335</v>
      </c>
      <c r="N116" s="43">
        <f>N115/INDEX('Albopictus Mortality'!$A$3:$AP$52,MATCH("Infected",'Albopictus Mortality'!$A$3:$A$52,0)+1,MATCH(N$6,'Albopictus Mortality'!$A$3:$AP$3,0)-1)%</f>
        <v>4.4444444444444446</v>
      </c>
      <c r="O116" s="43">
        <f>O115/INDEX('Albopictus Mortality'!$A$3:$AP$52,MATCH("Infected",'Albopictus Mortality'!$A$3:$A$52,0)+1,MATCH(O$6,'Albopictus Mortality'!$A$3:$AP$3,0)-1)%</f>
        <v>0</v>
      </c>
      <c r="P116" s="43">
        <f>P115/INDEX('Albopictus Mortality'!$A$3:$AP$52,MATCH("Infected",'Albopictus Mortality'!$A$3:$A$52,0)+1,MATCH(P$6,'Albopictus Mortality'!$A$3:$AP$3,0)-1)%</f>
        <v>12.121212121212121</v>
      </c>
      <c r="Q116" s="43">
        <f>Q115/INDEX('Albopictus Mortality'!$A$3:$AP$52,MATCH("Infected",'Albopictus Mortality'!$A$3:$A$52,0)+1,MATCH(Q$6,'Albopictus Mortality'!$A$3:$AP$3,0)-1)%</f>
        <v>0</v>
      </c>
      <c r="R116" s="43">
        <f>R115/INDEX('Albopictus Mortality'!$A$3:$AP$52,MATCH("Infected",'Albopictus Mortality'!$A$3:$A$52,0)+1,MATCH(R$6,'Albopictus Mortality'!$A$3:$AP$3,0)-1)%</f>
        <v>0</v>
      </c>
      <c r="S116" s="43">
        <f>S115/INDEX('Albopictus Mortality'!$A$3:$AP$52,MATCH("Infected",'Albopictus Mortality'!$A$3:$A$52,0)+1,MATCH(S$6,'Albopictus Mortality'!$A$3:$AP$3,0)-1)%</f>
        <v>0</v>
      </c>
      <c r="T116" s="43">
        <f>T115/INDEX('Albopictus Mortality'!$A$3:$AP$52,MATCH("Infected",'Albopictus Mortality'!$A$3:$A$52,0)+1,MATCH(T$6,'Albopictus Mortality'!$A$3:$AP$3,0)-1)%</f>
        <v>0</v>
      </c>
      <c r="U116" s="43">
        <f>U115/INDEX('Albopictus Mortality'!$A$3:$AP$52,MATCH("Infected",'Albopictus Mortality'!$A$3:$A$52,0)+1,MATCH(U$6,'Albopictus Mortality'!$A$3:$AP$3,0)-1)%</f>
        <v>0</v>
      </c>
      <c r="V116" s="43">
        <f>V115/INDEX('Albopictus Mortality'!$A$3:$AP$52,MATCH("Infected",'Albopictus Mortality'!$A$3:$A$52,0)+1,MATCH(V$6,'Albopictus Mortality'!$A$3:$AP$3,0)-1)%</f>
        <v>14.285714285714285</v>
      </c>
      <c r="W116" s="127"/>
      <c r="AZ116" s="43"/>
      <c r="BA116" s="149"/>
      <c r="BB116" s="149"/>
      <c r="BC116" s="149"/>
      <c r="BD116" s="153"/>
      <c r="BE116" s="153"/>
      <c r="BF116" s="153"/>
      <c r="BG116" s="153"/>
      <c r="BH116" s="153"/>
      <c r="BI116" s="153"/>
      <c r="BJ116" s="153"/>
      <c r="BK116" s="153"/>
      <c r="BL116" s="153"/>
      <c r="BM116" s="153"/>
      <c r="BN116" s="153"/>
      <c r="BO116" s="153"/>
      <c r="BP116" s="153"/>
      <c r="BQ116" s="153"/>
      <c r="BR116" s="153"/>
      <c r="BS116" s="153"/>
      <c r="CA116" s="127"/>
    </row>
    <row r="117" spans="1:79" x14ac:dyDescent="0.25">
      <c r="A117" s="402"/>
      <c r="B117" s="289" t="s">
        <v>142</v>
      </c>
      <c r="C117" s="229">
        <f>C115-C116</f>
        <v>57</v>
      </c>
      <c r="D117" s="149" t="s">
        <v>138</v>
      </c>
      <c r="E117" s="149">
        <f>SUMPRODUCT(E$7:E$106,--($Y$7:$Y$106=TRUE))/INDEX('Albopictus Mortality'!$A$3:$AP$52,MATCH("Infected",'Albopictus Mortality'!$A$3:$A$52,0)+1,MATCH(E$6,'Albopictus Mortality'!$A$3:$AP$3,0)-1)</f>
        <v>0.63291139240506333</v>
      </c>
      <c r="F117" s="149">
        <f>SUMPRODUCT(F$7:F$106,--($Y$7:$Y$106=TRUE))/INDEX('Albopictus Mortality'!$A$3:$AP$52,MATCH("Infected",'Albopictus Mortality'!$A$3:$A$52,0)+1,MATCH(F$6,'Albopictus Mortality'!$A$3:$AP$3,0)-1)</f>
        <v>0.57692307692307687</v>
      </c>
      <c r="G117" s="149">
        <f>SUMPRODUCT(G$7:G$106,--($Y$7:$Y$106=TRUE))/INDEX('Albopictus Mortality'!$A$3:$AP$52,MATCH("Infected",'Albopictus Mortality'!$A$3:$A$52,0)+1,MATCH(G$6,'Albopictus Mortality'!$A$3:$AP$3,0)-1)</f>
        <v>0</v>
      </c>
      <c r="H117" s="149">
        <f>SUMPRODUCT(H$7:H$106,--($Y$7:$Y$106=TRUE))/INDEX('Albopictus Mortality'!$A$3:$AP$52,MATCH("Infected",'Albopictus Mortality'!$A$3:$A$52,0)+1,MATCH(H$6,'Albopictus Mortality'!$A$3:$AP$3,0)-1)</f>
        <v>0</v>
      </c>
      <c r="I117" s="149">
        <f>SUMPRODUCT(I$7:I$106,--($Y$7:$Y$106=TRUE))/INDEX('Albopictus Mortality'!$A$3:$AP$52,MATCH("Infected",'Albopictus Mortality'!$A$3:$A$52,0)+1,MATCH(I$6,'Albopictus Mortality'!$A$3:$AP$3,0)-1)</f>
        <v>1.826086956521739</v>
      </c>
      <c r="J117" s="149">
        <f>SUMPRODUCT(J$7:J$106,--($Y$7:$Y$106=TRUE))/INDEX('Albopictus Mortality'!$A$3:$AP$52,MATCH("Infected",'Albopictus Mortality'!$A$3:$A$52,0)+1,MATCH(J$6,'Albopictus Mortality'!$A$3:$AP$3,0)-1)</f>
        <v>1.4626865671641791</v>
      </c>
      <c r="K117" s="149">
        <f>SUMPRODUCT(K$7:K$106,--($Y$7:$Y$106=TRUE))/INDEX('Albopictus Mortality'!$A$3:$AP$52,MATCH("Infected",'Albopictus Mortality'!$A$3:$A$52,0)+1,MATCH(K$6,'Albopictus Mortality'!$A$3:$AP$3,0)-1)</f>
        <v>3.40625</v>
      </c>
      <c r="L117" s="149">
        <f>SUMPRODUCT(L$7:L$106,--($Y$7:$Y$106=TRUE))/INDEX('Albopictus Mortality'!$A$3:$AP$52,MATCH("Infected",'Albopictus Mortality'!$A$3:$A$52,0)+1,MATCH(L$6,'Albopictus Mortality'!$A$3:$AP$3,0)-1)</f>
        <v>7.8431372549019607E-2</v>
      </c>
      <c r="M117" s="149">
        <f>SUMPRODUCT(M$7:M$106,--($Y$7:$Y$106=TRUE))/INDEX('Albopictus Mortality'!$A$3:$AP$52,MATCH("Infected",'Albopictus Mortality'!$A$3:$A$52,0)+1,MATCH(M$6,'Albopictus Mortality'!$A$3:$AP$3,0)-1)</f>
        <v>0.9375</v>
      </c>
      <c r="N117" s="149">
        <f>SUMPRODUCT(N$7:N$106,--($Y$7:$Y$106=TRUE))/INDEX('Albopictus Mortality'!$A$3:$AP$52,MATCH("Infected",'Albopictus Mortality'!$A$3:$A$52,0)+1,MATCH(N$6,'Albopictus Mortality'!$A$3:$AP$3,0)-1)</f>
        <v>0.42222222222222222</v>
      </c>
      <c r="O117" s="149">
        <f>SUMPRODUCT(O$7:O$106,--($Y$7:$Y$106=TRUE))/INDEX('Albopictus Mortality'!$A$3:$AP$52,MATCH("Infected",'Albopictus Mortality'!$A$3:$A$52,0)+1,MATCH(O$6,'Albopictus Mortality'!$A$3:$AP$3,0)-1)</f>
        <v>0</v>
      </c>
      <c r="P117" s="149">
        <f>SUMPRODUCT(P$7:P$106,--($Y$7:$Y$106=TRUE))/INDEX('Albopictus Mortality'!$A$3:$AP$52,MATCH("Infected",'Albopictus Mortality'!$A$3:$A$52,0)+1,MATCH(P$6,'Albopictus Mortality'!$A$3:$AP$3,0)-1)</f>
        <v>0.78787878787878785</v>
      </c>
      <c r="Q117" s="149">
        <f>SUMPRODUCT(Q$7:Q$106,--($Y$7:$Y$106=TRUE))/INDEX('Albopictus Mortality'!$A$3:$AP$52,MATCH("Infected",'Albopictus Mortality'!$A$3:$A$52,0)+1,MATCH(Q$6,'Albopictus Mortality'!$A$3:$AP$3,0)-1)</f>
        <v>0</v>
      </c>
      <c r="R117" s="149">
        <f>SUMPRODUCT(R$7:R$106,--($Y$7:$Y$106=TRUE))/INDEX('Albopictus Mortality'!$A$3:$AP$52,MATCH("Infected",'Albopictus Mortality'!$A$3:$A$52,0)+1,MATCH(R$6,'Albopictus Mortality'!$A$3:$AP$3,0)-1)</f>
        <v>0</v>
      </c>
      <c r="S117" s="149">
        <f>SUMPRODUCT(S$7:S$106,--($Y$7:$Y$106=TRUE))/INDEX('Albopictus Mortality'!$A$3:$AP$52,MATCH("Infected",'Albopictus Mortality'!$A$3:$A$52,0)+1,MATCH(S$6,'Albopictus Mortality'!$A$3:$AP$3,0)-1)</f>
        <v>0</v>
      </c>
      <c r="T117" s="149">
        <f>SUMPRODUCT(T$7:T$106,--($Y$7:$Y$106=TRUE))/INDEX('Albopictus Mortality'!$A$3:$AP$52,MATCH("Infected",'Albopictus Mortality'!$A$3:$A$52,0)+1,MATCH(T$6,'Albopictus Mortality'!$A$3:$AP$3,0)-1)</f>
        <v>0</v>
      </c>
      <c r="U117" s="149">
        <f>SUMPRODUCT(U$7:U$106,--($Y$7:$Y$106=TRUE))/INDEX('Albopictus Mortality'!$A$3:$AP$52,MATCH("Infected",'Albopictus Mortality'!$A$3:$A$52,0)+1,MATCH(U$6,'Albopictus Mortality'!$A$3:$AP$3,0)-1)</f>
        <v>0</v>
      </c>
      <c r="V117" s="149">
        <f>SUMPRODUCT(V$7:V$106,--($Y$7:$Y$106=TRUE))/INDEX('Albopictus Mortality'!$A$3:$AP$52,MATCH("Infected",'Albopictus Mortality'!$A$3:$A$52,0)+1,MATCH(V$6,'Albopictus Mortality'!$A$3:$AP$3,0)-1)</f>
        <v>0.14285714285714285</v>
      </c>
      <c r="W117" s="127"/>
      <c r="AZ117" s="43"/>
      <c r="BA117" s="149"/>
      <c r="BB117" s="149"/>
      <c r="BC117" s="149"/>
      <c r="BD117" s="153"/>
      <c r="BE117" s="153"/>
      <c r="BF117" s="153"/>
      <c r="BG117" s="153"/>
      <c r="BH117" s="153"/>
      <c r="BI117" s="153"/>
      <c r="BJ117" s="153"/>
      <c r="BK117" s="153"/>
      <c r="BL117" s="153"/>
      <c r="BM117" s="153"/>
      <c r="BN117" s="153"/>
      <c r="BO117" s="153"/>
      <c r="BP117" s="153"/>
      <c r="BQ117" s="153"/>
      <c r="BR117" s="153"/>
      <c r="BS117" s="153"/>
      <c r="CA117" s="127"/>
    </row>
    <row r="118" spans="1:79" x14ac:dyDescent="0.25">
      <c r="A118" s="402"/>
      <c r="B118" s="289" t="s">
        <v>143</v>
      </c>
      <c r="C118" s="229">
        <f>C116/C115%</f>
        <v>34.482758620689658</v>
      </c>
      <c r="D118" s="149" t="s">
        <v>140</v>
      </c>
      <c r="E118" s="149">
        <f t="array" ref="E118">IFERROR(SUMPRODUCT(--($Y$7:$Y$106=TRUE),IFERROR(E$7:E$106/$AA$7:$AA$106,0))/E$115,0)</f>
        <v>1</v>
      </c>
      <c r="F118" s="149">
        <f t="array" ref="F118">IFERROR(SUMPRODUCT(--($Y$7:$Y$106=TRUE),IFERROR(F$7:F$106/$AA$7:$AA$106,0))/F$115,0)</f>
        <v>0.59776693286010041</v>
      </c>
      <c r="G118" s="149">
        <f t="array" ref="G118">IFERROR(SUMPRODUCT(--($Y$7:$Y$106=TRUE),IFERROR(G$7:G$106/$AA$7:$AA$106,0))/G$115,0)</f>
        <v>0</v>
      </c>
      <c r="H118" s="149">
        <f t="array" ref="H118">IFERROR(SUMPRODUCT(--($Y$7:$Y$106=TRUE),IFERROR(H$7:H$106/$AA$7:$AA$106,0))/H$115,0)</f>
        <v>0</v>
      </c>
      <c r="I118" s="149">
        <f t="array" ref="I118">IFERROR(SUMPRODUCT(--($Y$7:$Y$106=TRUE),IFERROR(I$7:I$106/$AA$7:$AA$106,0))/I$115,0)</f>
        <v>1</v>
      </c>
      <c r="J118" s="149">
        <f t="array" ref="J118">IFERROR(SUMPRODUCT(--($Y$7:$Y$106=TRUE),IFERROR(J$7:J$106/$AA$7:$AA$106,0))/J$115,0)</f>
        <v>1</v>
      </c>
      <c r="K118" s="149">
        <f t="array" ref="K118">IFERROR(SUMPRODUCT(--($Y$7:$Y$106=TRUE),IFERROR(K$7:K$106/$AA$7:$AA$106,0))/K$115,0)</f>
        <v>0.97916666666666663</v>
      </c>
      <c r="L118" s="149">
        <f t="array" ref="L118">IFERROR(SUMPRODUCT(--($Y$7:$Y$106=TRUE),IFERROR(L$7:L$106/$AA$7:$AA$106,0))/L$115,0)</f>
        <v>1</v>
      </c>
      <c r="M118" s="149">
        <f t="array" ref="M118">IFERROR(SUMPRODUCT(--($Y$7:$Y$106=TRUE),IFERROR(M$7:M$106/$AA$7:$AA$106,0))/M$115,0)</f>
        <v>1</v>
      </c>
      <c r="N118" s="149">
        <f t="array" ref="N118">IFERROR(SUMPRODUCT(--($Y$7:$Y$106=TRUE),IFERROR(N$7:N$106/$AA$7:$AA$106,0))/N$115,0)</f>
        <v>1</v>
      </c>
      <c r="O118" s="149">
        <f t="array" ref="O118">IFERROR(SUMPRODUCT(--($Y$7:$Y$106=TRUE),IFERROR(O$7:O$106/$AA$7:$AA$106,0))/O$115,0)</f>
        <v>0</v>
      </c>
      <c r="P118" s="149">
        <f t="array" ref="P118">IFERROR(SUMPRODUCT(--($Y$7:$Y$106=TRUE),IFERROR(P$7:P$106/$AA$7:$AA$106,0))/P$115,0)</f>
        <v>0.98611111111111116</v>
      </c>
      <c r="Q118" s="149">
        <f t="array" ref="Q118">IFERROR(SUMPRODUCT(--($Y$7:$Y$106=TRUE),IFERROR(Q$7:Q$106/$AA$7:$AA$106,0))/Q$115,0)</f>
        <v>0</v>
      </c>
      <c r="R118" s="149">
        <f t="array" ref="R118">IFERROR(SUMPRODUCT(--($Y$7:$Y$106=TRUE),IFERROR(R$7:R$106/$AA$7:$AA$106,0))/R$115,0)</f>
        <v>0</v>
      </c>
      <c r="S118" s="149">
        <f t="array" ref="S118">IFERROR(SUMPRODUCT(--($Y$7:$Y$106=TRUE),IFERROR(S$7:S$106/$AA$7:$AA$106,0))/S$115,0)</f>
        <v>0</v>
      </c>
      <c r="T118" s="149">
        <f t="array" ref="T118">IFERROR(SUMPRODUCT(--($Y$7:$Y$106=TRUE),IFERROR(T$7:T$106/$AA$7:$AA$106,0))/T$115,0)</f>
        <v>0</v>
      </c>
      <c r="U118" s="149">
        <f t="array" ref="U118">IFERROR(SUMPRODUCT(--($Y$7:$Y$106=TRUE),IFERROR(U$7:U$106/$AA$7:$AA$106,0))/U$115,0)</f>
        <v>0</v>
      </c>
      <c r="V118" s="149">
        <f t="array" ref="V118">IFERROR(SUMPRODUCT(--($Y$7:$Y$106=TRUE),IFERROR(V$7:V$106/$AA$7:$AA$106,0))/V$115,0)</f>
        <v>1</v>
      </c>
      <c r="W118" s="127"/>
      <c r="AZ118" s="43"/>
      <c r="BA118" s="149"/>
      <c r="BB118" s="149"/>
      <c r="BC118" s="149"/>
      <c r="BD118" s="153"/>
      <c r="BE118" s="153"/>
      <c r="BF118" s="153"/>
      <c r="BG118" s="153"/>
      <c r="BH118" s="153"/>
      <c r="BI118" s="153"/>
      <c r="BJ118" s="153"/>
      <c r="BK118" s="153"/>
      <c r="BL118" s="153"/>
      <c r="BM118" s="153"/>
      <c r="BN118" s="153"/>
      <c r="BO118" s="153"/>
      <c r="BP118" s="153"/>
      <c r="BQ118" s="153"/>
      <c r="BR118" s="153"/>
      <c r="BS118" s="153"/>
      <c r="CA118" s="127"/>
    </row>
    <row r="119" spans="1:79" ht="15.75" thickBot="1" x14ac:dyDescent="0.3">
      <c r="A119" s="403"/>
      <c r="B119" s="290" t="s">
        <v>184</v>
      </c>
      <c r="C119" s="339">
        <f t="array" ref="C119">SUM($E119:$V119/$C115)</f>
        <v>7.2643678160919531</v>
      </c>
      <c r="D119" s="310" t="s">
        <v>132</v>
      </c>
      <c r="E119" s="310">
        <f>SUMPRODUCT(E$7:E$106,--($Y$7:$Y$106=TRUE))</f>
        <v>50</v>
      </c>
      <c r="F119" s="310">
        <f t="shared" ref="F119:V119" si="93">SUMPRODUCT(F$7:F$106,--($Y$7:$Y$106=TRUE))</f>
        <v>45</v>
      </c>
      <c r="G119" s="310">
        <f t="shared" si="93"/>
        <v>0</v>
      </c>
      <c r="H119" s="310">
        <f t="shared" si="93"/>
        <v>0</v>
      </c>
      <c r="I119" s="310">
        <f t="shared" si="93"/>
        <v>126</v>
      </c>
      <c r="J119" s="310">
        <f t="shared" si="93"/>
        <v>98</v>
      </c>
      <c r="K119" s="310">
        <f t="shared" si="93"/>
        <v>218</v>
      </c>
      <c r="L119" s="310">
        <f t="shared" si="93"/>
        <v>4</v>
      </c>
      <c r="M119" s="310">
        <f t="shared" si="93"/>
        <v>45</v>
      </c>
      <c r="N119" s="310">
        <f t="shared" si="93"/>
        <v>19</v>
      </c>
      <c r="O119" s="310">
        <f t="shared" si="93"/>
        <v>0</v>
      </c>
      <c r="P119" s="310">
        <f t="shared" si="93"/>
        <v>26</v>
      </c>
      <c r="Q119" s="310">
        <f t="shared" si="93"/>
        <v>0</v>
      </c>
      <c r="R119" s="310">
        <f t="shared" si="93"/>
        <v>0</v>
      </c>
      <c r="S119" s="310">
        <f t="shared" si="93"/>
        <v>0</v>
      </c>
      <c r="T119" s="310">
        <f t="shared" si="93"/>
        <v>0</v>
      </c>
      <c r="U119" s="310">
        <f t="shared" si="93"/>
        <v>0</v>
      </c>
      <c r="V119" s="310">
        <f t="shared" si="93"/>
        <v>1</v>
      </c>
      <c r="W119" s="127"/>
      <c r="AZ119" s="43"/>
      <c r="BA119" s="149"/>
      <c r="BB119" s="149"/>
      <c r="BC119" s="149"/>
      <c r="BD119" s="153"/>
      <c r="BE119" s="153"/>
      <c r="BF119" s="153"/>
      <c r="BG119" s="153"/>
      <c r="BH119" s="153"/>
      <c r="BI119" s="153"/>
      <c r="BJ119" s="153"/>
      <c r="BK119" s="153"/>
      <c r="BL119" s="153"/>
      <c r="BM119" s="153"/>
      <c r="BN119" s="153"/>
      <c r="BO119" s="153"/>
      <c r="BP119" s="153"/>
      <c r="BQ119" s="153"/>
      <c r="BR119" s="153"/>
      <c r="BS119" s="153"/>
      <c r="CA119" s="127"/>
    </row>
    <row r="120" spans="1:79" ht="15" customHeight="1" x14ac:dyDescent="0.25">
      <c r="A120" s="404" t="s">
        <v>88</v>
      </c>
      <c r="B120" s="312" t="s">
        <v>172</v>
      </c>
      <c r="C120" s="308">
        <f>SUMPRODUCT(--($Y$7:$Y$106=TRUE),--($Z$7:$Z$106=FALSE))</f>
        <v>9</v>
      </c>
      <c r="D120" s="227" t="s">
        <v>136</v>
      </c>
      <c r="E120" s="307">
        <f>SUMPRODUCT(--(E$7:E$106&gt;0),--($Y$7:$Y$106=TRUE),--($Z$7:$Z$106=FALSE))</f>
        <v>0</v>
      </c>
      <c r="F120" s="307">
        <f t="shared" ref="F120:V120" si="94">SUMPRODUCT(--(F$7:F$106&gt;0),--($Y$7:$Y$106=TRUE),--($Z$7:$Z$106=FALSE))</f>
        <v>1</v>
      </c>
      <c r="G120" s="307">
        <f t="shared" si="94"/>
        <v>0</v>
      </c>
      <c r="H120" s="307">
        <f t="shared" si="94"/>
        <v>0</v>
      </c>
      <c r="I120" s="307">
        <f t="shared" si="94"/>
        <v>1</v>
      </c>
      <c r="J120" s="307">
        <f t="shared" si="94"/>
        <v>0</v>
      </c>
      <c r="K120" s="307">
        <f t="shared" si="94"/>
        <v>2</v>
      </c>
      <c r="L120" s="307">
        <f t="shared" si="94"/>
        <v>1</v>
      </c>
      <c r="M120" s="307">
        <f t="shared" si="94"/>
        <v>0</v>
      </c>
      <c r="N120" s="307">
        <f t="shared" si="94"/>
        <v>0</v>
      </c>
      <c r="O120" s="307">
        <f t="shared" si="94"/>
        <v>0</v>
      </c>
      <c r="P120" s="307">
        <f t="shared" si="94"/>
        <v>0</v>
      </c>
      <c r="Q120" s="307">
        <f t="shared" si="94"/>
        <v>0</v>
      </c>
      <c r="R120" s="307">
        <f t="shared" si="94"/>
        <v>0</v>
      </c>
      <c r="S120" s="307">
        <f t="shared" si="94"/>
        <v>0</v>
      </c>
      <c r="T120" s="307">
        <f t="shared" si="94"/>
        <v>0</v>
      </c>
      <c r="U120" s="307">
        <f t="shared" si="94"/>
        <v>0</v>
      </c>
      <c r="V120" s="307">
        <f t="shared" si="94"/>
        <v>0</v>
      </c>
      <c r="W120" s="127"/>
      <c r="AZ120" s="43"/>
      <c r="BA120" s="149"/>
      <c r="BB120" s="149"/>
      <c r="BC120" s="149"/>
      <c r="BD120" s="153"/>
      <c r="BE120" s="153"/>
      <c r="BF120" s="153"/>
      <c r="BG120" s="153"/>
      <c r="BH120" s="153"/>
      <c r="BI120" s="153"/>
      <c r="BJ120" s="153"/>
      <c r="BK120" s="153"/>
      <c r="BL120" s="153"/>
      <c r="BM120" s="153"/>
      <c r="BN120" s="153"/>
      <c r="BO120" s="153"/>
      <c r="BP120" s="153"/>
      <c r="BQ120" s="153"/>
      <c r="BR120" s="153"/>
      <c r="BS120" s="153"/>
      <c r="CA120" s="127"/>
    </row>
    <row r="121" spans="1:79" x14ac:dyDescent="0.25">
      <c r="A121" s="402"/>
      <c r="B121" s="289" t="s">
        <v>173</v>
      </c>
      <c r="C121" s="229">
        <f>SUMPRODUCT(--($Y$7:$Y$106=TRUE),--($Z$7:$Z$106=FALSE),--($AA$7:$AA$106&gt;0))</f>
        <v>3</v>
      </c>
      <c r="D121" s="149" t="s">
        <v>137</v>
      </c>
      <c r="E121" s="43">
        <f>E120/INDEX('Albopictus Mortality'!$A$3:$AP$52,MATCH("Infected + NOT Disseminated",'Albopictus Mortality'!$A$3:$A$52,0)+1,MATCH(E$6,'Albopictus Mortality'!$A$3:$AP$3,0)-1)%</f>
        <v>0</v>
      </c>
      <c r="F121" s="43">
        <f>F120/INDEX('Albopictus Mortality'!$A$3:$AP$52,MATCH("Infected + NOT Disseminated",'Albopictus Mortality'!$A$3:$A$52,0)+1,MATCH(F$6,'Albopictus Mortality'!$A$3:$AP$3,0)-1)%</f>
        <v>12.5</v>
      </c>
      <c r="G121" s="43">
        <f>G120/INDEX('Albopictus Mortality'!$A$3:$AP$52,MATCH("Infected + NOT Disseminated",'Albopictus Mortality'!$A$3:$A$52,0)+1,MATCH(G$6,'Albopictus Mortality'!$A$3:$AP$3,0)-1)%</f>
        <v>0</v>
      </c>
      <c r="H121" s="43">
        <f>H120/INDEX('Albopictus Mortality'!$A$3:$AP$52,MATCH("Infected + NOT Disseminated",'Albopictus Mortality'!$A$3:$A$52,0)+1,MATCH(H$6,'Albopictus Mortality'!$A$3:$AP$3,0)-1)%</f>
        <v>0</v>
      </c>
      <c r="I121" s="43">
        <f>I120/INDEX('Albopictus Mortality'!$A$3:$AP$52,MATCH("Infected + NOT Disseminated",'Albopictus Mortality'!$A$3:$A$52,0)+1,MATCH(I$6,'Albopictus Mortality'!$A$3:$AP$3,0)-1)%</f>
        <v>20</v>
      </c>
      <c r="J121" s="43">
        <f>J120/INDEX('Albopictus Mortality'!$A$3:$AP$52,MATCH("Infected + NOT Disseminated",'Albopictus Mortality'!$A$3:$A$52,0)+1,MATCH(J$6,'Albopictus Mortality'!$A$3:$AP$3,0)-1)%</f>
        <v>0</v>
      </c>
      <c r="K121" s="43">
        <f>K120/INDEX('Albopictus Mortality'!$A$3:$AP$52,MATCH("Infected + NOT Disseminated",'Albopictus Mortality'!$A$3:$A$52,0)+1,MATCH(K$6,'Albopictus Mortality'!$A$3:$AP$3,0)-1)%</f>
        <v>40</v>
      </c>
      <c r="L121" s="43">
        <f>L120/INDEX('Albopictus Mortality'!$A$3:$AP$52,MATCH("Infected + NOT Disseminated",'Albopictus Mortality'!$A$3:$A$52,0)+1,MATCH(L$6,'Albopictus Mortality'!$A$3:$AP$3,0)-1)%</f>
        <v>25</v>
      </c>
      <c r="M121" s="43">
        <f>M120/INDEX('Albopictus Mortality'!$A$3:$AP$52,MATCH("Infected + NOT Disseminated",'Albopictus Mortality'!$A$3:$A$52,0)+1,MATCH(M$6,'Albopictus Mortality'!$A$3:$AP$3,0)-1)%</f>
        <v>0</v>
      </c>
      <c r="N121" s="43">
        <f>N120/INDEX('Albopictus Mortality'!$A$3:$AP$52,MATCH("Infected + NOT Disseminated",'Albopictus Mortality'!$A$3:$A$52,0)+1,MATCH(N$6,'Albopictus Mortality'!$A$3:$AP$3,0)-1)%</f>
        <v>0</v>
      </c>
      <c r="O121" s="43">
        <f>O120/INDEX('Albopictus Mortality'!$A$3:$AP$52,MATCH("Infected + NOT Disseminated",'Albopictus Mortality'!$A$3:$A$52,0)+1,MATCH(O$6,'Albopictus Mortality'!$A$3:$AP$3,0)-1)%</f>
        <v>0</v>
      </c>
      <c r="P121" s="43">
        <f>P120/INDEX('Albopictus Mortality'!$A$3:$AP$52,MATCH("Infected + NOT Disseminated",'Albopictus Mortality'!$A$3:$A$52,0)+1,MATCH(P$6,'Albopictus Mortality'!$A$3:$AP$3,0)-1)%</f>
        <v>0</v>
      </c>
      <c r="Q121" s="43">
        <f>Q120/INDEX('Albopictus Mortality'!$A$3:$AP$52,MATCH("Infected + NOT Disseminated",'Albopictus Mortality'!$A$3:$A$52,0)+1,MATCH(Q$6,'Albopictus Mortality'!$A$3:$AP$3,0)-1)%</f>
        <v>0</v>
      </c>
      <c r="R121" s="43">
        <f>R120/INDEX('Albopictus Mortality'!$A$3:$AP$52,MATCH("Infected + NOT Disseminated",'Albopictus Mortality'!$A$3:$A$52,0)+1,MATCH(R$6,'Albopictus Mortality'!$A$3:$AP$3,0)-1)%</f>
        <v>0</v>
      </c>
      <c r="S121" s="43">
        <f>S120/INDEX('Albopictus Mortality'!$A$3:$AP$52,MATCH("Infected + NOT Disseminated",'Albopictus Mortality'!$A$3:$A$52,0)+1,MATCH(S$6,'Albopictus Mortality'!$A$3:$AP$3,0)-1)%</f>
        <v>0</v>
      </c>
      <c r="T121" s="43">
        <f>T120/INDEX('Albopictus Mortality'!$A$3:$AP$52,MATCH("Infected + NOT Disseminated",'Albopictus Mortality'!$A$3:$A$52,0)+1,MATCH(T$6,'Albopictus Mortality'!$A$3:$AP$3,0)-1)%</f>
        <v>0</v>
      </c>
      <c r="U121" s="43">
        <f>U120/INDEX('Albopictus Mortality'!$A$3:$AP$52,MATCH("Infected + NOT Disseminated",'Albopictus Mortality'!$A$3:$A$52,0)+1,MATCH(U$6,'Albopictus Mortality'!$A$3:$AP$3,0)-1)%</f>
        <v>0</v>
      </c>
      <c r="V121" s="43" t="e">
        <f>V120/INDEX('Albopictus Mortality'!$A$3:$AP$52,MATCH("Infected + NOT Disseminated",'Albopictus Mortality'!$A$3:$A$52,0)+1,MATCH(V$6,'Albopictus Mortality'!$A$3:$AP$3,0)-1)%</f>
        <v>#DIV/0!</v>
      </c>
      <c r="W121" s="127"/>
      <c r="AZ121" s="43"/>
      <c r="BA121" s="149"/>
      <c r="BB121" s="149"/>
      <c r="BC121" s="149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3"/>
      <c r="CA121" s="127"/>
    </row>
    <row r="122" spans="1:79" x14ac:dyDescent="0.25">
      <c r="A122" s="402"/>
      <c r="B122" s="289" t="s">
        <v>142</v>
      </c>
      <c r="C122" s="229">
        <f>C120-C121</f>
        <v>6</v>
      </c>
      <c r="D122" s="149" t="s">
        <v>138</v>
      </c>
      <c r="E122" s="149">
        <f>SUMPRODUCT(E$7:E$106,--($Y$7:$Y$106=TRUE),--($Z$7:$Z$106=FALSE)/INDEX('Albopictus Mortality'!$A$3:$AP$52,MATCH("Infected + NOT Disseminated",'Albopictus Mortality'!$A$3:$A$52,0)+1,MATCH(E$6,'Albopictus Mortality'!$A$3:$AP$3,0)-1))</f>
        <v>0</v>
      </c>
      <c r="F122" s="149">
        <f>SUMPRODUCT(F$7:F$106,--($Y$7:$Y$106=TRUE),--($Z$7:$Z$106=FALSE)/INDEX('Albopictus Mortality'!$A$3:$AP$52,MATCH("Infected + NOT Disseminated",'Albopictus Mortality'!$A$3:$A$52,0)+1,MATCH(F$6,'Albopictus Mortality'!$A$3:$AP$3,0)-1))</f>
        <v>2.125</v>
      </c>
      <c r="G122" s="149">
        <f>SUMPRODUCT(G$7:G$106,--($Y$7:$Y$106=TRUE),--($Z$7:$Z$106=FALSE)/INDEX('Albopictus Mortality'!$A$3:$AP$52,MATCH("Infected + NOT Disseminated",'Albopictus Mortality'!$A$3:$A$52,0)+1,MATCH(G$6,'Albopictus Mortality'!$A$3:$AP$3,0)-1))</f>
        <v>0</v>
      </c>
      <c r="H122" s="149">
        <f>SUMPRODUCT(H$7:H$106,--($Y$7:$Y$106=TRUE),--($Z$7:$Z$106=FALSE)/INDEX('Albopictus Mortality'!$A$3:$AP$52,MATCH("Infected + NOT Disseminated",'Albopictus Mortality'!$A$3:$A$52,0)+1,MATCH(H$6,'Albopictus Mortality'!$A$3:$AP$3,0)-1))</f>
        <v>0</v>
      </c>
      <c r="I122" s="149">
        <f>SUMPRODUCT(I$7:I$106,--($Y$7:$Y$106=TRUE),--($Z$7:$Z$106=FALSE)/INDEX('Albopictus Mortality'!$A$3:$AP$52,MATCH("Infected + NOT Disseminated",'Albopictus Mortality'!$A$3:$A$52,0)+1,MATCH(I$6,'Albopictus Mortality'!$A$3:$AP$3,0)-1))</f>
        <v>4.6000000000000005</v>
      </c>
      <c r="J122" s="149">
        <f>SUMPRODUCT(J$7:J$106,--($Y$7:$Y$106=TRUE),--($Z$7:$Z$106=FALSE)/INDEX('Albopictus Mortality'!$A$3:$AP$52,MATCH("Infected + NOT Disseminated",'Albopictus Mortality'!$A$3:$A$52,0)+1,MATCH(J$6,'Albopictus Mortality'!$A$3:$AP$3,0)-1))</f>
        <v>0</v>
      </c>
      <c r="K122" s="149">
        <f>SUMPRODUCT(K$7:K$106,--($Y$7:$Y$106=TRUE),--($Z$7:$Z$106=FALSE)/INDEX('Albopictus Mortality'!$A$3:$AP$52,MATCH("Infected + NOT Disseminated",'Albopictus Mortality'!$A$3:$A$52,0)+1,MATCH(K$6,'Albopictus Mortality'!$A$3:$AP$3,0)-1))</f>
        <v>0.8</v>
      </c>
      <c r="L122" s="149">
        <f>SUMPRODUCT(L$7:L$106,--($Y$7:$Y$106=TRUE),--($Z$7:$Z$106=FALSE)/INDEX('Albopictus Mortality'!$A$3:$AP$52,MATCH("Infected + NOT Disseminated",'Albopictus Mortality'!$A$3:$A$52,0)+1,MATCH(L$6,'Albopictus Mortality'!$A$3:$AP$3,0)-1))</f>
        <v>1</v>
      </c>
      <c r="M122" s="149">
        <f>SUMPRODUCT(M$7:M$106,--($Y$7:$Y$106=TRUE),--($Z$7:$Z$106=FALSE)/INDEX('Albopictus Mortality'!$A$3:$AP$52,MATCH("Infected + NOT Disseminated",'Albopictus Mortality'!$A$3:$A$52,0)+1,MATCH(M$6,'Albopictus Mortality'!$A$3:$AP$3,0)-1))</f>
        <v>0</v>
      </c>
      <c r="N122" s="149">
        <f>SUMPRODUCT(N$7:N$106,--($Y$7:$Y$106=TRUE),--($Z$7:$Z$106=FALSE)/INDEX('Albopictus Mortality'!$A$3:$AP$52,MATCH("Infected + NOT Disseminated",'Albopictus Mortality'!$A$3:$A$52,0)+1,MATCH(N$6,'Albopictus Mortality'!$A$3:$AP$3,0)-1))</f>
        <v>0</v>
      </c>
      <c r="O122" s="149">
        <f>SUMPRODUCT(O$7:O$106,--($Y$7:$Y$106=TRUE),--($Z$7:$Z$106=FALSE)/INDEX('Albopictus Mortality'!$A$3:$AP$52,MATCH("Infected + NOT Disseminated",'Albopictus Mortality'!$A$3:$A$52,0)+1,MATCH(O$6,'Albopictus Mortality'!$A$3:$AP$3,0)-1))</f>
        <v>0</v>
      </c>
      <c r="P122" s="149">
        <f>SUMPRODUCT(P$7:P$106,--($Y$7:$Y$106=TRUE),--($Z$7:$Z$106=FALSE)/INDEX('Albopictus Mortality'!$A$3:$AP$52,MATCH("Infected + NOT Disseminated",'Albopictus Mortality'!$A$3:$A$52,0)+1,MATCH(P$6,'Albopictus Mortality'!$A$3:$AP$3,0)-1))</f>
        <v>0</v>
      </c>
      <c r="Q122" s="149">
        <f>SUMPRODUCT(Q$7:Q$106,--($Y$7:$Y$106=TRUE),--($Z$7:$Z$106=FALSE)/INDEX('Albopictus Mortality'!$A$3:$AP$52,MATCH("Infected + NOT Disseminated",'Albopictus Mortality'!$A$3:$A$52,0)+1,MATCH(Q$6,'Albopictus Mortality'!$A$3:$AP$3,0)-1))</f>
        <v>0</v>
      </c>
      <c r="R122" s="149">
        <f>SUMPRODUCT(R$7:R$106,--($Y$7:$Y$106=TRUE),--($Z$7:$Z$106=FALSE)/INDEX('Albopictus Mortality'!$A$3:$AP$52,MATCH("Infected + NOT Disseminated",'Albopictus Mortality'!$A$3:$A$52,0)+1,MATCH(R$6,'Albopictus Mortality'!$A$3:$AP$3,0)-1))</f>
        <v>0</v>
      </c>
      <c r="S122" s="149">
        <f>SUMPRODUCT(S$7:S$106,--($Y$7:$Y$106=TRUE),--($Z$7:$Z$106=FALSE)/INDEX('Albopictus Mortality'!$A$3:$AP$52,MATCH("Infected + NOT Disseminated",'Albopictus Mortality'!$A$3:$A$52,0)+1,MATCH(S$6,'Albopictus Mortality'!$A$3:$AP$3,0)-1))</f>
        <v>0</v>
      </c>
      <c r="T122" s="149">
        <f>SUMPRODUCT(T$7:T$106,--($Y$7:$Y$106=TRUE),--($Z$7:$Z$106=FALSE)/INDEX('Albopictus Mortality'!$A$3:$AP$52,MATCH("Infected + NOT Disseminated",'Albopictus Mortality'!$A$3:$A$52,0)+1,MATCH(T$6,'Albopictus Mortality'!$A$3:$AP$3,0)-1))</f>
        <v>0</v>
      </c>
      <c r="U122" s="149">
        <f>SUMPRODUCT(U$7:U$106,--($Y$7:$Y$106=TRUE),--($Z$7:$Z$106=FALSE)/INDEX('Albopictus Mortality'!$A$3:$AP$52,MATCH("Infected + NOT Disseminated",'Albopictus Mortality'!$A$3:$A$52,0)+1,MATCH(U$6,'Albopictus Mortality'!$A$3:$AP$3,0)-1))</f>
        <v>0</v>
      </c>
      <c r="V122" s="149" t="e">
        <f>SUMPRODUCT(V$7:V$106,--($Y$7:$Y$106=TRUE),--($Z$7:$Z$106=FALSE)/INDEX('Albopictus Mortality'!$A$3:$AP$52,MATCH("Infected + NOT Disseminated",'Albopictus Mortality'!$A$3:$A$52,0)+1,MATCH(V$6,'Albopictus Mortality'!$A$3:$AP$3,0)-1))</f>
        <v>#DIV/0!</v>
      </c>
      <c r="W122" s="127"/>
      <c r="AZ122" s="43"/>
      <c r="BA122" s="149"/>
      <c r="BB122" s="149"/>
      <c r="BC122" s="149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  <c r="BO122" s="153"/>
      <c r="BP122" s="153"/>
      <c r="BQ122" s="153"/>
      <c r="BR122" s="153"/>
      <c r="BS122" s="153"/>
      <c r="CA122" s="127"/>
    </row>
    <row r="123" spans="1:79" x14ac:dyDescent="0.25">
      <c r="A123" s="402"/>
      <c r="B123" s="289" t="s">
        <v>143</v>
      </c>
      <c r="C123" s="229">
        <f>C121/C120%</f>
        <v>33.333333333333336</v>
      </c>
      <c r="D123" s="149" t="s">
        <v>140</v>
      </c>
      <c r="E123" s="149">
        <f t="array" ref="E123">IFERROR(SUMPRODUCT(--($Y$7:$Y$106=TRUE),--($Z$7:$Z$106=FALSE),IFERROR(E$7:E$106/$AA$7:$AA$106,0))/E$120,0)</f>
        <v>0</v>
      </c>
      <c r="F123" s="149">
        <f t="array" ref="F123">IFERROR(SUMPRODUCT(--($Y$7:$Y$106=TRUE),--($Z$7:$Z$106=FALSE),IFERROR(F$7:F$106/$AA$7:$AA$106,0))/F$120,0)</f>
        <v>0.73913043478260865</v>
      </c>
      <c r="G123" s="149">
        <f t="array" ref="G123">IFERROR(SUMPRODUCT(--($Y$7:$Y$106=TRUE),--($Z$7:$Z$106=FALSE),IFERROR(G$7:G$106/$AA$7:$AA$106,0))/G$120,0)</f>
        <v>0</v>
      </c>
      <c r="H123" s="149">
        <f t="array" ref="H123">IFERROR(SUMPRODUCT(--($Y$7:$Y$106=TRUE),--($Z$7:$Z$106=FALSE),IFERROR(H$7:H$106/$AA$7:$AA$106,0))/H$120,0)</f>
        <v>0</v>
      </c>
      <c r="I123" s="149">
        <f t="array" ref="I123">IFERROR(SUMPRODUCT(--($Y$7:$Y$106=TRUE),--($Z$7:$Z$106=FALSE),IFERROR(I$7:I$106/$AA$7:$AA$106,0))/I$120,0)</f>
        <v>1</v>
      </c>
      <c r="J123" s="149">
        <f t="array" ref="J123">IFERROR(SUMPRODUCT(--($Y$7:$Y$106=TRUE),--($Z$7:$Z$106=FALSE),IFERROR(J$7:J$106/$AA$7:$AA$106,0))/J$120,0)</f>
        <v>0</v>
      </c>
      <c r="K123" s="149">
        <f t="array" ref="K123">IFERROR(SUMPRODUCT(--($Y$7:$Y$106=TRUE),--($Z$7:$Z$106=FALSE),IFERROR(K$7:K$106/$AA$7:$AA$106,0))/K$120,0)</f>
        <v>0.875</v>
      </c>
      <c r="L123" s="149">
        <f t="array" ref="L123">IFERROR(SUMPRODUCT(--($Y$7:$Y$106=TRUE),--($Z$7:$Z$106=FALSE),IFERROR(L$7:L$106/$AA$7:$AA$106,0))/L$120,0)</f>
        <v>1</v>
      </c>
      <c r="M123" s="149">
        <f t="array" ref="M123">IFERROR(SUMPRODUCT(--($Y$7:$Y$106=TRUE),--($Z$7:$Z$106=FALSE),IFERROR(M$7:M$106/$AA$7:$AA$106,0))/M$120,0)</f>
        <v>0</v>
      </c>
      <c r="N123" s="149">
        <f t="array" ref="N123">IFERROR(SUMPRODUCT(--($Y$7:$Y$106=TRUE),--($Z$7:$Z$106=FALSE),IFERROR(N$7:N$106/$AA$7:$AA$106,0))/N$120,0)</f>
        <v>0</v>
      </c>
      <c r="O123" s="149">
        <f t="array" ref="O123">IFERROR(SUMPRODUCT(--($Y$7:$Y$106=TRUE),--($Z$7:$Z$106=FALSE),IFERROR(O$7:O$106/$AA$7:$AA$106,0))/O$120,0)</f>
        <v>0</v>
      </c>
      <c r="P123" s="149">
        <f t="array" ref="P123">IFERROR(SUMPRODUCT(--($Y$7:$Y$106=TRUE),--($Z$7:$Z$106=FALSE),IFERROR(P$7:P$106/$AA$7:$AA$106,0))/P$120,0)</f>
        <v>0</v>
      </c>
      <c r="Q123" s="149">
        <f t="array" ref="Q123">IFERROR(SUMPRODUCT(--($Y$7:$Y$106=TRUE),--($Z$7:$Z$106=FALSE),IFERROR(Q$7:Q$106/$AA$7:$AA$106,0))/Q$120,0)</f>
        <v>0</v>
      </c>
      <c r="R123" s="149">
        <f t="array" ref="R123">IFERROR(SUMPRODUCT(--($Y$7:$Y$106=TRUE),--($Z$7:$Z$106=FALSE),IFERROR(R$7:R$106/$AA$7:$AA$106,0))/R$120,0)</f>
        <v>0</v>
      </c>
      <c r="S123" s="149">
        <f t="array" ref="S123">IFERROR(SUMPRODUCT(--($Y$7:$Y$106=TRUE),--($Z$7:$Z$106=FALSE),IFERROR(S$7:S$106/$AA$7:$AA$106,0))/S$120,0)</f>
        <v>0</v>
      </c>
      <c r="T123" s="149">
        <f t="array" ref="T123">IFERROR(SUMPRODUCT(--($Y$7:$Y$106=TRUE),--($Z$7:$Z$106=FALSE),IFERROR(T$7:T$106/$AA$7:$AA$106,0))/T$120,0)</f>
        <v>0</v>
      </c>
      <c r="U123" s="149">
        <f t="array" ref="U123">IFERROR(SUMPRODUCT(--($Y$7:$Y$106=TRUE),--($Z$7:$Z$106=FALSE),IFERROR(U$7:U$106/$AA$7:$AA$106,0))/U$120,0)</f>
        <v>0</v>
      </c>
      <c r="V123" s="149">
        <f t="array" ref="V123">IFERROR(SUMPRODUCT(--($Y$7:$Y$106=TRUE),--($Z$7:$Z$106=FALSE),IFERROR(V$7:V$106/$AA$7:$AA$106,0))/V$120,0)</f>
        <v>0</v>
      </c>
      <c r="W123" s="127"/>
      <c r="AZ123" s="43"/>
      <c r="BA123" s="149"/>
      <c r="BB123" s="149"/>
      <c r="BC123" s="149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3"/>
      <c r="CA123" s="127"/>
    </row>
    <row r="124" spans="1:79" ht="15.75" thickBot="1" x14ac:dyDescent="0.3">
      <c r="A124" s="403"/>
      <c r="B124" s="290" t="s">
        <v>184</v>
      </c>
      <c r="C124" s="339">
        <f t="array" ref="C124">SUM($E124:$V124/$C120)</f>
        <v>5.3333333333333339</v>
      </c>
      <c r="D124" s="310" t="s">
        <v>132</v>
      </c>
      <c r="E124" s="310">
        <f>SUMPRODUCT(E$7:E$106,--($Y$7:$Y$106=TRUE),--($Z$7:$Z$106=FALSE))</f>
        <v>0</v>
      </c>
      <c r="F124" s="310">
        <f t="shared" ref="F124:V124" si="95">SUMPRODUCT(F$7:F$106,--($Y$7:$Y$106=TRUE),--($Z$7:$Z$106=FALSE))</f>
        <v>17</v>
      </c>
      <c r="G124" s="310">
        <f t="shared" si="95"/>
        <v>0</v>
      </c>
      <c r="H124" s="310">
        <f t="shared" si="95"/>
        <v>0</v>
      </c>
      <c r="I124" s="310">
        <f t="shared" si="95"/>
        <v>23</v>
      </c>
      <c r="J124" s="310">
        <f t="shared" si="95"/>
        <v>0</v>
      </c>
      <c r="K124" s="310">
        <f t="shared" si="95"/>
        <v>4</v>
      </c>
      <c r="L124" s="310">
        <f t="shared" si="95"/>
        <v>4</v>
      </c>
      <c r="M124" s="310">
        <f t="shared" si="95"/>
        <v>0</v>
      </c>
      <c r="N124" s="310">
        <f t="shared" si="95"/>
        <v>0</v>
      </c>
      <c r="O124" s="310">
        <f t="shared" si="95"/>
        <v>0</v>
      </c>
      <c r="P124" s="310">
        <f t="shared" si="95"/>
        <v>0</v>
      </c>
      <c r="Q124" s="310">
        <f t="shared" si="95"/>
        <v>0</v>
      </c>
      <c r="R124" s="310">
        <f t="shared" si="95"/>
        <v>0</v>
      </c>
      <c r="S124" s="310">
        <f t="shared" si="95"/>
        <v>0</v>
      </c>
      <c r="T124" s="310">
        <f t="shared" si="95"/>
        <v>0</v>
      </c>
      <c r="U124" s="310">
        <f t="shared" si="95"/>
        <v>0</v>
      </c>
      <c r="V124" s="310">
        <f t="shared" si="95"/>
        <v>0</v>
      </c>
      <c r="W124" s="127"/>
      <c r="AZ124" s="43"/>
      <c r="BA124" s="149"/>
      <c r="BB124" s="149"/>
      <c r="BC124" s="149"/>
      <c r="BD124" s="153"/>
      <c r="BE124" s="153"/>
      <c r="BF124" s="153"/>
      <c r="BG124" s="153"/>
      <c r="BH124" s="153"/>
      <c r="BI124" s="153"/>
      <c r="BJ124" s="153"/>
      <c r="BK124" s="153"/>
      <c r="BL124" s="153"/>
      <c r="BM124" s="153"/>
      <c r="BN124" s="153"/>
      <c r="BO124" s="153"/>
      <c r="BP124" s="153"/>
      <c r="BQ124" s="153"/>
      <c r="BR124" s="153"/>
      <c r="BS124" s="153"/>
      <c r="CA124" s="127"/>
    </row>
    <row r="125" spans="1:79" ht="15" customHeight="1" x14ac:dyDescent="0.25">
      <c r="A125" s="404" t="s">
        <v>81</v>
      </c>
      <c r="B125" s="312" t="s">
        <v>172</v>
      </c>
      <c r="C125" s="308">
        <f>SUMPRODUCT(--($Y$7:$Y$106=TRUE),--($Z$7:$Z$106=TRUE))</f>
        <v>70</v>
      </c>
      <c r="D125" s="227" t="s">
        <v>136</v>
      </c>
      <c r="E125" s="307">
        <f>SUMPRODUCT(--(E$7:E$106&gt;0),--($Y$7:$Y$106=TRUE),--($Z$7:$Z$106=TRUE))</f>
        <v>1</v>
      </c>
      <c r="F125" s="307">
        <f t="shared" ref="F125:V125" si="96">SUMPRODUCT(--(F$7:F$106&gt;0),--($Y$7:$Y$106=TRUE),--($Z$7:$Z$106=TRUE))</f>
        <v>6</v>
      </c>
      <c r="G125" s="307">
        <f t="shared" si="96"/>
        <v>0</v>
      </c>
      <c r="H125" s="307">
        <f t="shared" si="96"/>
        <v>0</v>
      </c>
      <c r="I125" s="307">
        <f t="shared" si="96"/>
        <v>3</v>
      </c>
      <c r="J125" s="307">
        <f t="shared" si="96"/>
        <v>3</v>
      </c>
      <c r="K125" s="307">
        <f t="shared" si="96"/>
        <v>10</v>
      </c>
      <c r="L125" s="307">
        <f t="shared" si="96"/>
        <v>0</v>
      </c>
      <c r="M125" s="307">
        <f t="shared" si="96"/>
        <v>1</v>
      </c>
      <c r="N125" s="307">
        <f t="shared" si="96"/>
        <v>2</v>
      </c>
      <c r="O125" s="307">
        <f t="shared" si="96"/>
        <v>0</v>
      </c>
      <c r="P125" s="307">
        <f t="shared" si="96"/>
        <v>4</v>
      </c>
      <c r="Q125" s="307">
        <f t="shared" si="96"/>
        <v>0</v>
      </c>
      <c r="R125" s="307">
        <f t="shared" si="96"/>
        <v>0</v>
      </c>
      <c r="S125" s="307">
        <f t="shared" si="96"/>
        <v>0</v>
      </c>
      <c r="T125" s="307">
        <f t="shared" si="96"/>
        <v>0</v>
      </c>
      <c r="U125" s="307">
        <f t="shared" si="96"/>
        <v>0</v>
      </c>
      <c r="V125" s="307">
        <f t="shared" si="96"/>
        <v>1</v>
      </c>
      <c r="W125" s="127"/>
      <c r="AZ125" s="43"/>
      <c r="BA125" s="149"/>
      <c r="BB125" s="149"/>
      <c r="BC125" s="149"/>
      <c r="BD125" s="153"/>
      <c r="BE125" s="153"/>
      <c r="BF125" s="153"/>
      <c r="BG125" s="153"/>
      <c r="BH125" s="153"/>
      <c r="BI125" s="153"/>
      <c r="BJ125" s="153"/>
      <c r="BK125" s="153"/>
      <c r="BL125" s="153"/>
      <c r="BM125" s="153"/>
      <c r="BN125" s="153"/>
      <c r="BO125" s="153"/>
      <c r="BP125" s="153"/>
      <c r="BQ125" s="153"/>
      <c r="BR125" s="153"/>
      <c r="BS125" s="153"/>
      <c r="CA125" s="127"/>
    </row>
    <row r="126" spans="1:79" x14ac:dyDescent="0.25">
      <c r="A126" s="402"/>
      <c r="B126" s="289" t="s">
        <v>173</v>
      </c>
      <c r="C126" s="229">
        <f>SUMPRODUCT(--($Y$7:$Y$106=TRUE),--($Z$7:$Z$106=TRUE),--($AA$7:$AA$106&gt;0))</f>
        <v>27</v>
      </c>
      <c r="D126" s="149" t="s">
        <v>137</v>
      </c>
      <c r="E126" s="43">
        <f>E125/INDEX('Albopictus Mortality'!$A$3:$AP$52,MATCH("Infected + Disseminated",'Albopictus Mortality'!$A$3:$A$52,0)+1,MATCH(E$6,'Albopictus Mortality'!$A$3:$AP$3,0)-1)%</f>
        <v>1.4285714285714286</v>
      </c>
      <c r="F126" s="43">
        <f>F125/INDEX('Albopictus Mortality'!$A$3:$AP$52,MATCH("Infected + Disseminated",'Albopictus Mortality'!$A$3:$A$52,0)+1,MATCH(F$6,'Albopictus Mortality'!$A$3:$AP$3,0)-1)%</f>
        <v>8.5714285714285712</v>
      </c>
      <c r="G126" s="43">
        <f>G125/INDEX('Albopictus Mortality'!$A$3:$AP$52,MATCH("Infected + Disseminated",'Albopictus Mortality'!$A$3:$A$52,0)+1,MATCH(G$6,'Albopictus Mortality'!$A$3:$AP$3,0)-1)%</f>
        <v>0</v>
      </c>
      <c r="H126" s="43">
        <f>H125/INDEX('Albopictus Mortality'!$A$3:$AP$52,MATCH("Infected + Disseminated",'Albopictus Mortality'!$A$3:$A$52,0)+1,MATCH(H$6,'Albopictus Mortality'!$A$3:$AP$3,0)-1)%</f>
        <v>0</v>
      </c>
      <c r="I126" s="43">
        <f>I125/INDEX('Albopictus Mortality'!$A$3:$AP$52,MATCH("Infected + Disseminated",'Albopictus Mortality'!$A$3:$A$52,0)+1,MATCH(I$6,'Albopictus Mortality'!$A$3:$AP$3,0)-1)%</f>
        <v>4.6875</v>
      </c>
      <c r="J126" s="43">
        <f>J125/INDEX('Albopictus Mortality'!$A$3:$AP$52,MATCH("Infected + Disseminated",'Albopictus Mortality'!$A$3:$A$52,0)+1,MATCH(J$6,'Albopictus Mortality'!$A$3:$AP$3,0)-1)%</f>
        <v>4.838709677419355</v>
      </c>
      <c r="K126" s="43">
        <f>K125/INDEX('Albopictus Mortality'!$A$3:$AP$52,MATCH("Infected + Disseminated",'Albopictus Mortality'!$A$3:$A$52,0)+1,MATCH(K$6,'Albopictus Mortality'!$A$3:$AP$3,0)-1)%</f>
        <v>16.949152542372882</v>
      </c>
      <c r="L126" s="43">
        <f>L125/INDEX('Albopictus Mortality'!$A$3:$AP$52,MATCH("Infected + Disseminated",'Albopictus Mortality'!$A$3:$A$52,0)+1,MATCH(L$6,'Albopictus Mortality'!$A$3:$AP$3,0)-1)%</f>
        <v>0</v>
      </c>
      <c r="M126" s="43">
        <f>M125/INDEX('Albopictus Mortality'!$A$3:$AP$52,MATCH("Infected + Disseminated",'Albopictus Mortality'!$A$3:$A$52,0)+1,MATCH(M$6,'Albopictus Mortality'!$A$3:$AP$3,0)-1)%</f>
        <v>2.2222222222222223</v>
      </c>
      <c r="N126" s="43">
        <f>N125/INDEX('Albopictus Mortality'!$A$3:$AP$52,MATCH("Infected + Disseminated",'Albopictus Mortality'!$A$3:$A$52,0)+1,MATCH(N$6,'Albopictus Mortality'!$A$3:$AP$3,0)-1)%</f>
        <v>4.7619047619047619</v>
      </c>
      <c r="O126" s="43">
        <f>O125/INDEX('Albopictus Mortality'!$A$3:$AP$52,MATCH("Infected + Disseminated",'Albopictus Mortality'!$A$3:$A$52,0)+1,MATCH(O$6,'Albopictus Mortality'!$A$3:$AP$3,0)-1)%</f>
        <v>0</v>
      </c>
      <c r="P126" s="43">
        <f>P125/INDEX('Albopictus Mortality'!$A$3:$AP$52,MATCH("Infected + Disseminated",'Albopictus Mortality'!$A$3:$A$52,0)+1,MATCH(P$6,'Albopictus Mortality'!$A$3:$AP$3,0)-1)%</f>
        <v>13.333333333333334</v>
      </c>
      <c r="Q126" s="43">
        <f>Q125/INDEX('Albopictus Mortality'!$A$3:$AP$52,MATCH("Infected + Disseminated",'Albopictus Mortality'!$A$3:$A$52,0)+1,MATCH(Q$6,'Albopictus Mortality'!$A$3:$AP$3,0)-1)%</f>
        <v>0</v>
      </c>
      <c r="R126" s="43">
        <f>R125/INDEX('Albopictus Mortality'!$A$3:$AP$52,MATCH("Infected + Disseminated",'Albopictus Mortality'!$A$3:$A$52,0)+1,MATCH(R$6,'Albopictus Mortality'!$A$3:$AP$3,0)-1)%</f>
        <v>0</v>
      </c>
      <c r="S126" s="43">
        <f>S125/INDEX('Albopictus Mortality'!$A$3:$AP$52,MATCH("Infected + Disseminated",'Albopictus Mortality'!$A$3:$A$52,0)+1,MATCH(S$6,'Albopictus Mortality'!$A$3:$AP$3,0)-1)%</f>
        <v>0</v>
      </c>
      <c r="T126" s="43">
        <f>T125/INDEX('Albopictus Mortality'!$A$3:$AP$52,MATCH("Infected + Disseminated",'Albopictus Mortality'!$A$3:$A$52,0)+1,MATCH(T$6,'Albopictus Mortality'!$A$3:$AP$3,0)-1)%</f>
        <v>0</v>
      </c>
      <c r="U126" s="43">
        <f>U125/INDEX('Albopictus Mortality'!$A$3:$AP$52,MATCH("Infected + Disseminated",'Albopictus Mortality'!$A$3:$A$52,0)+1,MATCH(U$6,'Albopictus Mortality'!$A$3:$AP$3,0)-1)%</f>
        <v>0</v>
      </c>
      <c r="V126" s="43">
        <f>V125/INDEX('Albopictus Mortality'!$A$3:$AP$52,MATCH("Infected + Disseminated",'Albopictus Mortality'!$A$3:$A$52,0)+1,MATCH(V$6,'Albopictus Mortality'!$A$3:$AP$3,0)-1)%</f>
        <v>14.285714285714285</v>
      </c>
      <c r="W126" s="127"/>
      <c r="AZ126" s="43"/>
      <c r="BA126" s="149"/>
      <c r="BB126" s="149"/>
      <c r="BC126" s="149"/>
      <c r="BD126" s="153"/>
      <c r="BE126" s="153"/>
      <c r="BF126" s="153"/>
      <c r="BG126" s="153"/>
      <c r="BH126" s="153"/>
      <c r="BI126" s="153"/>
      <c r="BJ126" s="153"/>
      <c r="BK126" s="153"/>
      <c r="BL126" s="153"/>
      <c r="BM126" s="153"/>
      <c r="BN126" s="153"/>
      <c r="BO126" s="153"/>
      <c r="BP126" s="153"/>
      <c r="BQ126" s="153"/>
      <c r="BR126" s="153"/>
      <c r="BS126" s="153"/>
      <c r="CA126" s="127"/>
    </row>
    <row r="127" spans="1:79" x14ac:dyDescent="0.25">
      <c r="A127" s="402"/>
      <c r="B127" s="289" t="s">
        <v>142</v>
      </c>
      <c r="C127" s="229">
        <f>C125-C126</f>
        <v>43</v>
      </c>
      <c r="D127" s="149" t="s">
        <v>138</v>
      </c>
      <c r="E127" s="149">
        <f>SUMPRODUCT(E$7:E$106,--($Y$7:$Y$106=TRUE),--($Z$7:$Z$106=TRUE)/INDEX('Albopictus Mortality'!$A$3:$AP$52,MATCH("Infected + Disseminated",'Albopictus Mortality'!$A$3:$A$52,0)+1,MATCH(E$6,'Albopictus Mortality'!$A$3:$AP$3,0)-1))</f>
        <v>0.7142857142857143</v>
      </c>
      <c r="F127" s="149">
        <f>SUMPRODUCT(F$7:F$106,--($Y$7:$Y$106=TRUE),--($Z$7:$Z$106=TRUE)/INDEX('Albopictus Mortality'!$A$3:$AP$52,MATCH("Infected + Disseminated",'Albopictus Mortality'!$A$3:$A$52,0)+1,MATCH(F$6,'Albopictus Mortality'!$A$3:$AP$3,0)-1))</f>
        <v>0.39999999999999997</v>
      </c>
      <c r="G127" s="149">
        <f>SUMPRODUCT(G$7:G$106,--($Y$7:$Y$106=TRUE),--($Z$7:$Z$106=TRUE)/INDEX('Albopictus Mortality'!$A$3:$AP$52,MATCH("Infected + Disseminated",'Albopictus Mortality'!$A$3:$A$52,0)+1,MATCH(G$6,'Albopictus Mortality'!$A$3:$AP$3,0)-1))</f>
        <v>0</v>
      </c>
      <c r="H127" s="149">
        <f>SUMPRODUCT(H$7:H$106,--($Y$7:$Y$106=TRUE),--($Z$7:$Z$106=TRUE)/INDEX('Albopictus Mortality'!$A$3:$AP$52,MATCH("Infected + Disseminated",'Albopictus Mortality'!$A$3:$A$52,0)+1,MATCH(H$6,'Albopictus Mortality'!$A$3:$AP$3,0)-1))</f>
        <v>0</v>
      </c>
      <c r="I127" s="149">
        <f>SUMPRODUCT(I$7:I$106,--($Y$7:$Y$106=TRUE),--($Z$7:$Z$106=TRUE)/INDEX('Albopictus Mortality'!$A$3:$AP$52,MATCH("Infected + Disseminated",'Albopictus Mortality'!$A$3:$A$52,0)+1,MATCH(I$6,'Albopictus Mortality'!$A$3:$AP$3,0)-1))</f>
        <v>1.609375</v>
      </c>
      <c r="J127" s="149">
        <f>SUMPRODUCT(J$7:J$106,--($Y$7:$Y$106=TRUE),--($Z$7:$Z$106=TRUE)/INDEX('Albopictus Mortality'!$A$3:$AP$52,MATCH("Infected + Disseminated",'Albopictus Mortality'!$A$3:$A$52,0)+1,MATCH(J$6,'Albopictus Mortality'!$A$3:$AP$3,0)-1))</f>
        <v>1.5806451612903225</v>
      </c>
      <c r="K127" s="149">
        <f>SUMPRODUCT(K$7:K$106,--($Y$7:$Y$106=TRUE),--($Z$7:$Z$106=TRUE)/INDEX('Albopictus Mortality'!$A$3:$AP$52,MATCH("Infected + Disseminated",'Albopictus Mortality'!$A$3:$A$52,0)+1,MATCH(K$6,'Albopictus Mortality'!$A$3:$AP$3,0)-1))</f>
        <v>3.6271186440677967</v>
      </c>
      <c r="L127" s="149">
        <f>SUMPRODUCT(L$7:L$106,--($Y$7:$Y$106=TRUE),--($Z$7:$Z$106=TRUE)/INDEX('Albopictus Mortality'!$A$3:$AP$52,MATCH("Infected + Disseminated",'Albopictus Mortality'!$A$3:$A$52,0)+1,MATCH(L$6,'Albopictus Mortality'!$A$3:$AP$3,0)-1))</f>
        <v>0</v>
      </c>
      <c r="M127" s="149">
        <f>SUMPRODUCT(M$7:M$106,--($Y$7:$Y$106=TRUE),--($Z$7:$Z$106=TRUE)/INDEX('Albopictus Mortality'!$A$3:$AP$52,MATCH("Infected + Disseminated",'Albopictus Mortality'!$A$3:$A$52,0)+1,MATCH(M$6,'Albopictus Mortality'!$A$3:$AP$3,0)-1))</f>
        <v>1</v>
      </c>
      <c r="N127" s="149">
        <f>SUMPRODUCT(N$7:N$106,--($Y$7:$Y$106=TRUE),--($Z$7:$Z$106=TRUE)/INDEX('Albopictus Mortality'!$A$3:$AP$52,MATCH("Infected + Disseminated",'Albopictus Mortality'!$A$3:$A$52,0)+1,MATCH(N$6,'Albopictus Mortality'!$A$3:$AP$3,0)-1))</f>
        <v>0.45238095238095233</v>
      </c>
      <c r="O127" s="149">
        <f>SUMPRODUCT(O$7:O$106,--($Y$7:$Y$106=TRUE),--($Z$7:$Z$106=TRUE)/INDEX('Albopictus Mortality'!$A$3:$AP$52,MATCH("Infected + Disseminated",'Albopictus Mortality'!$A$3:$A$52,0)+1,MATCH(O$6,'Albopictus Mortality'!$A$3:$AP$3,0)-1))</f>
        <v>0</v>
      </c>
      <c r="P127" s="149">
        <f>SUMPRODUCT(P$7:P$106,--($Y$7:$Y$106=TRUE),--($Z$7:$Z$106=TRUE)/INDEX('Albopictus Mortality'!$A$3:$AP$52,MATCH("Infected + Disseminated",'Albopictus Mortality'!$A$3:$A$52,0)+1,MATCH(P$6,'Albopictus Mortality'!$A$3:$AP$3,0)-1))</f>
        <v>0.86666666666666659</v>
      </c>
      <c r="Q127" s="149">
        <f>SUMPRODUCT(Q$7:Q$106,--($Y$7:$Y$106=TRUE),--($Z$7:$Z$106=TRUE)/INDEX('Albopictus Mortality'!$A$3:$AP$52,MATCH("Infected + Disseminated",'Albopictus Mortality'!$A$3:$A$52,0)+1,MATCH(Q$6,'Albopictus Mortality'!$A$3:$AP$3,0)-1))</f>
        <v>0</v>
      </c>
      <c r="R127" s="149">
        <f>SUMPRODUCT(R$7:R$106,--($Y$7:$Y$106=TRUE),--($Z$7:$Z$106=TRUE)/INDEX('Albopictus Mortality'!$A$3:$AP$52,MATCH("Infected + Disseminated",'Albopictus Mortality'!$A$3:$A$52,0)+1,MATCH(R$6,'Albopictus Mortality'!$A$3:$AP$3,0)-1))</f>
        <v>0</v>
      </c>
      <c r="S127" s="149">
        <f>SUMPRODUCT(S$7:S$106,--($Y$7:$Y$106=TRUE),--($Z$7:$Z$106=TRUE)/INDEX('Albopictus Mortality'!$A$3:$AP$52,MATCH("Infected + Disseminated",'Albopictus Mortality'!$A$3:$A$52,0)+1,MATCH(S$6,'Albopictus Mortality'!$A$3:$AP$3,0)-1))</f>
        <v>0</v>
      </c>
      <c r="T127" s="149">
        <f>SUMPRODUCT(T$7:T$106,--($Y$7:$Y$106=TRUE),--($Z$7:$Z$106=TRUE)/INDEX('Albopictus Mortality'!$A$3:$AP$52,MATCH("Infected + Disseminated",'Albopictus Mortality'!$A$3:$A$52,0)+1,MATCH(T$6,'Albopictus Mortality'!$A$3:$AP$3,0)-1))</f>
        <v>0</v>
      </c>
      <c r="U127" s="149">
        <f>SUMPRODUCT(U$7:U$106,--($Y$7:$Y$106=TRUE),--($Z$7:$Z$106=TRUE)/INDEX('Albopictus Mortality'!$A$3:$AP$52,MATCH("Infected + Disseminated",'Albopictus Mortality'!$A$3:$A$52,0)+1,MATCH(U$6,'Albopictus Mortality'!$A$3:$AP$3,0)-1))</f>
        <v>0</v>
      </c>
      <c r="V127" s="149">
        <f>SUMPRODUCT(V$7:V$106,--($Y$7:$Y$106=TRUE),--($Z$7:$Z$106=TRUE)/INDEX('Albopictus Mortality'!$A$3:$AP$52,MATCH("Infected + Disseminated",'Albopictus Mortality'!$A$3:$A$52,0)+1,MATCH(V$6,'Albopictus Mortality'!$A$3:$AP$3,0)-1))</f>
        <v>0.14285714285714285</v>
      </c>
      <c r="W127" s="127"/>
      <c r="AZ127" s="43"/>
      <c r="BA127" s="149"/>
      <c r="BB127" s="149"/>
      <c r="BC127" s="149"/>
      <c r="BD127" s="153"/>
      <c r="BE127" s="153"/>
      <c r="BF127" s="153"/>
      <c r="BG127" s="153"/>
      <c r="BH127" s="153"/>
      <c r="BI127" s="153"/>
      <c r="BJ127" s="153"/>
      <c r="BK127" s="153"/>
      <c r="BL127" s="153"/>
      <c r="BM127" s="153"/>
      <c r="BN127" s="153"/>
      <c r="BO127" s="153"/>
      <c r="BP127" s="153"/>
      <c r="BQ127" s="153"/>
      <c r="BR127" s="153"/>
      <c r="BS127" s="153"/>
      <c r="CA127" s="127"/>
    </row>
    <row r="128" spans="1:79" x14ac:dyDescent="0.25">
      <c r="A128" s="402"/>
      <c r="B128" s="289" t="s">
        <v>143</v>
      </c>
      <c r="C128" s="229">
        <f>C126/C125%</f>
        <v>38.571428571428577</v>
      </c>
      <c r="D128" s="149" t="s">
        <v>140</v>
      </c>
      <c r="E128" s="149">
        <f t="array" ref="E128">IFERROR(SUMPRODUCT(--($Y$7:$Y$106=TRUE),--($Z$7:$Z$106=TRUE),IFERROR(E$7:E$106/$AA$7:$AA$106,0))/E$125,0)</f>
        <v>1</v>
      </c>
      <c r="F128" s="149">
        <f t="array" ref="F128">IFERROR(SUMPRODUCT(--($Y$7:$Y$106=TRUE),--($Z$7:$Z$106=TRUE),IFERROR(F$7:F$106/$AA$7:$AA$106,0))/F$125,0)</f>
        <v>0.57420634920634916</v>
      </c>
      <c r="G128" s="149">
        <f t="array" ref="G128">IFERROR(SUMPRODUCT(--($Y$7:$Y$106=TRUE),--($Z$7:$Z$106=TRUE),IFERROR(G$7:G$106/$AA$7:$AA$106,0))/G$125,0)</f>
        <v>0</v>
      </c>
      <c r="H128" s="149">
        <f t="array" ref="H128">IFERROR(SUMPRODUCT(--($Y$7:$Y$106=TRUE),--($Z$7:$Z$106=TRUE),IFERROR(H$7:H$106/$AA$7:$AA$106,0))/H$125,0)</f>
        <v>0</v>
      </c>
      <c r="I128" s="149">
        <f t="array" ref="I128">IFERROR(SUMPRODUCT(--($Y$7:$Y$106=TRUE),--($Z$7:$Z$106=TRUE),IFERROR(I$7:I$106/$AA$7:$AA$106,0))/I$125,0)</f>
        <v>1</v>
      </c>
      <c r="J128" s="149">
        <f t="array" ref="J128">IFERROR(SUMPRODUCT(--($Y$7:$Y$106=TRUE),--($Z$7:$Z$106=TRUE),IFERROR(J$7:J$106/$AA$7:$AA$106,0))/J$125,0)</f>
        <v>1</v>
      </c>
      <c r="K128" s="149">
        <f t="array" ref="K128">IFERROR(SUMPRODUCT(--($Y$7:$Y$106=TRUE),--($Z$7:$Z$106=TRUE),IFERROR(K$7:K$106/$AA$7:$AA$106,0))/K$125,0)</f>
        <v>1</v>
      </c>
      <c r="L128" s="149">
        <f t="array" ref="L128">IFERROR(SUMPRODUCT(--($Y$7:$Y$106=TRUE),--($Z$7:$Z$106=TRUE),IFERROR(L$7:L$106/$AA$7:$AA$106,0))/L$125,0)</f>
        <v>0</v>
      </c>
      <c r="M128" s="149">
        <f t="array" ref="M128">IFERROR(SUMPRODUCT(--($Y$7:$Y$106=TRUE),--($Z$7:$Z$106=TRUE),IFERROR(M$7:M$106/$AA$7:$AA$106,0))/M$125,0)</f>
        <v>1</v>
      </c>
      <c r="N128" s="149">
        <f t="array" ref="N128">IFERROR(SUMPRODUCT(--($Y$7:$Y$106=TRUE),--($Z$7:$Z$106=TRUE),IFERROR(N$7:N$106/$AA$7:$AA$106,0))/N$125,0)</f>
        <v>1</v>
      </c>
      <c r="O128" s="149">
        <f t="array" ref="O128">IFERROR(SUMPRODUCT(--($Y$7:$Y$106=TRUE),--($Z$7:$Z$106=TRUE),IFERROR(O$7:O$106/$AA$7:$AA$106,0))/O$125,0)</f>
        <v>0</v>
      </c>
      <c r="P128" s="149">
        <f t="array" ref="P128">IFERROR(SUMPRODUCT(--($Y$7:$Y$106=TRUE),--($Z$7:$Z$106=TRUE),IFERROR(P$7:P$106/$AA$7:$AA$106,0))/P$125,0)</f>
        <v>0.98611111111111116</v>
      </c>
      <c r="Q128" s="149">
        <f t="array" ref="Q128">IFERROR(SUMPRODUCT(--($Y$7:$Y$106=TRUE),--($Z$7:$Z$106=TRUE),IFERROR(Q$7:Q$106/$AA$7:$AA$106,0))/Q$125,0)</f>
        <v>0</v>
      </c>
      <c r="R128" s="149">
        <f t="array" ref="R128">IFERROR(SUMPRODUCT(--($Y$7:$Y$106=TRUE),--($Z$7:$Z$106=TRUE),IFERROR(R$7:R$106/$AA$7:$AA$106,0))/R$125,0)</f>
        <v>0</v>
      </c>
      <c r="S128" s="149">
        <f t="array" ref="S128">IFERROR(SUMPRODUCT(--($Y$7:$Y$106=TRUE),--($Z$7:$Z$106=TRUE),IFERROR(S$7:S$106/$AA$7:$AA$106,0))/S$125,0)</f>
        <v>0</v>
      </c>
      <c r="T128" s="149">
        <f t="array" ref="T128">IFERROR(SUMPRODUCT(--($Y$7:$Y$106=TRUE),--($Z$7:$Z$106=TRUE),IFERROR(T$7:T$106/$AA$7:$AA$106,0))/T$125,0)</f>
        <v>0</v>
      </c>
      <c r="U128" s="149">
        <f t="array" ref="U128">IFERROR(SUMPRODUCT(--($Y$7:$Y$106=TRUE),--($Z$7:$Z$106=TRUE),IFERROR(U$7:U$106/$AA$7:$AA$106,0))/U$125,0)</f>
        <v>0</v>
      </c>
      <c r="V128" s="149">
        <f t="array" ref="V128">IFERROR(SUMPRODUCT(--($Y$7:$Y$106=TRUE),--($Z$7:$Z$106=TRUE),IFERROR(V$7:V$106/$AA$7:$AA$106,0))/V$125,0)</f>
        <v>1</v>
      </c>
      <c r="W128" s="127"/>
      <c r="AZ128" s="43"/>
      <c r="BA128" s="149"/>
      <c r="BB128" s="149"/>
      <c r="BC128" s="149"/>
      <c r="BD128" s="153"/>
      <c r="BE128" s="153"/>
      <c r="BF128" s="153"/>
      <c r="BG128" s="153"/>
      <c r="BH128" s="153"/>
      <c r="BI128" s="153"/>
      <c r="BJ128" s="153"/>
      <c r="BK128" s="153"/>
      <c r="BL128" s="153"/>
      <c r="BM128" s="153"/>
      <c r="BN128" s="153"/>
      <c r="BO128" s="153"/>
      <c r="BP128" s="153"/>
      <c r="BQ128" s="153"/>
      <c r="BR128" s="153"/>
      <c r="BS128" s="153"/>
      <c r="CA128" s="127"/>
    </row>
    <row r="129" spans="1:79" ht="15.75" thickBot="1" x14ac:dyDescent="0.3">
      <c r="A129" s="403"/>
      <c r="B129" s="290" t="s">
        <v>184</v>
      </c>
      <c r="C129" s="339">
        <f t="array" ref="C129">SUM($E129:$V129/$C125)</f>
        <v>8.3428571428571434</v>
      </c>
      <c r="D129" s="310" t="s">
        <v>132</v>
      </c>
      <c r="E129" s="310">
        <f>SUMPRODUCT(E$7:E$106,--($Y$7:$Y$106=TRUE),--($Z$7:$Z$106=TRUE))</f>
        <v>50</v>
      </c>
      <c r="F129" s="310">
        <f t="shared" ref="F129:V129" si="97">SUMPRODUCT(F$7:F$106,--($Y$7:$Y$106=TRUE),--($Z$7:$Z$106=TRUE))</f>
        <v>28</v>
      </c>
      <c r="G129" s="310">
        <f t="shared" si="97"/>
        <v>0</v>
      </c>
      <c r="H129" s="310">
        <f t="shared" si="97"/>
        <v>0</v>
      </c>
      <c r="I129" s="310">
        <f t="shared" si="97"/>
        <v>103</v>
      </c>
      <c r="J129" s="310">
        <f t="shared" si="97"/>
        <v>98</v>
      </c>
      <c r="K129" s="310">
        <f t="shared" si="97"/>
        <v>214</v>
      </c>
      <c r="L129" s="310">
        <f t="shared" si="97"/>
        <v>0</v>
      </c>
      <c r="M129" s="310">
        <f t="shared" si="97"/>
        <v>45</v>
      </c>
      <c r="N129" s="310">
        <f t="shared" si="97"/>
        <v>19</v>
      </c>
      <c r="O129" s="310">
        <f t="shared" si="97"/>
        <v>0</v>
      </c>
      <c r="P129" s="310">
        <f t="shared" si="97"/>
        <v>26</v>
      </c>
      <c r="Q129" s="310">
        <f t="shared" si="97"/>
        <v>0</v>
      </c>
      <c r="R129" s="310">
        <f t="shared" si="97"/>
        <v>0</v>
      </c>
      <c r="S129" s="310">
        <f t="shared" si="97"/>
        <v>0</v>
      </c>
      <c r="T129" s="310">
        <f t="shared" si="97"/>
        <v>0</v>
      </c>
      <c r="U129" s="310">
        <f t="shared" si="97"/>
        <v>0</v>
      </c>
      <c r="V129" s="310">
        <f t="shared" si="97"/>
        <v>1</v>
      </c>
      <c r="W129" s="127"/>
      <c r="AZ129" s="43"/>
      <c r="BA129" s="149"/>
      <c r="BB129" s="149"/>
      <c r="BC129" s="149"/>
      <c r="BD129" s="153"/>
      <c r="BE129" s="153"/>
      <c r="BF129" s="153"/>
      <c r="BG129" s="153"/>
      <c r="BH129" s="153"/>
      <c r="BI129" s="153"/>
      <c r="BJ129" s="153"/>
      <c r="BK129" s="153"/>
      <c r="BL129" s="153"/>
      <c r="BM129" s="153"/>
      <c r="BN129" s="153"/>
      <c r="BO129" s="153"/>
      <c r="BP129" s="153"/>
      <c r="BQ129" s="153"/>
      <c r="BR129" s="153"/>
      <c r="BS129" s="153"/>
      <c r="CA129" s="127"/>
    </row>
    <row r="130" spans="1:79" x14ac:dyDescent="0.25">
      <c r="A130" s="404" t="s">
        <v>70</v>
      </c>
      <c r="B130" s="312" t="s">
        <v>172</v>
      </c>
      <c r="C130" s="308">
        <v>120</v>
      </c>
      <c r="D130" s="227" t="s">
        <v>136</v>
      </c>
      <c r="E130" s="307">
        <f>SUMPRODUCT(--(E$7:E$106&gt;0))</f>
        <v>1</v>
      </c>
      <c r="F130" s="307">
        <f t="shared" ref="F130:V130" si="98">SUMPRODUCT(--(F$7:F$106&gt;0))</f>
        <v>7</v>
      </c>
      <c r="G130" s="307">
        <f t="shared" si="98"/>
        <v>0</v>
      </c>
      <c r="H130" s="307">
        <f t="shared" si="98"/>
        <v>0</v>
      </c>
      <c r="I130" s="307">
        <f t="shared" si="98"/>
        <v>4</v>
      </c>
      <c r="J130" s="307">
        <f t="shared" si="98"/>
        <v>3</v>
      </c>
      <c r="K130" s="307">
        <f t="shared" si="98"/>
        <v>12</v>
      </c>
      <c r="L130" s="307">
        <f t="shared" si="98"/>
        <v>1</v>
      </c>
      <c r="M130" s="307">
        <f t="shared" si="98"/>
        <v>1</v>
      </c>
      <c r="N130" s="307">
        <f t="shared" si="98"/>
        <v>2</v>
      </c>
      <c r="O130" s="307">
        <f t="shared" si="98"/>
        <v>0</v>
      </c>
      <c r="P130" s="307">
        <f t="shared" si="98"/>
        <v>4</v>
      </c>
      <c r="Q130" s="307">
        <f t="shared" si="98"/>
        <v>0</v>
      </c>
      <c r="R130" s="307">
        <f t="shared" si="98"/>
        <v>0</v>
      </c>
      <c r="S130" s="307">
        <f t="shared" si="98"/>
        <v>0</v>
      </c>
      <c r="T130" s="307">
        <f t="shared" si="98"/>
        <v>0</v>
      </c>
      <c r="U130" s="307">
        <f t="shared" si="98"/>
        <v>0</v>
      </c>
      <c r="V130" s="307">
        <f t="shared" si="98"/>
        <v>1</v>
      </c>
      <c r="W130" s="127"/>
      <c r="AZ130" s="43"/>
      <c r="BA130" s="149"/>
      <c r="BB130" s="149"/>
      <c r="BC130" s="149"/>
      <c r="BD130" s="153"/>
      <c r="BE130" s="153"/>
      <c r="BF130" s="153"/>
      <c r="BG130" s="153"/>
      <c r="BH130" s="153"/>
      <c r="BI130" s="153"/>
      <c r="BJ130" s="153"/>
      <c r="BK130" s="153"/>
      <c r="BL130" s="153"/>
      <c r="BM130" s="153"/>
      <c r="BN130" s="153"/>
      <c r="BO130" s="153"/>
      <c r="BP130" s="153"/>
      <c r="BQ130" s="153"/>
      <c r="BR130" s="153"/>
      <c r="BS130" s="153"/>
      <c r="CA130" s="127"/>
    </row>
    <row r="131" spans="1:79" x14ac:dyDescent="0.25">
      <c r="A131" s="402"/>
      <c r="B131" s="289" t="s">
        <v>173</v>
      </c>
      <c r="C131" s="229">
        <f>SUMPRODUCT(--($AA$7:$AA$106&gt;0))</f>
        <v>30</v>
      </c>
      <c r="D131" s="149" t="s">
        <v>137</v>
      </c>
      <c r="E131" s="43">
        <f>E130/INDEX('Albopictus Mortality'!$A$3:$AP$52,MATCH("Total (Exposed)",'Albopictus Mortality'!$A$3:$A$52,0)+1,MATCH(E$6,'Albopictus Mortality'!$A$3:$AP$3,0)-1)%</f>
        <v>1.1235955056179776</v>
      </c>
      <c r="F131" s="43">
        <f>F130/INDEX('Albopictus Mortality'!$A$3:$AP$52,MATCH("Total (Exposed)",'Albopictus Mortality'!$A$3:$A$52,0)+1,MATCH(F$6,'Albopictus Mortality'!$A$3:$AP$3,0)-1)%</f>
        <v>7.9545454545454541</v>
      </c>
      <c r="G131" s="43">
        <f>G130/INDEX('Albopictus Mortality'!$A$3:$AP$52,MATCH("Total (Exposed)",'Albopictus Mortality'!$A$3:$A$52,0)+1,MATCH(G$6,'Albopictus Mortality'!$A$3:$AP$3,0)-1)%</f>
        <v>0</v>
      </c>
      <c r="H131" s="43">
        <f>H130/INDEX('Albopictus Mortality'!$A$3:$AP$52,MATCH("Total (Exposed)",'Albopictus Mortality'!$A$3:$A$52,0)+1,MATCH(H$6,'Albopictus Mortality'!$A$3:$AP$3,0)-1)%</f>
        <v>0</v>
      </c>
      <c r="I131" s="43">
        <f>I130/INDEX('Albopictus Mortality'!$A$3:$AP$52,MATCH("Total (Exposed)",'Albopictus Mortality'!$A$3:$A$52,0)+1,MATCH(I$6,'Albopictus Mortality'!$A$3:$AP$3,0)-1)%</f>
        <v>5.2631578947368425</v>
      </c>
      <c r="J131" s="43">
        <f>J130/INDEX('Albopictus Mortality'!$A$3:$AP$52,MATCH("Total (Exposed)",'Albopictus Mortality'!$A$3:$A$52,0)+1,MATCH(J$6,'Albopictus Mortality'!$A$3:$AP$3,0)-1)%</f>
        <v>4.0540540540540544</v>
      </c>
      <c r="K131" s="43">
        <f>K130/INDEX('Albopictus Mortality'!$A$3:$AP$52,MATCH("Total (Exposed)",'Albopictus Mortality'!$A$3:$A$52,0)+1,MATCH(K$6,'Albopictus Mortality'!$A$3:$AP$3,0)-1)%</f>
        <v>16.901408450704228</v>
      </c>
      <c r="L131" s="43">
        <f>L130/INDEX('Albopictus Mortality'!$A$3:$AP$52,MATCH("Total (Exposed)",'Albopictus Mortality'!$A$3:$A$52,0)+1,MATCH(L$6,'Albopictus Mortality'!$A$3:$AP$3,0)-1)%</f>
        <v>1.7241379310344829</v>
      </c>
      <c r="M131" s="43">
        <f>M130/INDEX('Albopictus Mortality'!$A$3:$AP$52,MATCH("Total (Exposed)",'Albopictus Mortality'!$A$3:$A$52,0)+1,MATCH(M$6,'Albopictus Mortality'!$A$3:$AP$3,0)-1)%</f>
        <v>1.8181818181818181</v>
      </c>
      <c r="N131" s="43">
        <f>N130/INDEX('Albopictus Mortality'!$A$3:$AP$52,MATCH("Total (Exposed)",'Albopictus Mortality'!$A$3:$A$52,0)+1,MATCH(N$6,'Albopictus Mortality'!$A$3:$AP$3,0)-1)%</f>
        <v>3.8461538461538458</v>
      </c>
      <c r="O131" s="43">
        <f>O130/INDEX('Albopictus Mortality'!$A$3:$AP$52,MATCH("Total (Exposed)",'Albopictus Mortality'!$A$3:$A$52,0)+1,MATCH(O$6,'Albopictus Mortality'!$A$3:$AP$3,0)-1)%</f>
        <v>0</v>
      </c>
      <c r="P131" s="43">
        <f>P130/INDEX('Albopictus Mortality'!$A$3:$AP$52,MATCH("Total (Exposed)",'Albopictus Mortality'!$A$3:$A$52,0)+1,MATCH(P$6,'Albopictus Mortality'!$A$3:$AP$3,0)-1)%</f>
        <v>10.810810810810811</v>
      </c>
      <c r="Q131" s="43">
        <f>Q130/INDEX('Albopictus Mortality'!$A$3:$AP$52,MATCH("Total (Exposed)",'Albopictus Mortality'!$A$3:$A$52,0)+1,MATCH(Q$6,'Albopictus Mortality'!$A$3:$AP$3,0)-1)%</f>
        <v>0</v>
      </c>
      <c r="R131" s="43">
        <f>R130/INDEX('Albopictus Mortality'!$A$3:$AP$52,MATCH("Total (Exposed)",'Albopictus Mortality'!$A$3:$A$52,0)+1,MATCH(R$6,'Albopictus Mortality'!$A$3:$AP$3,0)-1)%</f>
        <v>0</v>
      </c>
      <c r="S131" s="43">
        <f>S130/INDEX('Albopictus Mortality'!$A$3:$AP$52,MATCH("Total (Exposed)",'Albopictus Mortality'!$A$3:$A$52,0)+1,MATCH(S$6,'Albopictus Mortality'!$A$3:$AP$3,0)-1)%</f>
        <v>0</v>
      </c>
      <c r="T131" s="43">
        <f>T130/INDEX('Albopictus Mortality'!$A$3:$AP$52,MATCH("Total (Exposed)",'Albopictus Mortality'!$A$3:$A$52,0)+1,MATCH(T$6,'Albopictus Mortality'!$A$3:$AP$3,0)-1)%</f>
        <v>0</v>
      </c>
      <c r="U131" s="43">
        <f>U130/INDEX('Albopictus Mortality'!$A$3:$AP$52,MATCH("Total (Exposed)",'Albopictus Mortality'!$A$3:$A$52,0)+1,MATCH(U$6,'Albopictus Mortality'!$A$3:$AP$3,0)-1)%</f>
        <v>0</v>
      </c>
      <c r="V131" s="43">
        <f>V130/INDEX('Albopictus Mortality'!$A$3:$AP$52,MATCH("Total (Exposed)",'Albopictus Mortality'!$A$3:$A$52,0)+1,MATCH(V$6,'Albopictus Mortality'!$A$3:$AP$3,0)-1)%</f>
        <v>10</v>
      </c>
      <c r="W131" s="127"/>
      <c r="AZ131" s="43"/>
      <c r="BA131" s="149"/>
      <c r="BB131" s="149"/>
      <c r="BC131" s="149"/>
      <c r="BD131" s="153"/>
      <c r="BE131" s="153"/>
      <c r="BF131" s="153"/>
      <c r="BG131" s="153"/>
      <c r="BH131" s="153"/>
      <c r="BI131" s="153"/>
      <c r="BJ131" s="153"/>
      <c r="BK131" s="153"/>
      <c r="BL131" s="153"/>
      <c r="BM131" s="153"/>
      <c r="BN131" s="153"/>
      <c r="BO131" s="153"/>
      <c r="BP131" s="153"/>
      <c r="BQ131" s="153"/>
      <c r="BR131" s="153"/>
      <c r="BS131" s="153"/>
      <c r="CA131" s="127"/>
    </row>
    <row r="132" spans="1:79" x14ac:dyDescent="0.25">
      <c r="A132" s="402"/>
      <c r="B132" s="289" t="s">
        <v>142</v>
      </c>
      <c r="C132" s="229">
        <f>C130-C131</f>
        <v>90</v>
      </c>
      <c r="D132" s="149" t="s">
        <v>138</v>
      </c>
      <c r="E132" s="149">
        <f>SUMPRODUCT(E$7:E$106)/INDEX('Albopictus Mortality'!$A$3:$AP$52,MATCH("Total (Exposed)",'Albopictus Mortality'!$A$3:$A$52,0)+1,MATCH(E$6,'Albopictus Mortality'!$A$3:$AP$3,0)-1)</f>
        <v>0.5617977528089888</v>
      </c>
      <c r="F132" s="149">
        <f>SUMPRODUCT(F$7:F$106)/INDEX('Albopictus Mortality'!$A$3:$AP$52,MATCH("Total (Exposed)",'Albopictus Mortality'!$A$3:$A$52,0)+1,MATCH(F$6,'Albopictus Mortality'!$A$3:$AP$3,0)-1)</f>
        <v>0.51136363636363635</v>
      </c>
      <c r="G132" s="149">
        <f>SUMPRODUCT(G$7:G$106)/INDEX('Albopictus Mortality'!$A$3:$AP$52,MATCH("Total (Exposed)",'Albopictus Mortality'!$A$3:$A$52,0)+1,MATCH(G$6,'Albopictus Mortality'!$A$3:$AP$3,0)-1)</f>
        <v>0</v>
      </c>
      <c r="H132" s="149">
        <f>SUMPRODUCT(H$7:H$106)/INDEX('Albopictus Mortality'!$A$3:$AP$52,MATCH("Total (Exposed)",'Albopictus Mortality'!$A$3:$A$52,0)+1,MATCH(H$6,'Albopictus Mortality'!$A$3:$AP$3,0)-1)</f>
        <v>0</v>
      </c>
      <c r="I132" s="149">
        <f>SUMPRODUCT(I$7:I$106)/INDEX('Albopictus Mortality'!$A$3:$AP$52,MATCH("Total (Exposed)",'Albopictus Mortality'!$A$3:$A$52,0)+1,MATCH(I$6,'Albopictus Mortality'!$A$3:$AP$3,0)-1)</f>
        <v>1.6578947368421053</v>
      </c>
      <c r="J132" s="149">
        <f>SUMPRODUCT(J$7:J$106)/INDEX('Albopictus Mortality'!$A$3:$AP$52,MATCH("Total (Exposed)",'Albopictus Mortality'!$A$3:$A$52,0)+1,MATCH(J$6,'Albopictus Mortality'!$A$3:$AP$3,0)-1)</f>
        <v>1.3243243243243243</v>
      </c>
      <c r="K132" s="149">
        <f>SUMPRODUCT(K$7:K$106)/INDEX('Albopictus Mortality'!$A$3:$AP$52,MATCH("Total (Exposed)",'Albopictus Mortality'!$A$3:$A$52,0)+1,MATCH(K$6,'Albopictus Mortality'!$A$3:$AP$3,0)-1)</f>
        <v>3.0704225352112675</v>
      </c>
      <c r="L132" s="149">
        <f>SUMPRODUCT(L$7:L$106)/INDEX('Albopictus Mortality'!$A$3:$AP$52,MATCH("Total (Exposed)",'Albopictus Mortality'!$A$3:$A$52,0)+1,MATCH(L$6,'Albopictus Mortality'!$A$3:$AP$3,0)-1)</f>
        <v>6.8965517241379309E-2</v>
      </c>
      <c r="M132" s="149">
        <f>SUMPRODUCT(M$7:M$106)/INDEX('Albopictus Mortality'!$A$3:$AP$52,MATCH("Total (Exposed)",'Albopictus Mortality'!$A$3:$A$52,0)+1,MATCH(M$6,'Albopictus Mortality'!$A$3:$AP$3,0)-1)</f>
        <v>0.81818181818181823</v>
      </c>
      <c r="N132" s="149">
        <f>SUMPRODUCT(N$7:N$106)/INDEX('Albopictus Mortality'!$A$3:$AP$52,MATCH("Total (Exposed)",'Albopictus Mortality'!$A$3:$A$52,0)+1,MATCH(N$6,'Albopictus Mortality'!$A$3:$AP$3,0)-1)</f>
        <v>0.36538461538461536</v>
      </c>
      <c r="O132" s="149">
        <f>SUMPRODUCT(O$7:O$106)/INDEX('Albopictus Mortality'!$A$3:$AP$52,MATCH("Total (Exposed)",'Albopictus Mortality'!$A$3:$A$52,0)+1,MATCH(O$6,'Albopictus Mortality'!$A$3:$AP$3,0)-1)</f>
        <v>0</v>
      </c>
      <c r="P132" s="149">
        <f>SUMPRODUCT(P$7:P$106)/INDEX('Albopictus Mortality'!$A$3:$AP$52,MATCH("Total (Exposed)",'Albopictus Mortality'!$A$3:$A$52,0)+1,MATCH(P$6,'Albopictus Mortality'!$A$3:$AP$3,0)-1)</f>
        <v>0.70270270270270274</v>
      </c>
      <c r="Q132" s="149">
        <f>SUMPRODUCT(Q$7:Q$106)/INDEX('Albopictus Mortality'!$A$3:$AP$52,MATCH("Total (Exposed)",'Albopictus Mortality'!$A$3:$A$52,0)+1,MATCH(Q$6,'Albopictus Mortality'!$A$3:$AP$3,0)-1)</f>
        <v>0</v>
      </c>
      <c r="R132" s="149">
        <f>SUMPRODUCT(R$7:R$106)/INDEX('Albopictus Mortality'!$A$3:$AP$52,MATCH("Total (Exposed)",'Albopictus Mortality'!$A$3:$A$52,0)+1,MATCH(R$6,'Albopictus Mortality'!$A$3:$AP$3,0)-1)</f>
        <v>0</v>
      </c>
      <c r="S132" s="149">
        <f>SUMPRODUCT(S$7:S$106)/INDEX('Albopictus Mortality'!$A$3:$AP$52,MATCH("Total (Exposed)",'Albopictus Mortality'!$A$3:$A$52,0)+1,MATCH(S$6,'Albopictus Mortality'!$A$3:$AP$3,0)-1)</f>
        <v>0</v>
      </c>
      <c r="T132" s="149">
        <f>SUMPRODUCT(T$7:T$106)/INDEX('Albopictus Mortality'!$A$3:$AP$52,MATCH("Total (Exposed)",'Albopictus Mortality'!$A$3:$A$52,0)+1,MATCH(T$6,'Albopictus Mortality'!$A$3:$AP$3,0)-1)</f>
        <v>0</v>
      </c>
      <c r="U132" s="149">
        <f>SUMPRODUCT(U$7:U$106)/INDEX('Albopictus Mortality'!$A$3:$AP$52,MATCH("Total (Exposed)",'Albopictus Mortality'!$A$3:$A$52,0)+1,MATCH(U$6,'Albopictus Mortality'!$A$3:$AP$3,0)-1)</f>
        <v>0</v>
      </c>
      <c r="V132" s="149">
        <f>SUMPRODUCT(V$7:V$106)/INDEX('Albopictus Mortality'!$A$3:$AP$52,MATCH("Total (Exposed)",'Albopictus Mortality'!$A$3:$A$52,0)+1,MATCH(V$6,'Albopictus Mortality'!$A$3:$AP$3,0)-1)</f>
        <v>0.1</v>
      </c>
      <c r="W132" s="127"/>
      <c r="AZ132" s="43"/>
      <c r="BA132" s="149"/>
      <c r="BB132" s="149"/>
      <c r="BC132" s="149"/>
      <c r="BD132" s="153"/>
      <c r="BE132" s="153"/>
      <c r="BF132" s="153"/>
      <c r="BG132" s="153"/>
      <c r="BH132" s="153"/>
      <c r="BI132" s="153"/>
      <c r="BJ132" s="153"/>
      <c r="BK132" s="153"/>
      <c r="BL132" s="153"/>
      <c r="BM132" s="153"/>
      <c r="BN132" s="153"/>
      <c r="BO132" s="153"/>
      <c r="BP132" s="153"/>
      <c r="BQ132" s="153"/>
      <c r="BR132" s="153"/>
      <c r="BS132" s="153"/>
      <c r="CA132" s="127"/>
    </row>
    <row r="133" spans="1:79" x14ac:dyDescent="0.25">
      <c r="A133" s="402"/>
      <c r="B133" s="289" t="s">
        <v>143</v>
      </c>
      <c r="C133" s="229">
        <f>C131/C130%</f>
        <v>25</v>
      </c>
      <c r="D133" s="149" t="s">
        <v>140</v>
      </c>
      <c r="E133" s="149">
        <f t="array" ref="E133">IFERROR(SUM(IFERROR(E$7:E$106/$AA$7:$AA$106,0))/E$130,0)</f>
        <v>1</v>
      </c>
      <c r="F133" s="149">
        <f t="array" ref="F133">IFERROR(SUM(IFERROR(F$7:F$106/$AA$7:$AA$106,0))/F$130,0)</f>
        <v>0.59776693286010041</v>
      </c>
      <c r="G133" s="149">
        <f t="array" ref="G133">IFERROR(SUM(IFERROR(G$7:G$106/$AA$7:$AA$106,0))/G$130,0)</f>
        <v>0</v>
      </c>
      <c r="H133" s="149">
        <f t="array" ref="H133">IFERROR(SUM(IFERROR(H$7:H$106/$AA$7:$AA$106,0))/H$130,0)</f>
        <v>0</v>
      </c>
      <c r="I133" s="149">
        <f t="array" ref="I133">IFERROR(SUM(IFERROR(I$7:I$106/$AA$7:$AA$106,0))/I$130,0)</f>
        <v>1</v>
      </c>
      <c r="J133" s="149">
        <f t="array" ref="J133">IFERROR(SUM(IFERROR(J$7:J$106/$AA$7:$AA$106,0))/J$130,0)</f>
        <v>1</v>
      </c>
      <c r="K133" s="149">
        <f t="array" ref="K133">IFERROR(SUM(IFERROR(K$7:K$106/$AA$7:$AA$106,0))/K$130,0)</f>
        <v>0.97916666666666663</v>
      </c>
      <c r="L133" s="149">
        <f t="array" ref="L133">IFERROR(SUM(IFERROR(L$7:L$106/$AA$7:$AA$106,0))/L$130,0)</f>
        <v>1</v>
      </c>
      <c r="M133" s="149">
        <f t="array" ref="M133">IFERROR(SUM(IFERROR(M$7:M$106/$AA$7:$AA$106,0))/M$130,0)</f>
        <v>1</v>
      </c>
      <c r="N133" s="149">
        <f t="array" ref="N133">IFERROR(SUM(IFERROR(N$7:N$106/$AA$7:$AA$106,0))/N$130,0)</f>
        <v>1</v>
      </c>
      <c r="O133" s="149">
        <f t="array" ref="O133">IFERROR(SUM(IFERROR(O$7:O$106/$AA$7:$AA$106,0))/O$130,0)</f>
        <v>0</v>
      </c>
      <c r="P133" s="149">
        <f t="array" ref="P133">IFERROR(SUM(IFERROR(P$7:P$106/$AA$7:$AA$106,0))/P$130,0)</f>
        <v>0.98611111111111116</v>
      </c>
      <c r="Q133" s="149">
        <f t="array" ref="Q133">IFERROR(SUM(IFERROR(Q$7:Q$106/$AA$7:$AA$106,0))/Q$130,0)</f>
        <v>0</v>
      </c>
      <c r="R133" s="149">
        <f t="array" ref="R133">IFERROR(SUM(IFERROR(R$7:R$106/$AA$7:$AA$106,0))/R$130,0)</f>
        <v>0</v>
      </c>
      <c r="S133" s="149">
        <f t="array" ref="S133">IFERROR(SUM(IFERROR(S$7:S$106/$AA$7:$AA$106,0))/S$130,0)</f>
        <v>0</v>
      </c>
      <c r="T133" s="149">
        <f t="array" ref="T133">IFERROR(SUM(IFERROR(T$7:T$106/$AA$7:$AA$106,0))/T$130,0)</f>
        <v>0</v>
      </c>
      <c r="U133" s="149">
        <f t="array" ref="U133">IFERROR(SUM(IFERROR(U$7:U$106/$AA$7:$AA$106,0))/U$130,0)</f>
        <v>0</v>
      </c>
      <c r="V133" s="149">
        <f t="array" ref="V133">IFERROR(SUM(IFERROR(V$7:V$106/$AA$7:$AA$106,0))/V$130,0)</f>
        <v>1</v>
      </c>
      <c r="W133" s="127"/>
      <c r="AZ133" s="43"/>
      <c r="BA133" s="149"/>
      <c r="BB133" s="149"/>
      <c r="BC133" s="149"/>
      <c r="BD133" s="153"/>
      <c r="BE133" s="153"/>
      <c r="BF133" s="153"/>
      <c r="BG133" s="153"/>
      <c r="BH133" s="153"/>
      <c r="BI133" s="153"/>
      <c r="BJ133" s="153"/>
      <c r="BK133" s="153"/>
      <c r="BL133" s="153"/>
      <c r="BM133" s="153"/>
      <c r="BN133" s="153"/>
      <c r="BO133" s="153"/>
      <c r="BP133" s="153"/>
      <c r="BQ133" s="153"/>
      <c r="BR133" s="153"/>
      <c r="BS133" s="153"/>
      <c r="CA133" s="127"/>
    </row>
    <row r="134" spans="1:79" ht="15.75" thickBot="1" x14ac:dyDescent="0.3">
      <c r="A134" s="403"/>
      <c r="B134" s="290" t="s">
        <v>184</v>
      </c>
      <c r="C134" s="339">
        <f t="array" ref="C134">SUM($E134:$V134/$C130)</f>
        <v>5.2666666666666666</v>
      </c>
      <c r="D134" s="310" t="s">
        <v>132</v>
      </c>
      <c r="E134" s="310">
        <f>SUMPRODUCT(E$7:E$106)</f>
        <v>50</v>
      </c>
      <c r="F134" s="310">
        <f t="shared" ref="F134:V134" si="99">SUMPRODUCT(F$7:F$106)</f>
        <v>45</v>
      </c>
      <c r="G134" s="310">
        <f t="shared" si="99"/>
        <v>0</v>
      </c>
      <c r="H134" s="310">
        <f t="shared" si="99"/>
        <v>0</v>
      </c>
      <c r="I134" s="310">
        <f t="shared" si="99"/>
        <v>126</v>
      </c>
      <c r="J134" s="310">
        <f t="shared" si="99"/>
        <v>98</v>
      </c>
      <c r="K134" s="310">
        <f t="shared" si="99"/>
        <v>218</v>
      </c>
      <c r="L134" s="310">
        <f t="shared" si="99"/>
        <v>4</v>
      </c>
      <c r="M134" s="310">
        <f t="shared" si="99"/>
        <v>45</v>
      </c>
      <c r="N134" s="310">
        <f t="shared" si="99"/>
        <v>19</v>
      </c>
      <c r="O134" s="310">
        <f t="shared" si="99"/>
        <v>0</v>
      </c>
      <c r="P134" s="310">
        <f t="shared" si="99"/>
        <v>26</v>
      </c>
      <c r="Q134" s="310">
        <f t="shared" si="99"/>
        <v>0</v>
      </c>
      <c r="R134" s="310">
        <f t="shared" si="99"/>
        <v>0</v>
      </c>
      <c r="S134" s="310">
        <f t="shared" si="99"/>
        <v>0</v>
      </c>
      <c r="T134" s="310">
        <f t="shared" si="99"/>
        <v>0</v>
      </c>
      <c r="U134" s="310">
        <f t="shared" si="99"/>
        <v>0</v>
      </c>
      <c r="V134" s="310">
        <f t="shared" si="99"/>
        <v>1</v>
      </c>
      <c r="W134" s="127"/>
      <c r="AZ134" s="43"/>
      <c r="BA134" s="149"/>
      <c r="BB134" s="149"/>
      <c r="BC134" s="149"/>
      <c r="BD134" s="153"/>
      <c r="BE134" s="153"/>
      <c r="BF134" s="153"/>
      <c r="BG134" s="153"/>
      <c r="BH134" s="153"/>
      <c r="BI134" s="153"/>
      <c r="BJ134" s="153"/>
      <c r="BK134" s="153"/>
      <c r="BL134" s="153"/>
      <c r="BM134" s="153"/>
      <c r="BN134" s="153"/>
      <c r="BO134" s="153"/>
      <c r="BP134" s="153"/>
      <c r="BQ134" s="153"/>
      <c r="BR134" s="153"/>
      <c r="BS134" s="153"/>
      <c r="CA134" s="127"/>
    </row>
    <row r="135" spans="1:79" x14ac:dyDescent="0.25">
      <c r="A135" s="402" t="s">
        <v>6</v>
      </c>
      <c r="B135" s="312" t="s">
        <v>172</v>
      </c>
      <c r="C135" s="309">
        <v>40</v>
      </c>
      <c r="D135" s="288" t="s">
        <v>136</v>
      </c>
      <c r="E135" s="307">
        <f>SUMPRODUCT(--(E$153:E$192&gt;0))</f>
        <v>0</v>
      </c>
      <c r="F135" s="307">
        <f t="shared" ref="F135:V135" si="100">SUMPRODUCT(--(F$153:F$192&gt;0))</f>
        <v>0</v>
      </c>
      <c r="G135" s="307">
        <f t="shared" si="100"/>
        <v>0</v>
      </c>
      <c r="H135" s="307">
        <f t="shared" si="100"/>
        <v>0</v>
      </c>
      <c r="I135" s="307">
        <f t="shared" si="100"/>
        <v>2</v>
      </c>
      <c r="J135" s="307">
        <f t="shared" si="100"/>
        <v>0</v>
      </c>
      <c r="K135" s="307">
        <f t="shared" si="100"/>
        <v>1</v>
      </c>
      <c r="L135" s="307">
        <f t="shared" si="100"/>
        <v>0</v>
      </c>
      <c r="M135" s="307">
        <f t="shared" si="100"/>
        <v>0</v>
      </c>
      <c r="N135" s="307">
        <f t="shared" si="100"/>
        <v>1</v>
      </c>
      <c r="O135" s="307">
        <f t="shared" si="100"/>
        <v>1</v>
      </c>
      <c r="P135" s="307">
        <f t="shared" si="100"/>
        <v>2</v>
      </c>
      <c r="Q135" s="307">
        <f t="shared" si="100"/>
        <v>0</v>
      </c>
      <c r="R135" s="307">
        <f t="shared" si="100"/>
        <v>2</v>
      </c>
      <c r="S135" s="307">
        <f t="shared" si="100"/>
        <v>0</v>
      </c>
      <c r="T135" s="307">
        <f t="shared" si="100"/>
        <v>0</v>
      </c>
      <c r="U135" s="307">
        <f t="shared" si="100"/>
        <v>0</v>
      </c>
      <c r="V135" s="307">
        <f t="shared" si="100"/>
        <v>0</v>
      </c>
      <c r="W135" s="127"/>
      <c r="AZ135" s="43"/>
      <c r="BA135" s="149"/>
      <c r="BB135" s="149"/>
      <c r="BC135" s="149"/>
      <c r="BD135" s="153"/>
      <c r="BE135" s="153"/>
      <c r="BF135" s="153"/>
      <c r="BG135" s="153"/>
      <c r="BH135" s="153"/>
      <c r="BI135" s="153"/>
      <c r="BJ135" s="153"/>
      <c r="BK135" s="153"/>
      <c r="BL135" s="153"/>
      <c r="BM135" s="153"/>
      <c r="BN135" s="153"/>
      <c r="BO135" s="153"/>
      <c r="BP135" s="153"/>
      <c r="BQ135" s="153"/>
      <c r="BR135" s="153"/>
      <c r="BS135" s="153"/>
      <c r="CA135" s="127"/>
    </row>
    <row r="136" spans="1:79" x14ac:dyDescent="0.25">
      <c r="A136" s="402"/>
      <c r="B136" s="289" t="s">
        <v>173</v>
      </c>
      <c r="C136" s="229">
        <f>SUMPRODUCT(--($Y$172:$Y$211&gt;0))</f>
        <v>6</v>
      </c>
      <c r="D136" s="313" t="s">
        <v>137</v>
      </c>
      <c r="E136" s="43">
        <f>E135/INDEX('Albopictus Mortality'!$A$3:$AP$52,MATCH("Control",'Albopictus Mortality'!$A$3:$A$52,0)+1,MATCH(E$6,'Albopictus Mortality'!$A$3:$AP$3,0)-1)%</f>
        <v>0</v>
      </c>
      <c r="F136" s="43">
        <f>F135/INDEX('Albopictus Mortality'!$A$3:$AP$52,MATCH("Control",'Albopictus Mortality'!$A$3:$A$52,0)+1,MATCH(F$6,'Albopictus Mortality'!$A$3:$AP$3,0)-1)%</f>
        <v>0</v>
      </c>
      <c r="G136" s="43">
        <f>G135/INDEX('Albopictus Mortality'!$A$3:$AP$52,MATCH("Control",'Albopictus Mortality'!$A$3:$A$52,0)+1,MATCH(G$6,'Albopictus Mortality'!$A$3:$AP$3,0)-1)%</f>
        <v>0</v>
      </c>
      <c r="H136" s="43">
        <f>H135/INDEX('Albopictus Mortality'!$A$3:$AP$52,MATCH("Control",'Albopictus Mortality'!$A$3:$A$52,0)+1,MATCH(H$6,'Albopictus Mortality'!$A$3:$AP$3,0)-1)%</f>
        <v>0</v>
      </c>
      <c r="I136" s="43">
        <f>I135/INDEX('Albopictus Mortality'!$A$3:$AP$52,MATCH("Control",'Albopictus Mortality'!$A$3:$A$52,0)+1,MATCH(I$6,'Albopictus Mortality'!$A$3:$AP$3,0)-1)%</f>
        <v>9.5238095238095237</v>
      </c>
      <c r="J136" s="43">
        <f>J135/INDEX('Albopictus Mortality'!$A$3:$AP$52,MATCH("Control",'Albopictus Mortality'!$A$3:$A$52,0)+1,MATCH(J$6,'Albopictus Mortality'!$A$3:$AP$3,0)-1)%</f>
        <v>0</v>
      </c>
      <c r="K136" s="43">
        <f>K135/INDEX('Albopictus Mortality'!$A$3:$AP$52,MATCH("Control",'Albopictus Mortality'!$A$3:$A$52,0)+1,MATCH(K$6,'Albopictus Mortality'!$A$3:$AP$3,0)-1)%</f>
        <v>4.7619047619047619</v>
      </c>
      <c r="L136" s="43">
        <f>L135/INDEX('Albopictus Mortality'!$A$3:$AP$52,MATCH("Control",'Albopictus Mortality'!$A$3:$A$52,0)+1,MATCH(L$6,'Albopictus Mortality'!$A$3:$AP$3,0)-1)%</f>
        <v>0</v>
      </c>
      <c r="M136" s="43">
        <f>M135/INDEX('Albopictus Mortality'!$A$3:$AP$52,MATCH("Control",'Albopictus Mortality'!$A$3:$A$52,0)+1,MATCH(M$6,'Albopictus Mortality'!$A$3:$AP$3,0)-1)%</f>
        <v>0</v>
      </c>
      <c r="N136" s="43">
        <f>N135/INDEX('Albopictus Mortality'!$A$3:$AP$52,MATCH("Control",'Albopictus Mortality'!$A$3:$A$52,0)+1,MATCH(N$6,'Albopictus Mortality'!$A$3:$AP$3,0)-1)%</f>
        <v>7.1428571428571423</v>
      </c>
      <c r="O136" s="43">
        <f>O135/INDEX('Albopictus Mortality'!$A$3:$AP$52,MATCH("Control",'Albopictus Mortality'!$A$3:$A$52,0)+1,MATCH(O$6,'Albopictus Mortality'!$A$3:$AP$3,0)-1)%</f>
        <v>9.0909090909090917</v>
      </c>
      <c r="P136" s="43">
        <f>P135/INDEX('Albopictus Mortality'!$A$3:$AP$52,MATCH("Control",'Albopictus Mortality'!$A$3:$A$52,0)+1,MATCH(P$6,'Albopictus Mortality'!$A$3:$AP$3,0)-1)%</f>
        <v>22.222222222222221</v>
      </c>
      <c r="Q136" s="43">
        <f>Q135/INDEX('Albopictus Mortality'!$A$3:$AP$52,MATCH("Control",'Albopictus Mortality'!$A$3:$A$52,0)+1,MATCH(Q$6,'Albopictus Mortality'!$A$3:$AP$3,0)-1)%</f>
        <v>0</v>
      </c>
      <c r="R136" s="43">
        <f>R135/INDEX('Albopictus Mortality'!$A$3:$AP$52,MATCH("Control",'Albopictus Mortality'!$A$3:$A$52,0)+1,MATCH(R$6,'Albopictus Mortality'!$A$3:$AP$3,0)-1)%</f>
        <v>40</v>
      </c>
      <c r="S136" s="43">
        <f>S135/INDEX('Albopictus Mortality'!$A$3:$AP$52,MATCH("Control",'Albopictus Mortality'!$A$3:$A$52,0)+1,MATCH(S$6,'Albopictus Mortality'!$A$3:$AP$3,0)-1)%</f>
        <v>0</v>
      </c>
      <c r="T136" s="43">
        <f>T135/INDEX('Albopictus Mortality'!$A$3:$AP$52,MATCH("Control",'Albopictus Mortality'!$A$3:$A$52,0)+1,MATCH(T$6,'Albopictus Mortality'!$A$3:$AP$3,0)-1)%</f>
        <v>0</v>
      </c>
      <c r="U136" s="43">
        <f>U135/INDEX('Albopictus Mortality'!$A$3:$AP$52,MATCH("Control",'Albopictus Mortality'!$A$3:$A$52,0)+1,MATCH(U$6,'Albopictus Mortality'!$A$3:$AP$3,0)-1)%</f>
        <v>0</v>
      </c>
      <c r="V136" s="43">
        <f>V135/INDEX('Albopictus Mortality'!$A$3:$AP$52,MATCH("Control",'Albopictus Mortality'!$A$3:$A$52,0)+1,MATCH(V$6,'Albopictus Mortality'!$A$3:$AP$3,0)-1)%</f>
        <v>0</v>
      </c>
      <c r="W136" s="127"/>
      <c r="AZ136" s="43"/>
      <c r="BA136" s="149"/>
      <c r="BB136" s="149"/>
      <c r="BC136" s="149"/>
      <c r="BD136" s="153"/>
      <c r="BE136" s="153"/>
      <c r="BF136" s="153"/>
      <c r="BG136" s="153"/>
      <c r="BH136" s="153"/>
      <c r="BI136" s="153"/>
      <c r="BJ136" s="153"/>
      <c r="BK136" s="153"/>
      <c r="BL136" s="153"/>
      <c r="BM136" s="153"/>
      <c r="BN136" s="153"/>
      <c r="BO136" s="153"/>
      <c r="BP136" s="153"/>
      <c r="BQ136" s="153"/>
      <c r="BR136" s="153"/>
      <c r="BS136" s="153"/>
      <c r="CA136" s="127"/>
    </row>
    <row r="137" spans="1:79" x14ac:dyDescent="0.25">
      <c r="A137" s="402"/>
      <c r="B137" s="289" t="s">
        <v>142</v>
      </c>
      <c r="C137" s="229">
        <f>C135-C136</f>
        <v>34</v>
      </c>
      <c r="D137" s="313" t="s">
        <v>138</v>
      </c>
      <c r="E137" s="149">
        <f>SUMPRODUCT(E$153:E$192)/INDEX('Albopictus Mortality'!$A$3:$AP$52,MATCH("Control",'Albopictus Mortality'!$A$3:$A$52,0)+1,MATCH(E$6,'Albopictus Mortality'!$A$3:$AP$3,0)-1)</f>
        <v>0</v>
      </c>
      <c r="F137" s="149">
        <f>SUMPRODUCT(F$153:F$192)/INDEX('Albopictus Mortality'!$A$3:$AP$52,MATCH("Control",'Albopictus Mortality'!$A$3:$A$52,0)+1,MATCH(F$6,'Albopictus Mortality'!$A$3:$AP$3,0)-1)</f>
        <v>0</v>
      </c>
      <c r="G137" s="149">
        <f>SUMPRODUCT(G$153:G$192)/INDEX('Albopictus Mortality'!$A$3:$AP$52,MATCH("Control",'Albopictus Mortality'!$A$3:$A$52,0)+1,MATCH(G$6,'Albopictus Mortality'!$A$3:$AP$3,0)-1)</f>
        <v>0</v>
      </c>
      <c r="H137" s="149">
        <f>SUMPRODUCT(H$153:H$192)/INDEX('Albopictus Mortality'!$A$3:$AP$52,MATCH("Control",'Albopictus Mortality'!$A$3:$A$52,0)+1,MATCH(H$6,'Albopictus Mortality'!$A$3:$AP$3,0)-1)</f>
        <v>0</v>
      </c>
      <c r="I137" s="149">
        <f>SUMPRODUCT(I$153:I$192)/INDEX('Albopictus Mortality'!$A$3:$AP$52,MATCH("Control",'Albopictus Mortality'!$A$3:$A$52,0)+1,MATCH(I$6,'Albopictus Mortality'!$A$3:$AP$3,0)-1)</f>
        <v>8.0952380952380949</v>
      </c>
      <c r="J137" s="149">
        <f>SUMPRODUCT(J$153:J$192)/INDEX('Albopictus Mortality'!$A$3:$AP$52,MATCH("Control",'Albopictus Mortality'!$A$3:$A$52,0)+1,MATCH(J$6,'Albopictus Mortality'!$A$3:$AP$3,0)-1)</f>
        <v>0</v>
      </c>
      <c r="K137" s="149">
        <f>SUMPRODUCT(K$153:K$192)/INDEX('Albopictus Mortality'!$A$3:$AP$52,MATCH("Control",'Albopictus Mortality'!$A$3:$A$52,0)+1,MATCH(K$6,'Albopictus Mortality'!$A$3:$AP$3,0)-1)</f>
        <v>1.1428571428571428</v>
      </c>
      <c r="L137" s="149">
        <f>SUMPRODUCT(L$153:L$192)/INDEX('Albopictus Mortality'!$A$3:$AP$52,MATCH("Control",'Albopictus Mortality'!$A$3:$A$52,0)+1,MATCH(L$6,'Albopictus Mortality'!$A$3:$AP$3,0)-1)</f>
        <v>0</v>
      </c>
      <c r="M137" s="149">
        <f>SUMPRODUCT(M$153:M$192)/INDEX('Albopictus Mortality'!$A$3:$AP$52,MATCH("Control",'Albopictus Mortality'!$A$3:$A$52,0)+1,MATCH(M$6,'Albopictus Mortality'!$A$3:$AP$3,0)-1)</f>
        <v>0</v>
      </c>
      <c r="N137" s="149">
        <f>SUMPRODUCT(N$153:N$192)/INDEX('Albopictus Mortality'!$A$3:$AP$52,MATCH("Control",'Albopictus Mortality'!$A$3:$A$52,0)+1,MATCH(N$6,'Albopictus Mortality'!$A$3:$AP$3,0)-1)</f>
        <v>1.2857142857142858</v>
      </c>
      <c r="O137" s="149">
        <f>SUMPRODUCT(O$153:O$192)/INDEX('Albopictus Mortality'!$A$3:$AP$52,MATCH("Control",'Albopictus Mortality'!$A$3:$A$52,0)+1,MATCH(O$6,'Albopictus Mortality'!$A$3:$AP$3,0)-1)</f>
        <v>5</v>
      </c>
      <c r="P137" s="149">
        <f>SUMPRODUCT(P$153:P$192)/INDEX('Albopictus Mortality'!$A$3:$AP$52,MATCH("Control",'Albopictus Mortality'!$A$3:$A$52,0)+1,MATCH(P$6,'Albopictus Mortality'!$A$3:$AP$3,0)-1)</f>
        <v>2.2222222222222223</v>
      </c>
      <c r="Q137" s="149">
        <f>SUMPRODUCT(Q$153:Q$192)/INDEX('Albopictus Mortality'!$A$3:$AP$52,MATCH("Control",'Albopictus Mortality'!$A$3:$A$52,0)+1,MATCH(Q$6,'Albopictus Mortality'!$A$3:$AP$3,0)-1)</f>
        <v>0</v>
      </c>
      <c r="R137" s="149">
        <f>SUMPRODUCT(R$153:R$192)/INDEX('Albopictus Mortality'!$A$3:$AP$52,MATCH("Control",'Albopictus Mortality'!$A$3:$A$52,0)+1,MATCH(R$6,'Albopictus Mortality'!$A$3:$AP$3,0)-1)</f>
        <v>8.8000000000000007</v>
      </c>
      <c r="S137" s="149">
        <f>SUMPRODUCT(S$153:S$192)/INDEX('Albopictus Mortality'!$A$3:$AP$52,MATCH("Control",'Albopictus Mortality'!$A$3:$A$52,0)+1,MATCH(S$6,'Albopictus Mortality'!$A$3:$AP$3,0)-1)</f>
        <v>0</v>
      </c>
      <c r="T137" s="149">
        <f>SUMPRODUCT(T$153:T$192)/INDEX('Albopictus Mortality'!$A$3:$AP$52,MATCH("Control",'Albopictus Mortality'!$A$3:$A$52,0)+1,MATCH(T$6,'Albopictus Mortality'!$A$3:$AP$3,0)-1)</f>
        <v>0</v>
      </c>
      <c r="U137" s="149">
        <f>SUMPRODUCT(U$153:U$192)/INDEX('Albopictus Mortality'!$A$3:$AP$52,MATCH("Control",'Albopictus Mortality'!$A$3:$A$52,0)+1,MATCH(U$6,'Albopictus Mortality'!$A$3:$AP$3,0)-1)</f>
        <v>0</v>
      </c>
      <c r="V137" s="149">
        <f>SUMPRODUCT(V$153:V$192)/INDEX('Albopictus Mortality'!$A$3:$AP$52,MATCH("Control",'Albopictus Mortality'!$A$3:$A$52,0)+1,MATCH(V$6,'Albopictus Mortality'!$A$3:$AP$3,0)-1)</f>
        <v>0</v>
      </c>
      <c r="W137" s="127"/>
      <c r="AZ137" s="43"/>
      <c r="BA137" s="149"/>
      <c r="BB137" s="149"/>
      <c r="BC137" s="149"/>
      <c r="BD137" s="153"/>
      <c r="BE137" s="153"/>
      <c r="BF137" s="153"/>
      <c r="BG137" s="153"/>
      <c r="BH137" s="153"/>
      <c r="BI137" s="153"/>
      <c r="BJ137" s="153"/>
      <c r="BK137" s="153"/>
      <c r="BL137" s="153"/>
      <c r="BM137" s="153"/>
      <c r="BN137" s="153"/>
      <c r="BO137" s="153"/>
      <c r="BP137" s="153"/>
      <c r="BQ137" s="153"/>
      <c r="BR137" s="153"/>
      <c r="BS137" s="153"/>
      <c r="CA137" s="127"/>
    </row>
    <row r="138" spans="1:79" x14ac:dyDescent="0.25">
      <c r="A138" s="402"/>
      <c r="B138" s="289" t="s">
        <v>143</v>
      </c>
      <c r="C138" s="229">
        <f>C136/C135%</f>
        <v>15</v>
      </c>
      <c r="D138" s="313" t="s">
        <v>140</v>
      </c>
      <c r="E138" s="149">
        <f t="array" ref="E138">IFERROR(SUM(IFERROR(E$153:E$192/$AA$153:$AA$192,0))/E$135,0)</f>
        <v>0</v>
      </c>
      <c r="F138" s="149">
        <f t="array" ref="F138">IFERROR(SUM(IFERROR(F$153:F$192/$AA$153:$AA$192,0))/F$135,0)</f>
        <v>0</v>
      </c>
      <c r="G138" s="149">
        <f t="array" ref="G138">IFERROR(SUM(IFERROR(G$153:G$192/$AA$153:$AA$192,0))/G$135,0)</f>
        <v>0</v>
      </c>
      <c r="H138" s="149">
        <f t="array" ref="H138">IFERROR(SUM(IFERROR(H$153:H$192/$AA$153:$AA$192,0))/H$135,0)</f>
        <v>0</v>
      </c>
      <c r="I138" s="149">
        <f t="array" ref="I138">IFERROR(SUM(IFERROR(I$153:I$192/$AA$153:$AA$192,0))/I$135,0)</f>
        <v>0</v>
      </c>
      <c r="J138" s="149">
        <f t="array" ref="J138">IFERROR(SUM(IFERROR(J$153:J$192/$AA$153:$AA$192,0))/J$135,0)</f>
        <v>0</v>
      </c>
      <c r="K138" s="149">
        <f t="array" ref="K138">IFERROR(SUM(IFERROR(K$153:K$192/$AA$153:$AA$192,0))/K$135,0)</f>
        <v>0</v>
      </c>
      <c r="L138" s="149">
        <f t="array" ref="L138">IFERROR(SUM(IFERROR(L$153:L$192/$AA$153:$AA$192,0))/L$135,0)</f>
        <v>0</v>
      </c>
      <c r="M138" s="149">
        <f t="array" ref="M138">IFERROR(SUM(IFERROR(M$153:M$192/$AA$153:$AA$192,0))/M$135,0)</f>
        <v>0</v>
      </c>
      <c r="N138" s="149">
        <f t="array" ref="N138">IFERROR(SUM(IFERROR(N$153:N$192/$AA$153:$AA$192,0))/N$135,0)</f>
        <v>0</v>
      </c>
      <c r="O138" s="149">
        <f t="array" ref="O138">IFERROR(SUM(IFERROR(O$153:O$192/$AA$153:$AA$192,0))/O$135,0)</f>
        <v>0</v>
      </c>
      <c r="P138" s="149">
        <f t="array" ref="P138">IFERROR(SUM(IFERROR(P$153:P$192/$AA$153:$AA$192,0))/P$135,0)</f>
        <v>0</v>
      </c>
      <c r="Q138" s="149">
        <f t="array" ref="Q138">IFERROR(SUM(IFERROR(Q$153:Q$192/$AA$153:$AA$192,0))/Q$135,0)</f>
        <v>0</v>
      </c>
      <c r="R138" s="149">
        <f t="array" ref="R138">IFERROR(SUM(IFERROR(R$153:R$192/$AA$153:$AA$192,0))/R$135,0)</f>
        <v>0</v>
      </c>
      <c r="S138" s="149">
        <f t="array" ref="S138">IFERROR(SUM(IFERROR(S$153:S$192/$AA$153:$AA$192,0))/S$135,0)</f>
        <v>0</v>
      </c>
      <c r="T138" s="149">
        <f t="array" ref="T138">IFERROR(SUM(IFERROR(T$153:T$192/$AA$153:$AA$192,0))/T$135,0)</f>
        <v>0</v>
      </c>
      <c r="U138" s="149">
        <f t="array" ref="U138">IFERROR(SUM(IFERROR(U$153:U$192/$AA$153:$AA$192,0))/U$135,0)</f>
        <v>0</v>
      </c>
      <c r="V138" s="149">
        <f t="array" ref="V138">IFERROR(SUM(IFERROR(V$153:V$192/$AA$153:$AA$192,0))/V$135,0)</f>
        <v>0</v>
      </c>
      <c r="W138" s="127"/>
      <c r="AZ138" s="43"/>
      <c r="BA138" s="149"/>
      <c r="BB138" s="149"/>
      <c r="BC138" s="149"/>
      <c r="BD138" s="153"/>
      <c r="BE138" s="153"/>
      <c r="BF138" s="153"/>
      <c r="BG138" s="153"/>
      <c r="BH138" s="153"/>
      <c r="BI138" s="153"/>
      <c r="BJ138" s="153"/>
      <c r="BK138" s="153"/>
      <c r="BL138" s="153"/>
      <c r="BM138" s="153"/>
      <c r="BN138" s="153"/>
      <c r="BO138" s="153"/>
      <c r="BP138" s="153"/>
      <c r="BQ138" s="153"/>
      <c r="BR138" s="153"/>
      <c r="BS138" s="153"/>
      <c r="CA138" s="127"/>
    </row>
    <row r="139" spans="1:79" ht="15.75" thickBot="1" x14ac:dyDescent="0.3">
      <c r="A139" s="403"/>
      <c r="B139" s="290" t="s">
        <v>184</v>
      </c>
      <c r="C139" s="339">
        <f t="array" ref="C139">SUM($E139:$V139/$C135)</f>
        <v>8.2750000000000004</v>
      </c>
      <c r="D139" s="338" t="s">
        <v>132</v>
      </c>
      <c r="E139" s="310">
        <f>SUMPRODUCT(E$153:E$192)</f>
        <v>0</v>
      </c>
      <c r="F139" s="310">
        <f t="shared" ref="F139:V139" si="101">SUMPRODUCT(F$153:F$192)</f>
        <v>0</v>
      </c>
      <c r="G139" s="310">
        <f t="shared" si="101"/>
        <v>0</v>
      </c>
      <c r="H139" s="310">
        <f t="shared" si="101"/>
        <v>0</v>
      </c>
      <c r="I139" s="310">
        <f t="shared" si="101"/>
        <v>170</v>
      </c>
      <c r="J139" s="310">
        <f t="shared" si="101"/>
        <v>0</v>
      </c>
      <c r="K139" s="310">
        <f t="shared" si="101"/>
        <v>24</v>
      </c>
      <c r="L139" s="310">
        <f t="shared" si="101"/>
        <v>0</v>
      </c>
      <c r="M139" s="310">
        <f t="shared" si="101"/>
        <v>0</v>
      </c>
      <c r="N139" s="310">
        <f t="shared" si="101"/>
        <v>18</v>
      </c>
      <c r="O139" s="310">
        <f t="shared" si="101"/>
        <v>55</v>
      </c>
      <c r="P139" s="310">
        <f t="shared" si="101"/>
        <v>20</v>
      </c>
      <c r="Q139" s="310">
        <f t="shared" si="101"/>
        <v>0</v>
      </c>
      <c r="R139" s="310">
        <f t="shared" si="101"/>
        <v>44</v>
      </c>
      <c r="S139" s="310">
        <f t="shared" si="101"/>
        <v>0</v>
      </c>
      <c r="T139" s="310">
        <f t="shared" si="101"/>
        <v>0</v>
      </c>
      <c r="U139" s="310">
        <f t="shared" si="101"/>
        <v>0</v>
      </c>
      <c r="V139" s="310">
        <f t="shared" si="101"/>
        <v>0</v>
      </c>
      <c r="W139" s="127">
        <f>SUM(E139:V139)</f>
        <v>331</v>
      </c>
      <c r="AZ139" s="43"/>
      <c r="BA139" s="149"/>
      <c r="BB139" s="149"/>
      <c r="BC139" s="149"/>
      <c r="BD139" s="153"/>
      <c r="BE139" s="153"/>
      <c r="BF139" s="153"/>
      <c r="BG139" s="153"/>
      <c r="BH139" s="153"/>
      <c r="BI139" s="153"/>
      <c r="BJ139" s="153"/>
      <c r="BK139" s="153"/>
      <c r="BL139" s="153"/>
      <c r="BM139" s="153"/>
      <c r="BN139" s="153"/>
      <c r="BO139" s="153"/>
      <c r="BP139" s="153"/>
      <c r="BQ139" s="153"/>
      <c r="BR139" s="153"/>
      <c r="BS139" s="153"/>
      <c r="CA139" s="127"/>
    </row>
    <row r="140" spans="1:79" x14ac:dyDescent="0.25">
      <c r="C140" s="149"/>
      <c r="D140" s="149"/>
      <c r="E140" s="149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W140" s="127"/>
      <c r="AZ140" s="43"/>
      <c r="BA140" s="149"/>
      <c r="BB140" s="149"/>
      <c r="BC140" s="149"/>
      <c r="BD140" s="153"/>
      <c r="BE140" s="153"/>
      <c r="BF140" s="153"/>
      <c r="BG140" s="153"/>
      <c r="BH140" s="153"/>
      <c r="BI140" s="153"/>
      <c r="BJ140" s="153"/>
      <c r="BK140" s="153"/>
      <c r="BL140" s="153"/>
      <c r="BM140" s="153"/>
      <c r="BN140" s="153"/>
      <c r="BO140" s="153"/>
      <c r="BP140" s="153"/>
      <c r="BQ140" s="153"/>
      <c r="BR140" s="153"/>
      <c r="BS140" s="153"/>
      <c r="CA140" s="127"/>
    </row>
    <row r="141" spans="1:79" x14ac:dyDescent="0.25">
      <c r="C141" s="149"/>
      <c r="D141" s="149"/>
      <c r="E141" s="149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W141" s="127"/>
      <c r="AZ141" s="43"/>
      <c r="BA141" s="149"/>
      <c r="BB141" s="149"/>
      <c r="BC141" s="149"/>
      <c r="BD141" s="153"/>
      <c r="BE141" s="153"/>
      <c r="BF141" s="153"/>
      <c r="BG141" s="153"/>
      <c r="BH141" s="153"/>
      <c r="BI141" s="153"/>
      <c r="BJ141" s="153"/>
      <c r="BK141" s="153"/>
      <c r="BL141" s="153"/>
      <c r="BM141" s="153"/>
      <c r="BN141" s="153"/>
      <c r="BO141" s="153"/>
      <c r="BP141" s="153"/>
      <c r="BQ141" s="153"/>
      <c r="BR141" s="153"/>
      <c r="BS141" s="153"/>
      <c r="CA141" s="127"/>
    </row>
    <row r="142" spans="1:79" x14ac:dyDescent="0.25">
      <c r="C142" s="149"/>
      <c r="D142" s="149"/>
      <c r="E142" s="149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W142" s="127"/>
      <c r="AZ142" s="43"/>
      <c r="BA142" s="149"/>
      <c r="BB142" s="149"/>
      <c r="BC142" s="149"/>
      <c r="BD142" s="153"/>
      <c r="BE142" s="153"/>
      <c r="BF142" s="153"/>
      <c r="BG142" s="153"/>
      <c r="BH142" s="153"/>
      <c r="BI142" s="153"/>
      <c r="BJ142" s="153"/>
      <c r="BK142" s="153"/>
      <c r="BL142" s="153"/>
      <c r="BM142" s="153"/>
      <c r="BN142" s="153"/>
      <c r="BO142" s="153"/>
      <c r="BP142" s="153"/>
      <c r="BQ142" s="153"/>
      <c r="BR142" s="153"/>
      <c r="BS142" s="153"/>
      <c r="CA142" s="127"/>
    </row>
    <row r="143" spans="1:79" x14ac:dyDescent="0.25">
      <c r="C143" s="149"/>
      <c r="D143" s="149"/>
      <c r="E143" s="149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W143" s="127"/>
      <c r="AZ143" s="43"/>
      <c r="BA143" s="149"/>
      <c r="BB143" s="149"/>
      <c r="BC143" s="149"/>
      <c r="BD143" s="153"/>
      <c r="BE143" s="153"/>
      <c r="BF143" s="153"/>
      <c r="BG143" s="153"/>
      <c r="BH143" s="153"/>
      <c r="BI143" s="153"/>
      <c r="BJ143" s="153"/>
      <c r="BK143" s="153"/>
      <c r="BL143" s="153"/>
      <c r="BM143" s="153"/>
      <c r="BN143" s="153"/>
      <c r="BO143" s="153"/>
      <c r="BP143" s="153"/>
      <c r="BQ143" s="153"/>
      <c r="BR143" s="153"/>
      <c r="BS143" s="153"/>
      <c r="CA143" s="127"/>
    </row>
    <row r="144" spans="1:79" x14ac:dyDescent="0.25">
      <c r="C144" s="149"/>
      <c r="D144" s="149"/>
      <c r="E144" s="149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W144" s="127"/>
      <c r="AZ144" s="43"/>
      <c r="BA144" s="149"/>
      <c r="BB144" s="149"/>
      <c r="BC144" s="149"/>
      <c r="BD144" s="153"/>
      <c r="BE144" s="153"/>
      <c r="BF144" s="153"/>
      <c r="BG144" s="153"/>
      <c r="BH144" s="153"/>
      <c r="BI144" s="153"/>
      <c r="BJ144" s="153"/>
      <c r="BK144" s="153"/>
      <c r="BL144" s="153"/>
      <c r="BM144" s="153"/>
      <c r="BN144" s="153"/>
      <c r="BO144" s="153"/>
      <c r="BP144" s="153"/>
      <c r="BQ144" s="153"/>
      <c r="BR144" s="153"/>
      <c r="BS144" s="153"/>
      <c r="CA144" s="127"/>
    </row>
    <row r="145" spans="3:80" x14ac:dyDescent="0.25">
      <c r="C145" s="149"/>
      <c r="D145" s="149"/>
      <c r="E145" s="149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W145" s="127"/>
      <c r="AZ145" s="43"/>
      <c r="BA145" s="149"/>
      <c r="BB145" s="149"/>
      <c r="BC145" s="149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3"/>
      <c r="BO145" s="153"/>
      <c r="BP145" s="153"/>
      <c r="BQ145" s="153"/>
      <c r="BR145" s="153"/>
      <c r="BS145" s="153"/>
      <c r="CA145" s="127"/>
    </row>
    <row r="146" spans="3:80" x14ac:dyDescent="0.25">
      <c r="C146" s="149"/>
      <c r="D146" s="149"/>
      <c r="E146" s="149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W146" s="127"/>
      <c r="AZ146" s="43"/>
      <c r="BA146" s="149"/>
      <c r="BB146" s="149"/>
      <c r="BC146" s="149"/>
      <c r="BD146" s="153"/>
      <c r="BE146" s="153"/>
      <c r="BF146" s="153"/>
      <c r="BG146" s="153"/>
      <c r="BH146" s="153"/>
      <c r="BI146" s="153"/>
      <c r="BJ146" s="153"/>
      <c r="BK146" s="153"/>
      <c r="BL146" s="153"/>
      <c r="BM146" s="153"/>
      <c r="BN146" s="153"/>
      <c r="BO146" s="153"/>
      <c r="BP146" s="153"/>
      <c r="BQ146" s="153"/>
      <c r="BR146" s="153"/>
      <c r="BS146" s="153"/>
      <c r="CA146" s="127"/>
    </row>
    <row r="147" spans="3:80" x14ac:dyDescent="0.25">
      <c r="C147" s="149"/>
      <c r="D147" s="149"/>
      <c r="E147" s="149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W147" s="127"/>
      <c r="X147" t="s">
        <v>97</v>
      </c>
      <c r="AZ147" s="43"/>
      <c r="BA147" s="149"/>
      <c r="BB147" s="149"/>
      <c r="BC147" s="149"/>
      <c r="BD147" s="153"/>
      <c r="BE147" s="153"/>
      <c r="BF147" s="153"/>
      <c r="BG147" s="153"/>
      <c r="BH147" s="153"/>
      <c r="BI147" s="153"/>
      <c r="BJ147" s="153"/>
      <c r="BK147" s="153"/>
      <c r="BL147" s="153"/>
      <c r="BM147" s="153"/>
      <c r="BN147" s="153"/>
      <c r="BO147" s="153"/>
      <c r="BP147" s="153"/>
      <c r="BQ147" s="153"/>
      <c r="BR147" s="153"/>
      <c r="BS147" s="153"/>
      <c r="BW147" t="s">
        <v>91</v>
      </c>
      <c r="BY147">
        <f>BY108/100%</f>
        <v>30</v>
      </c>
      <c r="CA147" s="127" t="s">
        <v>96</v>
      </c>
      <c r="CB147">
        <f>COUNTIF(CB7:CB107,TRUE)</f>
        <v>0</v>
      </c>
    </row>
    <row r="148" spans="3:80" x14ac:dyDescent="0.25">
      <c r="C148" s="149"/>
      <c r="D148" s="149"/>
      <c r="E148" s="149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W148" s="127"/>
      <c r="AZ148" s="43"/>
      <c r="BA148" s="149"/>
      <c r="BB148" s="149"/>
      <c r="BC148" s="149"/>
      <c r="BD148" s="153"/>
      <c r="BE148" s="153"/>
      <c r="BF148" s="153"/>
      <c r="BG148" s="153"/>
      <c r="BH148" s="153"/>
      <c r="BI148" s="153"/>
      <c r="BJ148" s="153"/>
      <c r="BK148" s="153"/>
      <c r="BL148" s="153"/>
      <c r="BM148" s="153"/>
      <c r="BN148" s="153"/>
      <c r="BO148" s="153"/>
      <c r="BP148" s="153"/>
      <c r="BQ148" s="153"/>
      <c r="BR148" s="153"/>
      <c r="BS148" s="153"/>
      <c r="BW148" t="s">
        <v>90</v>
      </c>
      <c r="BY148">
        <v>21.1</v>
      </c>
      <c r="CA148" s="127"/>
    </row>
    <row r="149" spans="3:80" x14ac:dyDescent="0.25">
      <c r="C149" s="149"/>
      <c r="D149" s="149"/>
      <c r="E149" s="149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W149" s="127"/>
      <c r="AZ149" s="43"/>
      <c r="BA149" s="149"/>
      <c r="BB149" s="149"/>
      <c r="BC149" s="149"/>
      <c r="BD149" s="153"/>
      <c r="BE149" s="153"/>
      <c r="BF149" s="153"/>
      <c r="BG149" s="153"/>
      <c r="BH149" s="153"/>
      <c r="BI149" s="153"/>
      <c r="BJ149" s="153"/>
      <c r="BK149" s="153"/>
      <c r="BL149" s="153"/>
      <c r="BM149" s="153"/>
      <c r="BN149" s="153"/>
      <c r="BO149" s="153"/>
      <c r="BP149" s="153"/>
      <c r="BQ149" s="153"/>
      <c r="BR149" s="153"/>
      <c r="BS149" s="153"/>
      <c r="CA149" s="127"/>
    </row>
    <row r="150" spans="3:80" x14ac:dyDescent="0.25">
      <c r="C150" s="149"/>
      <c r="D150" s="149"/>
      <c r="E150" s="149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W150" s="127"/>
      <c r="AZ150" s="43"/>
      <c r="BA150" s="149"/>
      <c r="BB150" s="149"/>
      <c r="BC150" s="149"/>
      <c r="BD150" s="153"/>
      <c r="BE150" s="153"/>
      <c r="BF150" s="153"/>
      <c r="BG150" s="153"/>
      <c r="BH150" s="153"/>
      <c r="BI150" s="153"/>
      <c r="BJ150" s="153"/>
      <c r="BK150" s="153"/>
      <c r="BL150" s="153"/>
      <c r="BM150" s="153"/>
      <c r="BN150" s="153"/>
      <c r="BO150" s="153"/>
      <c r="BP150" s="153"/>
      <c r="BQ150" s="153"/>
      <c r="BR150" s="153"/>
      <c r="BS150" s="153"/>
      <c r="CA150" s="127"/>
    </row>
    <row r="151" spans="3:80" x14ac:dyDescent="0.25">
      <c r="C151" s="42" t="s">
        <v>15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2"/>
      <c r="W151" s="127"/>
      <c r="AD151" t="s">
        <v>9</v>
      </c>
      <c r="AZ151" s="236"/>
      <c r="BA151" s="221" t="s">
        <v>15</v>
      </c>
      <c r="BB151" s="245"/>
      <c r="BC151" s="245"/>
      <c r="BD151" s="245"/>
      <c r="BE151" s="245"/>
      <c r="BF151" s="245"/>
      <c r="BG151" s="245"/>
      <c r="BH151" s="245"/>
      <c r="BI151" s="245"/>
      <c r="BJ151" s="245"/>
      <c r="BK151" s="245"/>
      <c r="BL151" s="245"/>
      <c r="BM151" s="245"/>
      <c r="BN151" s="245"/>
      <c r="BO151" s="245"/>
      <c r="BP151" s="245"/>
      <c r="BQ151" s="245"/>
      <c r="BR151" s="245"/>
      <c r="BS151" s="245"/>
      <c r="BT151" s="245"/>
      <c r="BU151" s="245"/>
      <c r="BV151" s="245"/>
      <c r="BW151" s="245"/>
      <c r="BX151" s="245"/>
      <c r="BY151" s="245"/>
      <c r="BZ151" s="221"/>
      <c r="CA151" s="232"/>
      <c r="CB151" s="212"/>
    </row>
    <row r="152" spans="3:80" x14ac:dyDescent="0.25">
      <c r="C152" s="128"/>
      <c r="W152" s="127" t="s">
        <v>162</v>
      </c>
      <c r="X152" t="s">
        <v>97</v>
      </c>
      <c r="Y152" t="s">
        <v>180</v>
      </c>
      <c r="AD152" t="s">
        <v>166</v>
      </c>
      <c r="AG152" t="s">
        <v>72</v>
      </c>
      <c r="AH152" t="s">
        <v>161</v>
      </c>
      <c r="AJ152" t="s">
        <v>177</v>
      </c>
      <c r="AM152" t="s">
        <v>72</v>
      </c>
      <c r="AN152" t="s">
        <v>161</v>
      </c>
      <c r="AP152" t="s">
        <v>179</v>
      </c>
      <c r="AZ152" s="134"/>
      <c r="BA152" s="128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127"/>
      <c r="CB152" s="128"/>
    </row>
    <row r="153" spans="3:80" x14ac:dyDescent="0.25">
      <c r="C153" s="208">
        <v>1</v>
      </c>
      <c r="D153" s="54"/>
      <c r="E153" s="54"/>
      <c r="W153" s="127">
        <f t="shared" ref="W153:W193" si="102">SUM(D153:V153)</f>
        <v>0</v>
      </c>
      <c r="X153">
        <f t="shared" ref="X153:X192" si="103">COUNTIF(D153:V153,"&gt;"&amp;0)</f>
        <v>0</v>
      </c>
      <c r="Y153">
        <f>IFERROR(LARGE(D153:V153,1),0)</f>
        <v>0</v>
      </c>
      <c r="AD153" s="328">
        <v>1</v>
      </c>
      <c r="AE153" s="100">
        <v>0</v>
      </c>
      <c r="AF153" s="212"/>
      <c r="AG153">
        <f>SUM(AE153:AF153)</f>
        <v>0</v>
      </c>
      <c r="AH153">
        <f>COUNTIF(AE153:AF153,"&gt;"&amp;0)</f>
        <v>0</v>
      </c>
      <c r="AJ153" s="331">
        <v>1</v>
      </c>
      <c r="AK153" s="232" t="str">
        <f t="shared" ref="AK153:AK192" si="104">IFERROR(LARGE($D153:$V153,COLUMN(C:C)),"")</f>
        <v/>
      </c>
      <c r="AL153" s="100" t="str">
        <f t="shared" ref="AL153:AL192" si="105">IFERROR(LARGE($D153:$V153,COLUMN(D:D)),"")</f>
        <v/>
      </c>
      <c r="AM153" s="127">
        <f>SUM(AK153:AL153)</f>
        <v>0</v>
      </c>
      <c r="AN153">
        <f>COUNTIF(AK153:AL153,"&gt;"&amp;0)</f>
        <v>0</v>
      </c>
      <c r="AP153">
        <f>AN153-AH153</f>
        <v>0</v>
      </c>
      <c r="AZ153" s="134" t="str">
        <f t="shared" ref="AZ153:AZ193" si="106">IFERROR(LARGE(D153:V153,1),"")</f>
        <v/>
      </c>
      <c r="BA153" s="208">
        <v>1</v>
      </c>
      <c r="BB153" s="54" t="str">
        <f t="shared" ref="BB153:BB193" si="107">IFERROR(D153/$AZ153,"")</f>
        <v/>
      </c>
      <c r="BC153" s="54" t="str">
        <f t="shared" ref="BC153:BC193" si="108">IFERROR(E153/$AZ153,"")</f>
        <v/>
      </c>
      <c r="BD153" s="43" t="str">
        <f t="shared" ref="BD153:BD193" si="109">IFERROR(F153/$AZ153,"")</f>
        <v/>
      </c>
      <c r="BE153" s="43" t="str">
        <f t="shared" ref="BE153:BE193" si="110">IFERROR(G153/$AZ153,"")</f>
        <v/>
      </c>
      <c r="BF153" s="43" t="str">
        <f t="shared" ref="BF153:BF193" si="111">IFERROR(H153/$AZ153,"")</f>
        <v/>
      </c>
      <c r="BG153" s="43" t="str">
        <f t="shared" ref="BG153:BG193" si="112">IFERROR(I153/$AZ153,"")</f>
        <v/>
      </c>
      <c r="BH153" s="43" t="str">
        <f t="shared" ref="BH153:BH193" si="113">IFERROR(J153/$AZ153,"")</f>
        <v/>
      </c>
      <c r="BI153" s="43" t="str">
        <f>IFERROR(#REF!/$AZ153,"")</f>
        <v/>
      </c>
      <c r="BJ153" s="43" t="str">
        <f>IFERROR(#REF!/$AZ153,"")</f>
        <v/>
      </c>
      <c r="BK153" s="43" t="str">
        <f t="shared" ref="BK153:BK193" si="114">IFERROR(K153/$AZ153,"")</f>
        <v/>
      </c>
      <c r="BL153" s="43" t="str">
        <f t="shared" ref="BL153:BL193" si="115">IFERROR(L153/$AZ153,"")</f>
        <v/>
      </c>
      <c r="BM153" s="43" t="str">
        <f t="shared" ref="BM153:BM193" si="116">IFERROR(M153/$AZ153,"")</f>
        <v/>
      </c>
      <c r="BN153" s="43" t="str">
        <f t="shared" ref="BN153:BN193" si="117">IFERROR(N153/$AZ153,"")</f>
        <v/>
      </c>
      <c r="BO153" s="43" t="str">
        <f t="shared" ref="BO153:BO193" si="118">IFERROR(O153/$AZ153,"")</f>
        <v/>
      </c>
      <c r="BP153" s="43" t="str">
        <f>IFERROR(#REF!/$AZ153,"")</f>
        <v/>
      </c>
      <c r="BQ153" s="43" t="str">
        <f>IFERROR(#REF!/$AZ153,"")</f>
        <v/>
      </c>
      <c r="BR153" s="43" t="str">
        <f t="shared" ref="BR153:BR193" si="119">IFERROR(P153/$AZ153,"")</f>
        <v/>
      </c>
      <c r="BS153" s="43" t="str">
        <f t="shared" ref="BS153:BS193" si="120">IFERROR(Q153/$AZ153,"")</f>
        <v/>
      </c>
      <c r="BT153" s="43" t="str">
        <f t="shared" ref="BT153:BT193" si="121">IFERROR(R153/$AZ153,"")</f>
        <v/>
      </c>
      <c r="BU153" s="43" t="str">
        <f t="shared" ref="BU153:BU193" si="122">IFERROR(S153/$AZ153,"")</f>
        <v/>
      </c>
      <c r="BV153" s="43" t="str">
        <f t="shared" ref="BV153:BV193" si="123">IFERROR(T153/$AZ153,"")</f>
        <v/>
      </c>
      <c r="BW153" s="43" t="str">
        <f>IFERROR(#REF!/$AZ153,"")</f>
        <v/>
      </c>
      <c r="BX153" s="43" t="str">
        <f>IFERROR(#REF!/$AZ153,"")</f>
        <v/>
      </c>
      <c r="BY153" s="43" t="str">
        <f>IFERROR(U153/$AZ153,"")</f>
        <v/>
      </c>
      <c r="BZ153" s="43" t="str">
        <f>IFERROR(V153/$AZ153,"")</f>
        <v/>
      </c>
      <c r="CA153" s="127" t="str">
        <f t="shared" ref="CA153:CA193" si="124">IFERROR(W153/$AZ153,"")</f>
        <v/>
      </c>
      <c r="CB153" s="128" t="str">
        <f>IFERROR(AND(IF(LARGE(BB153:BZ153,1)&gt;0,TRUE,FALSE),IF(LARGE(BB153:BZ153,2)&gt;0,FALSE,TRUE)),"")</f>
        <v/>
      </c>
    </row>
    <row r="154" spans="3:80" x14ac:dyDescent="0.25">
      <c r="C154" s="208">
        <v>2</v>
      </c>
      <c r="D154" s="54"/>
      <c r="E154" s="54"/>
      <c r="W154" s="127">
        <f t="shared" si="102"/>
        <v>0</v>
      </c>
      <c r="X154">
        <f t="shared" si="103"/>
        <v>0</v>
      </c>
      <c r="Y154">
        <f t="shared" ref="Y154:Y192" si="125">IFERROR(LARGE(D154:V154,1),0)</f>
        <v>0</v>
      </c>
      <c r="AD154" s="329">
        <v>2</v>
      </c>
      <c r="AE154" s="43">
        <v>0</v>
      </c>
      <c r="AF154" s="128"/>
      <c r="AG154">
        <f t="shared" ref="AG154:AG192" si="126">SUM(AE154:AF154)</f>
        <v>0</v>
      </c>
      <c r="AH154">
        <f t="shared" ref="AH154:AH192" si="127">COUNTIF(AE154:AF154,"&gt;"&amp;0)</f>
        <v>0</v>
      </c>
      <c r="AJ154" s="332">
        <v>2</v>
      </c>
      <c r="AK154" s="127" t="str">
        <f t="shared" si="104"/>
        <v/>
      </c>
      <c r="AL154" s="43" t="str">
        <f t="shared" si="105"/>
        <v/>
      </c>
      <c r="AM154" s="127">
        <f t="shared" ref="AM154:AM192" si="128">SUM(AK154:AL154)</f>
        <v>0</v>
      </c>
      <c r="AN154">
        <f t="shared" ref="AN154:AN192" si="129">COUNTIF(AK154:AL154,"&gt;"&amp;0)</f>
        <v>0</v>
      </c>
      <c r="AP154">
        <f t="shared" ref="AP154:AP192" si="130">AN154-AH154</f>
        <v>0</v>
      </c>
      <c r="AZ154" s="134" t="str">
        <f t="shared" si="106"/>
        <v/>
      </c>
      <c r="BA154" s="208">
        <v>2</v>
      </c>
      <c r="BB154" s="54" t="str">
        <f t="shared" si="107"/>
        <v/>
      </c>
      <c r="BC154" s="54" t="str">
        <f t="shared" si="108"/>
        <v/>
      </c>
      <c r="BD154" s="43" t="str">
        <f t="shared" si="109"/>
        <v/>
      </c>
      <c r="BE154" s="43" t="str">
        <f t="shared" si="110"/>
        <v/>
      </c>
      <c r="BF154" s="43" t="str">
        <f t="shared" si="111"/>
        <v/>
      </c>
      <c r="BG154" s="43" t="str">
        <f t="shared" si="112"/>
        <v/>
      </c>
      <c r="BH154" s="43" t="str">
        <f t="shared" si="113"/>
        <v/>
      </c>
      <c r="BI154" s="43" t="str">
        <f>IFERROR(#REF!/$AZ154,"")</f>
        <v/>
      </c>
      <c r="BJ154" s="43" t="str">
        <f>IFERROR(#REF!/$AZ154,"")</f>
        <v/>
      </c>
      <c r="BK154" s="43" t="str">
        <f t="shared" si="114"/>
        <v/>
      </c>
      <c r="BL154" s="43" t="str">
        <f t="shared" si="115"/>
        <v/>
      </c>
      <c r="BM154" s="43" t="str">
        <f t="shared" si="116"/>
        <v/>
      </c>
      <c r="BN154" s="43" t="str">
        <f t="shared" si="117"/>
        <v/>
      </c>
      <c r="BO154" s="43" t="str">
        <f t="shared" si="118"/>
        <v/>
      </c>
      <c r="BP154" s="43" t="str">
        <f>IFERROR(#REF!/$AZ154,"")</f>
        <v/>
      </c>
      <c r="BQ154" s="43" t="str">
        <f>IFERROR(#REF!/$AZ154,"")</f>
        <v/>
      </c>
      <c r="BR154" s="43" t="str">
        <f t="shared" si="119"/>
        <v/>
      </c>
      <c r="BS154" s="43" t="str">
        <f t="shared" si="120"/>
        <v/>
      </c>
      <c r="BT154" s="43" t="str">
        <f t="shared" si="121"/>
        <v/>
      </c>
      <c r="BU154" s="43" t="str">
        <f t="shared" si="122"/>
        <v/>
      </c>
      <c r="BV154" s="43" t="str">
        <f t="shared" si="123"/>
        <v/>
      </c>
      <c r="BW154" s="43" t="str">
        <f>IFERROR(#REF!/$AZ154,"")</f>
        <v/>
      </c>
      <c r="BX154" s="43" t="str">
        <f>IFERROR(#REF!/$AZ154,"")</f>
        <v/>
      </c>
      <c r="BY154" s="43" t="str">
        <f t="shared" ref="BY154:BY193" si="131">IFERROR(U154/$AZ154,"")</f>
        <v/>
      </c>
      <c r="BZ154" s="43" t="str">
        <f t="shared" ref="BZ154:BZ193" si="132">IFERROR(V154/$AZ154,"")</f>
        <v/>
      </c>
      <c r="CA154" s="127" t="str">
        <f t="shared" si="124"/>
        <v/>
      </c>
      <c r="CB154" s="128" t="str">
        <f t="shared" ref="CB154:CB192" si="133">IFERROR(AND(IF(LARGE(BB154:BZ154,1)&gt;0,TRUE,FALSE),IF(LARGE(BB154:BZ154,2)&gt;0,FALSE,TRUE)),"")</f>
        <v/>
      </c>
    </row>
    <row r="155" spans="3:80" x14ac:dyDescent="0.25">
      <c r="C155" s="208">
        <v>3</v>
      </c>
      <c r="D155" s="54"/>
      <c r="E155" s="54"/>
      <c r="W155" s="127">
        <f t="shared" si="102"/>
        <v>0</v>
      </c>
      <c r="X155">
        <f t="shared" si="103"/>
        <v>0</v>
      </c>
      <c r="Y155">
        <f t="shared" si="125"/>
        <v>0</v>
      </c>
      <c r="AD155" s="329">
        <v>3</v>
      </c>
      <c r="AE155" s="43">
        <v>0</v>
      </c>
      <c r="AF155" s="128"/>
      <c r="AG155">
        <f t="shared" si="126"/>
        <v>0</v>
      </c>
      <c r="AH155">
        <f t="shared" si="127"/>
        <v>0</v>
      </c>
      <c r="AJ155" s="332">
        <v>3</v>
      </c>
      <c r="AK155" s="127" t="str">
        <f t="shared" si="104"/>
        <v/>
      </c>
      <c r="AL155" s="43" t="str">
        <f t="shared" si="105"/>
        <v/>
      </c>
      <c r="AM155" s="127">
        <f t="shared" si="128"/>
        <v>0</v>
      </c>
      <c r="AN155">
        <f t="shared" si="129"/>
        <v>0</v>
      </c>
      <c r="AP155">
        <f t="shared" si="130"/>
        <v>0</v>
      </c>
      <c r="AZ155" s="134" t="str">
        <f t="shared" si="106"/>
        <v/>
      </c>
      <c r="BA155" s="208">
        <v>3</v>
      </c>
      <c r="BB155" s="54" t="str">
        <f t="shared" si="107"/>
        <v/>
      </c>
      <c r="BC155" s="54" t="str">
        <f t="shared" si="108"/>
        <v/>
      </c>
      <c r="BD155" s="43" t="str">
        <f t="shared" si="109"/>
        <v/>
      </c>
      <c r="BE155" s="43" t="str">
        <f t="shared" si="110"/>
        <v/>
      </c>
      <c r="BF155" s="43" t="str">
        <f t="shared" si="111"/>
        <v/>
      </c>
      <c r="BG155" s="43" t="str">
        <f t="shared" si="112"/>
        <v/>
      </c>
      <c r="BH155" s="43" t="str">
        <f t="shared" si="113"/>
        <v/>
      </c>
      <c r="BI155" s="43" t="str">
        <f>IFERROR(#REF!/$AZ155,"")</f>
        <v/>
      </c>
      <c r="BJ155" s="43" t="str">
        <f>IFERROR(#REF!/$AZ155,"")</f>
        <v/>
      </c>
      <c r="BK155" s="43" t="str">
        <f t="shared" si="114"/>
        <v/>
      </c>
      <c r="BL155" s="43" t="str">
        <f t="shared" si="115"/>
        <v/>
      </c>
      <c r="BM155" s="43" t="str">
        <f t="shared" si="116"/>
        <v/>
      </c>
      <c r="BN155" s="43" t="str">
        <f t="shared" si="117"/>
        <v/>
      </c>
      <c r="BO155" s="43" t="str">
        <f t="shared" si="118"/>
        <v/>
      </c>
      <c r="BP155" s="43" t="str">
        <f>IFERROR(#REF!/$AZ155,"")</f>
        <v/>
      </c>
      <c r="BQ155" s="43" t="str">
        <f>IFERROR(#REF!/$AZ155,"")</f>
        <v/>
      </c>
      <c r="BR155" s="43" t="str">
        <f t="shared" si="119"/>
        <v/>
      </c>
      <c r="BS155" s="43" t="str">
        <f t="shared" si="120"/>
        <v/>
      </c>
      <c r="BT155" s="43" t="str">
        <f t="shared" si="121"/>
        <v/>
      </c>
      <c r="BU155" s="43" t="str">
        <f t="shared" si="122"/>
        <v/>
      </c>
      <c r="BV155" s="43" t="str">
        <f t="shared" si="123"/>
        <v/>
      </c>
      <c r="BW155" s="43" t="str">
        <f>IFERROR(#REF!/$AZ155,"")</f>
        <v/>
      </c>
      <c r="BX155" s="43" t="str">
        <f>IFERROR(#REF!/$AZ155,"")</f>
        <v/>
      </c>
      <c r="BY155" s="43" t="str">
        <f t="shared" si="131"/>
        <v/>
      </c>
      <c r="BZ155" s="43" t="str">
        <f t="shared" si="132"/>
        <v/>
      </c>
      <c r="CA155" s="127" t="str">
        <f t="shared" si="124"/>
        <v/>
      </c>
      <c r="CB155" s="128" t="str">
        <f t="shared" si="133"/>
        <v/>
      </c>
    </row>
    <row r="156" spans="3:80" x14ac:dyDescent="0.25">
      <c r="C156" s="208">
        <v>4</v>
      </c>
      <c r="D156" s="54"/>
      <c r="E156" s="54"/>
      <c r="W156" s="127">
        <f t="shared" si="102"/>
        <v>0</v>
      </c>
      <c r="X156">
        <f t="shared" si="103"/>
        <v>0</v>
      </c>
      <c r="Y156">
        <f t="shared" si="125"/>
        <v>0</v>
      </c>
      <c r="AD156" s="329">
        <v>4</v>
      </c>
      <c r="AE156" s="43">
        <v>0</v>
      </c>
      <c r="AF156" s="128"/>
      <c r="AG156">
        <f t="shared" si="126"/>
        <v>0</v>
      </c>
      <c r="AH156">
        <f t="shared" si="127"/>
        <v>0</v>
      </c>
      <c r="AJ156" s="332">
        <v>4</v>
      </c>
      <c r="AK156" s="127" t="str">
        <f t="shared" si="104"/>
        <v/>
      </c>
      <c r="AL156" s="43" t="str">
        <f t="shared" si="105"/>
        <v/>
      </c>
      <c r="AM156" s="127">
        <f t="shared" si="128"/>
        <v>0</v>
      </c>
      <c r="AN156">
        <f t="shared" si="129"/>
        <v>0</v>
      </c>
      <c r="AP156">
        <f t="shared" si="130"/>
        <v>0</v>
      </c>
      <c r="AZ156" s="134" t="str">
        <f t="shared" si="106"/>
        <v/>
      </c>
      <c r="BA156" s="208">
        <v>4</v>
      </c>
      <c r="BB156" s="54" t="str">
        <f t="shared" si="107"/>
        <v/>
      </c>
      <c r="BC156" s="54" t="str">
        <f t="shared" si="108"/>
        <v/>
      </c>
      <c r="BD156" s="43" t="str">
        <f t="shared" si="109"/>
        <v/>
      </c>
      <c r="BE156" s="43" t="str">
        <f t="shared" si="110"/>
        <v/>
      </c>
      <c r="BF156" s="43" t="str">
        <f t="shared" si="111"/>
        <v/>
      </c>
      <c r="BG156" s="43" t="str">
        <f t="shared" si="112"/>
        <v/>
      </c>
      <c r="BH156" s="43" t="str">
        <f t="shared" si="113"/>
        <v/>
      </c>
      <c r="BI156" s="43" t="str">
        <f>IFERROR(#REF!/$AZ156,"")</f>
        <v/>
      </c>
      <c r="BJ156" s="43" t="str">
        <f>IFERROR(#REF!/$AZ156,"")</f>
        <v/>
      </c>
      <c r="BK156" s="43" t="str">
        <f t="shared" si="114"/>
        <v/>
      </c>
      <c r="BL156" s="43" t="str">
        <f t="shared" si="115"/>
        <v/>
      </c>
      <c r="BM156" s="43" t="str">
        <f t="shared" si="116"/>
        <v/>
      </c>
      <c r="BN156" s="43" t="str">
        <f t="shared" si="117"/>
        <v/>
      </c>
      <c r="BO156" s="43" t="str">
        <f t="shared" si="118"/>
        <v/>
      </c>
      <c r="BP156" s="43" t="str">
        <f>IFERROR(#REF!/$AZ156,"")</f>
        <v/>
      </c>
      <c r="BQ156" s="43" t="str">
        <f>IFERROR(#REF!/$AZ156,"")</f>
        <v/>
      </c>
      <c r="BR156" s="43" t="str">
        <f t="shared" si="119"/>
        <v/>
      </c>
      <c r="BS156" s="43" t="str">
        <f t="shared" si="120"/>
        <v/>
      </c>
      <c r="BT156" s="43" t="str">
        <f t="shared" si="121"/>
        <v/>
      </c>
      <c r="BU156" s="43" t="str">
        <f t="shared" si="122"/>
        <v/>
      </c>
      <c r="BV156" s="43" t="str">
        <f t="shared" si="123"/>
        <v/>
      </c>
      <c r="BW156" s="43" t="str">
        <f>IFERROR(#REF!/$AZ156,"")</f>
        <v/>
      </c>
      <c r="BX156" s="43" t="str">
        <f>IFERROR(#REF!/$AZ156,"")</f>
        <v/>
      </c>
      <c r="BY156" s="43" t="str">
        <f t="shared" si="131"/>
        <v/>
      </c>
      <c r="BZ156" s="43" t="str">
        <f t="shared" si="132"/>
        <v/>
      </c>
      <c r="CA156" s="127" t="str">
        <f t="shared" si="124"/>
        <v/>
      </c>
      <c r="CB156" s="128" t="str">
        <f t="shared" si="133"/>
        <v/>
      </c>
    </row>
    <row r="157" spans="3:80" x14ac:dyDescent="0.25">
      <c r="C157" s="208">
        <v>5</v>
      </c>
      <c r="D157" s="54"/>
      <c r="E157" s="54"/>
      <c r="W157" s="127">
        <f t="shared" si="102"/>
        <v>0</v>
      </c>
      <c r="X157">
        <f t="shared" si="103"/>
        <v>0</v>
      </c>
      <c r="Y157">
        <f t="shared" si="125"/>
        <v>0</v>
      </c>
      <c r="AD157" s="329">
        <v>5</v>
      </c>
      <c r="AE157" s="43">
        <v>0</v>
      </c>
      <c r="AF157" s="128"/>
      <c r="AG157">
        <f t="shared" si="126"/>
        <v>0</v>
      </c>
      <c r="AH157">
        <f t="shared" si="127"/>
        <v>0</v>
      </c>
      <c r="AJ157" s="332">
        <v>5</v>
      </c>
      <c r="AK157" s="127" t="str">
        <f t="shared" si="104"/>
        <v/>
      </c>
      <c r="AL157" s="43" t="str">
        <f t="shared" si="105"/>
        <v/>
      </c>
      <c r="AM157" s="127">
        <f t="shared" si="128"/>
        <v>0</v>
      </c>
      <c r="AN157">
        <f t="shared" si="129"/>
        <v>0</v>
      </c>
      <c r="AP157">
        <f t="shared" si="130"/>
        <v>0</v>
      </c>
      <c r="AZ157" s="134" t="str">
        <f t="shared" si="106"/>
        <v/>
      </c>
      <c r="BA157" s="208">
        <v>5</v>
      </c>
      <c r="BB157" s="54" t="str">
        <f t="shared" si="107"/>
        <v/>
      </c>
      <c r="BC157" s="54" t="str">
        <f t="shared" si="108"/>
        <v/>
      </c>
      <c r="BD157" s="43" t="str">
        <f t="shared" si="109"/>
        <v/>
      </c>
      <c r="BE157" s="43" t="str">
        <f t="shared" si="110"/>
        <v/>
      </c>
      <c r="BF157" s="43" t="str">
        <f t="shared" si="111"/>
        <v/>
      </c>
      <c r="BG157" s="43" t="str">
        <f t="shared" si="112"/>
        <v/>
      </c>
      <c r="BH157" s="43" t="str">
        <f t="shared" si="113"/>
        <v/>
      </c>
      <c r="BI157" s="43" t="str">
        <f>IFERROR(#REF!/$AZ157,"")</f>
        <v/>
      </c>
      <c r="BJ157" s="43" t="str">
        <f>IFERROR(#REF!/$AZ157,"")</f>
        <v/>
      </c>
      <c r="BK157" s="43" t="str">
        <f t="shared" si="114"/>
        <v/>
      </c>
      <c r="BL157" s="43" t="str">
        <f t="shared" si="115"/>
        <v/>
      </c>
      <c r="BM157" s="43" t="str">
        <f t="shared" si="116"/>
        <v/>
      </c>
      <c r="BN157" s="43" t="str">
        <f t="shared" si="117"/>
        <v/>
      </c>
      <c r="BO157" s="43" t="str">
        <f t="shared" si="118"/>
        <v/>
      </c>
      <c r="BP157" s="43" t="str">
        <f>IFERROR(#REF!/$AZ157,"")</f>
        <v/>
      </c>
      <c r="BQ157" s="43" t="str">
        <f>IFERROR(#REF!/$AZ157,"")</f>
        <v/>
      </c>
      <c r="BR157" s="43" t="str">
        <f t="shared" si="119"/>
        <v/>
      </c>
      <c r="BS157" s="43" t="str">
        <f t="shared" si="120"/>
        <v/>
      </c>
      <c r="BT157" s="43" t="str">
        <f t="shared" si="121"/>
        <v/>
      </c>
      <c r="BU157" s="43" t="str">
        <f t="shared" si="122"/>
        <v/>
      </c>
      <c r="BV157" s="43" t="str">
        <f t="shared" si="123"/>
        <v/>
      </c>
      <c r="BW157" s="43" t="str">
        <f>IFERROR(#REF!/$AZ157,"")</f>
        <v/>
      </c>
      <c r="BX157" s="43" t="str">
        <f>IFERROR(#REF!/$AZ157,"")</f>
        <v/>
      </c>
      <c r="BY157" s="43" t="str">
        <f t="shared" si="131"/>
        <v/>
      </c>
      <c r="BZ157" s="43" t="str">
        <f t="shared" si="132"/>
        <v/>
      </c>
      <c r="CA157" s="127" t="str">
        <f t="shared" si="124"/>
        <v/>
      </c>
      <c r="CB157" s="128" t="str">
        <f t="shared" si="133"/>
        <v/>
      </c>
    </row>
    <row r="158" spans="3:80" x14ac:dyDescent="0.25">
      <c r="C158" s="208">
        <v>6</v>
      </c>
      <c r="D158" s="54"/>
      <c r="E158" s="54"/>
      <c r="F158">
        <v>0</v>
      </c>
      <c r="W158" s="127">
        <f t="shared" si="102"/>
        <v>0</v>
      </c>
      <c r="X158">
        <f t="shared" si="103"/>
        <v>0</v>
      </c>
      <c r="Y158">
        <f t="shared" si="125"/>
        <v>0</v>
      </c>
      <c r="AD158" s="329">
        <v>6</v>
      </c>
      <c r="AE158" s="43">
        <v>0</v>
      </c>
      <c r="AF158" s="128"/>
      <c r="AG158">
        <f t="shared" si="126"/>
        <v>0</v>
      </c>
      <c r="AH158">
        <f t="shared" si="127"/>
        <v>0</v>
      </c>
      <c r="AJ158" s="332">
        <v>6</v>
      </c>
      <c r="AK158" s="127" t="str">
        <f t="shared" si="104"/>
        <v/>
      </c>
      <c r="AL158" s="43" t="str">
        <f t="shared" si="105"/>
        <v/>
      </c>
      <c r="AM158" s="127">
        <f t="shared" si="128"/>
        <v>0</v>
      </c>
      <c r="AN158">
        <f t="shared" si="129"/>
        <v>0</v>
      </c>
      <c r="AP158">
        <f t="shared" si="130"/>
        <v>0</v>
      </c>
      <c r="AZ158" s="134">
        <f t="shared" si="106"/>
        <v>0</v>
      </c>
      <c r="BA158" s="208">
        <v>6</v>
      </c>
      <c r="BB158" s="54" t="str">
        <f t="shared" si="107"/>
        <v/>
      </c>
      <c r="BC158" s="54" t="str">
        <f t="shared" si="108"/>
        <v/>
      </c>
      <c r="BD158" s="43" t="str">
        <f t="shared" si="109"/>
        <v/>
      </c>
      <c r="BE158" s="43" t="str">
        <f t="shared" si="110"/>
        <v/>
      </c>
      <c r="BF158" s="43" t="str">
        <f t="shared" si="111"/>
        <v/>
      </c>
      <c r="BG158" s="43" t="str">
        <f t="shared" si="112"/>
        <v/>
      </c>
      <c r="BH158" s="43" t="str">
        <f t="shared" si="113"/>
        <v/>
      </c>
      <c r="BI158" s="43" t="str">
        <f>IFERROR(#REF!/$AZ158,"")</f>
        <v/>
      </c>
      <c r="BJ158" s="43" t="str">
        <f>IFERROR(#REF!/$AZ158,"")</f>
        <v/>
      </c>
      <c r="BK158" s="43" t="str">
        <f t="shared" si="114"/>
        <v/>
      </c>
      <c r="BL158" s="43" t="str">
        <f t="shared" si="115"/>
        <v/>
      </c>
      <c r="BM158" s="43" t="str">
        <f t="shared" si="116"/>
        <v/>
      </c>
      <c r="BN158" s="43" t="str">
        <f t="shared" si="117"/>
        <v/>
      </c>
      <c r="BO158" s="43" t="str">
        <f t="shared" si="118"/>
        <v/>
      </c>
      <c r="BP158" s="43" t="str">
        <f>IFERROR(#REF!/$AZ158,"")</f>
        <v/>
      </c>
      <c r="BQ158" s="43" t="str">
        <f>IFERROR(#REF!/$AZ158,"")</f>
        <v/>
      </c>
      <c r="BR158" s="43" t="str">
        <f t="shared" si="119"/>
        <v/>
      </c>
      <c r="BS158" s="43" t="str">
        <f t="shared" si="120"/>
        <v/>
      </c>
      <c r="BT158" s="43" t="str">
        <f t="shared" si="121"/>
        <v/>
      </c>
      <c r="BU158" s="43" t="str">
        <f t="shared" si="122"/>
        <v/>
      </c>
      <c r="BV158" s="43" t="str">
        <f t="shared" si="123"/>
        <v/>
      </c>
      <c r="BW158" s="43" t="str">
        <f>IFERROR(#REF!/$AZ158,"")</f>
        <v/>
      </c>
      <c r="BX158" s="43" t="str">
        <f>IFERROR(#REF!/$AZ158,"")</f>
        <v/>
      </c>
      <c r="BY158" s="43" t="str">
        <f t="shared" si="131"/>
        <v/>
      </c>
      <c r="BZ158" s="43" t="str">
        <f t="shared" si="132"/>
        <v/>
      </c>
      <c r="CA158" s="127" t="str">
        <f t="shared" si="124"/>
        <v/>
      </c>
      <c r="CB158" s="128" t="str">
        <f t="shared" si="133"/>
        <v/>
      </c>
    </row>
    <row r="159" spans="3:80" x14ac:dyDescent="0.25">
      <c r="C159" s="208">
        <v>7</v>
      </c>
      <c r="D159" s="54"/>
      <c r="E159" s="54"/>
      <c r="W159" s="127">
        <f t="shared" si="102"/>
        <v>0</v>
      </c>
      <c r="X159">
        <f t="shared" si="103"/>
        <v>0</v>
      </c>
      <c r="Y159">
        <f t="shared" si="125"/>
        <v>0</v>
      </c>
      <c r="AD159" s="329">
        <v>7</v>
      </c>
      <c r="AE159" s="43">
        <v>0</v>
      </c>
      <c r="AF159" s="128"/>
      <c r="AG159">
        <f t="shared" si="126"/>
        <v>0</v>
      </c>
      <c r="AH159">
        <f t="shared" si="127"/>
        <v>0</v>
      </c>
      <c r="AJ159" s="332">
        <v>7</v>
      </c>
      <c r="AK159" s="127" t="str">
        <f t="shared" si="104"/>
        <v/>
      </c>
      <c r="AL159" s="43" t="str">
        <f t="shared" si="105"/>
        <v/>
      </c>
      <c r="AM159" s="127">
        <f t="shared" si="128"/>
        <v>0</v>
      </c>
      <c r="AN159">
        <f t="shared" si="129"/>
        <v>0</v>
      </c>
      <c r="AP159">
        <f t="shared" si="130"/>
        <v>0</v>
      </c>
      <c r="AZ159" s="134" t="str">
        <f t="shared" si="106"/>
        <v/>
      </c>
      <c r="BA159" s="208">
        <v>7</v>
      </c>
      <c r="BB159" s="54" t="str">
        <f t="shared" si="107"/>
        <v/>
      </c>
      <c r="BC159" s="54" t="str">
        <f t="shared" si="108"/>
        <v/>
      </c>
      <c r="BD159" s="43" t="str">
        <f t="shared" si="109"/>
        <v/>
      </c>
      <c r="BE159" s="43" t="str">
        <f t="shared" si="110"/>
        <v/>
      </c>
      <c r="BF159" s="43" t="str">
        <f t="shared" si="111"/>
        <v/>
      </c>
      <c r="BG159" s="43" t="str">
        <f t="shared" si="112"/>
        <v/>
      </c>
      <c r="BH159" s="43" t="str">
        <f t="shared" si="113"/>
        <v/>
      </c>
      <c r="BI159" s="43" t="str">
        <f>IFERROR(#REF!/$AZ159,"")</f>
        <v/>
      </c>
      <c r="BJ159" s="43" t="str">
        <f>IFERROR(#REF!/$AZ159,"")</f>
        <v/>
      </c>
      <c r="BK159" s="43" t="str">
        <f t="shared" si="114"/>
        <v/>
      </c>
      <c r="BL159" s="43" t="str">
        <f t="shared" si="115"/>
        <v/>
      </c>
      <c r="BM159" s="43" t="str">
        <f t="shared" si="116"/>
        <v/>
      </c>
      <c r="BN159" s="43" t="str">
        <f t="shared" si="117"/>
        <v/>
      </c>
      <c r="BO159" s="43" t="str">
        <f t="shared" si="118"/>
        <v/>
      </c>
      <c r="BP159" s="43" t="str">
        <f>IFERROR(#REF!/$AZ159,"")</f>
        <v/>
      </c>
      <c r="BQ159" s="43" t="str">
        <f>IFERROR(#REF!/$AZ159,"")</f>
        <v/>
      </c>
      <c r="BR159" s="43" t="str">
        <f t="shared" si="119"/>
        <v/>
      </c>
      <c r="BS159" s="43" t="str">
        <f t="shared" si="120"/>
        <v/>
      </c>
      <c r="BT159" s="43" t="str">
        <f t="shared" si="121"/>
        <v/>
      </c>
      <c r="BU159" s="43" t="str">
        <f t="shared" si="122"/>
        <v/>
      </c>
      <c r="BV159" s="43" t="str">
        <f t="shared" si="123"/>
        <v/>
      </c>
      <c r="BW159" s="43" t="str">
        <f>IFERROR(#REF!/$AZ159,"")</f>
        <v/>
      </c>
      <c r="BX159" s="43" t="str">
        <f>IFERROR(#REF!/$AZ159,"")</f>
        <v/>
      </c>
      <c r="BY159" s="43" t="str">
        <f t="shared" si="131"/>
        <v/>
      </c>
      <c r="BZ159" s="43" t="str">
        <f t="shared" si="132"/>
        <v/>
      </c>
      <c r="CA159" s="127" t="str">
        <f t="shared" si="124"/>
        <v/>
      </c>
      <c r="CB159" s="128" t="str">
        <f t="shared" si="133"/>
        <v/>
      </c>
    </row>
    <row r="160" spans="3:80" x14ac:dyDescent="0.25">
      <c r="C160" s="208">
        <v>8</v>
      </c>
      <c r="D160" s="54"/>
      <c r="E160" s="54"/>
      <c r="F160">
        <v>0</v>
      </c>
      <c r="P160">
        <v>0</v>
      </c>
      <c r="U160">
        <v>0</v>
      </c>
      <c r="W160" s="127">
        <f t="shared" si="102"/>
        <v>0</v>
      </c>
      <c r="X160">
        <f t="shared" si="103"/>
        <v>0</v>
      </c>
      <c r="Y160">
        <f t="shared" si="125"/>
        <v>0</v>
      </c>
      <c r="AD160" s="329">
        <v>8</v>
      </c>
      <c r="AE160" s="43">
        <v>0</v>
      </c>
      <c r="AF160" s="128"/>
      <c r="AG160">
        <f t="shared" si="126"/>
        <v>0</v>
      </c>
      <c r="AH160">
        <f t="shared" si="127"/>
        <v>0</v>
      </c>
      <c r="AJ160" s="332">
        <v>8</v>
      </c>
      <c r="AK160" s="127">
        <f t="shared" si="104"/>
        <v>0</v>
      </c>
      <c r="AL160" s="43" t="str">
        <f t="shared" si="105"/>
        <v/>
      </c>
      <c r="AM160" s="127">
        <f t="shared" si="128"/>
        <v>0</v>
      </c>
      <c r="AN160">
        <f t="shared" si="129"/>
        <v>0</v>
      </c>
      <c r="AP160">
        <f t="shared" si="130"/>
        <v>0</v>
      </c>
      <c r="AZ160" s="134">
        <f t="shared" si="106"/>
        <v>0</v>
      </c>
      <c r="BA160" s="208">
        <v>8</v>
      </c>
      <c r="BB160" s="54" t="str">
        <f t="shared" si="107"/>
        <v/>
      </c>
      <c r="BC160" s="54" t="str">
        <f t="shared" si="108"/>
        <v/>
      </c>
      <c r="BD160" s="43" t="str">
        <f t="shared" si="109"/>
        <v/>
      </c>
      <c r="BE160" s="43" t="str">
        <f t="shared" si="110"/>
        <v/>
      </c>
      <c r="BF160" s="43" t="str">
        <f t="shared" si="111"/>
        <v/>
      </c>
      <c r="BG160" s="43" t="str">
        <f t="shared" si="112"/>
        <v/>
      </c>
      <c r="BH160" s="43" t="str">
        <f t="shared" si="113"/>
        <v/>
      </c>
      <c r="BI160" s="43" t="str">
        <f>IFERROR(#REF!/$AZ160,"")</f>
        <v/>
      </c>
      <c r="BJ160" s="43" t="str">
        <f>IFERROR(#REF!/$AZ160,"")</f>
        <v/>
      </c>
      <c r="BK160" s="43" t="str">
        <f t="shared" si="114"/>
        <v/>
      </c>
      <c r="BL160" s="43" t="str">
        <f t="shared" si="115"/>
        <v/>
      </c>
      <c r="BM160" s="43" t="str">
        <f t="shared" si="116"/>
        <v/>
      </c>
      <c r="BN160" s="43" t="str">
        <f t="shared" si="117"/>
        <v/>
      </c>
      <c r="BO160" s="43" t="str">
        <f t="shared" si="118"/>
        <v/>
      </c>
      <c r="BP160" s="43" t="str">
        <f>IFERROR(#REF!/$AZ160,"")</f>
        <v/>
      </c>
      <c r="BQ160" s="43" t="str">
        <f>IFERROR(#REF!/$AZ160,"")</f>
        <v/>
      </c>
      <c r="BR160" s="43" t="str">
        <f t="shared" si="119"/>
        <v/>
      </c>
      <c r="BS160" s="43" t="str">
        <f t="shared" si="120"/>
        <v/>
      </c>
      <c r="BT160" s="43" t="str">
        <f t="shared" si="121"/>
        <v/>
      </c>
      <c r="BU160" s="43" t="str">
        <f t="shared" si="122"/>
        <v/>
      </c>
      <c r="BV160" s="43" t="str">
        <f t="shared" si="123"/>
        <v/>
      </c>
      <c r="BW160" s="43" t="str">
        <f>IFERROR(#REF!/$AZ160,"")</f>
        <v/>
      </c>
      <c r="BX160" s="43" t="str">
        <f>IFERROR(#REF!/$AZ160,"")</f>
        <v/>
      </c>
      <c r="BY160" s="43" t="str">
        <f t="shared" si="131"/>
        <v/>
      </c>
      <c r="BZ160" s="43" t="str">
        <f t="shared" si="132"/>
        <v/>
      </c>
      <c r="CA160" s="127" t="str">
        <f t="shared" si="124"/>
        <v/>
      </c>
      <c r="CB160" s="128" t="str">
        <f t="shared" si="133"/>
        <v/>
      </c>
    </row>
    <row r="161" spans="3:80" x14ac:dyDescent="0.25">
      <c r="C161" s="208">
        <v>9</v>
      </c>
      <c r="D161" s="54"/>
      <c r="E161" s="54"/>
      <c r="W161" s="127">
        <f t="shared" si="102"/>
        <v>0</v>
      </c>
      <c r="X161">
        <f t="shared" si="103"/>
        <v>0</v>
      </c>
      <c r="Y161">
        <f t="shared" si="125"/>
        <v>0</v>
      </c>
      <c r="AD161" s="329">
        <v>9</v>
      </c>
      <c r="AE161" s="43">
        <v>0</v>
      </c>
      <c r="AF161" s="128"/>
      <c r="AG161">
        <f t="shared" si="126"/>
        <v>0</v>
      </c>
      <c r="AH161">
        <f t="shared" si="127"/>
        <v>0</v>
      </c>
      <c r="AJ161" s="332">
        <v>9</v>
      </c>
      <c r="AK161" s="127" t="str">
        <f t="shared" si="104"/>
        <v/>
      </c>
      <c r="AL161" s="43" t="str">
        <f t="shared" si="105"/>
        <v/>
      </c>
      <c r="AM161" s="127">
        <f t="shared" si="128"/>
        <v>0</v>
      </c>
      <c r="AN161">
        <f t="shared" si="129"/>
        <v>0</v>
      </c>
      <c r="AP161">
        <f t="shared" si="130"/>
        <v>0</v>
      </c>
      <c r="AZ161" s="134" t="str">
        <f t="shared" si="106"/>
        <v/>
      </c>
      <c r="BA161" s="208">
        <v>9</v>
      </c>
      <c r="BB161" s="54" t="str">
        <f t="shared" si="107"/>
        <v/>
      </c>
      <c r="BC161" s="54" t="str">
        <f t="shared" si="108"/>
        <v/>
      </c>
      <c r="BD161" s="43" t="str">
        <f t="shared" si="109"/>
        <v/>
      </c>
      <c r="BE161" s="43" t="str">
        <f t="shared" si="110"/>
        <v/>
      </c>
      <c r="BF161" s="43" t="str">
        <f t="shared" si="111"/>
        <v/>
      </c>
      <c r="BG161" s="43" t="str">
        <f t="shared" si="112"/>
        <v/>
      </c>
      <c r="BH161" s="43" t="str">
        <f t="shared" si="113"/>
        <v/>
      </c>
      <c r="BI161" s="43" t="str">
        <f>IFERROR(#REF!/$AZ161,"")</f>
        <v/>
      </c>
      <c r="BJ161" s="43" t="str">
        <f>IFERROR(#REF!/$AZ161,"")</f>
        <v/>
      </c>
      <c r="BK161" s="43" t="str">
        <f t="shared" si="114"/>
        <v/>
      </c>
      <c r="BL161" s="43" t="str">
        <f t="shared" si="115"/>
        <v/>
      </c>
      <c r="BM161" s="43" t="str">
        <f t="shared" si="116"/>
        <v/>
      </c>
      <c r="BN161" s="43" t="str">
        <f t="shared" si="117"/>
        <v/>
      </c>
      <c r="BO161" s="43" t="str">
        <f t="shared" si="118"/>
        <v/>
      </c>
      <c r="BP161" s="43" t="str">
        <f>IFERROR(#REF!/$AZ161,"")</f>
        <v/>
      </c>
      <c r="BQ161" s="43" t="str">
        <f>IFERROR(#REF!/$AZ161,"")</f>
        <v/>
      </c>
      <c r="BR161" s="43" t="str">
        <f t="shared" si="119"/>
        <v/>
      </c>
      <c r="BS161" s="43" t="str">
        <f t="shared" si="120"/>
        <v/>
      </c>
      <c r="BT161" s="43" t="str">
        <f t="shared" si="121"/>
        <v/>
      </c>
      <c r="BU161" s="43" t="str">
        <f t="shared" si="122"/>
        <v/>
      </c>
      <c r="BV161" s="43" t="str">
        <f t="shared" si="123"/>
        <v/>
      </c>
      <c r="BW161" s="43" t="str">
        <f>IFERROR(#REF!/$AZ161,"")</f>
        <v/>
      </c>
      <c r="BX161" s="43" t="str">
        <f>IFERROR(#REF!/$AZ161,"")</f>
        <v/>
      </c>
      <c r="BY161" s="43" t="str">
        <f t="shared" si="131"/>
        <v/>
      </c>
      <c r="BZ161" s="43" t="str">
        <f t="shared" si="132"/>
        <v/>
      </c>
      <c r="CA161" s="127" t="str">
        <f t="shared" si="124"/>
        <v/>
      </c>
      <c r="CB161" s="128" t="str">
        <f t="shared" si="133"/>
        <v/>
      </c>
    </row>
    <row r="162" spans="3:80" x14ac:dyDescent="0.25">
      <c r="C162" s="208">
        <v>10</v>
      </c>
      <c r="D162" s="54"/>
      <c r="E162" s="54"/>
      <c r="W162" s="127">
        <f t="shared" si="102"/>
        <v>0</v>
      </c>
      <c r="X162">
        <f t="shared" si="103"/>
        <v>0</v>
      </c>
      <c r="Y162">
        <f t="shared" si="125"/>
        <v>0</v>
      </c>
      <c r="AD162" s="329">
        <v>10</v>
      </c>
      <c r="AE162" s="43">
        <v>0</v>
      </c>
      <c r="AF162" s="128"/>
      <c r="AG162">
        <f t="shared" si="126"/>
        <v>0</v>
      </c>
      <c r="AH162">
        <f t="shared" si="127"/>
        <v>0</v>
      </c>
      <c r="AJ162" s="332">
        <v>10</v>
      </c>
      <c r="AK162" s="127" t="str">
        <f t="shared" si="104"/>
        <v/>
      </c>
      <c r="AL162" s="43" t="str">
        <f t="shared" si="105"/>
        <v/>
      </c>
      <c r="AM162" s="127">
        <f t="shared" si="128"/>
        <v>0</v>
      </c>
      <c r="AN162">
        <f t="shared" si="129"/>
        <v>0</v>
      </c>
      <c r="AP162">
        <f t="shared" si="130"/>
        <v>0</v>
      </c>
      <c r="AZ162" s="134" t="str">
        <f t="shared" si="106"/>
        <v/>
      </c>
      <c r="BA162" s="208">
        <v>10</v>
      </c>
      <c r="BB162" s="54" t="str">
        <f t="shared" si="107"/>
        <v/>
      </c>
      <c r="BC162" s="54" t="str">
        <f t="shared" si="108"/>
        <v/>
      </c>
      <c r="BD162" s="43" t="str">
        <f t="shared" si="109"/>
        <v/>
      </c>
      <c r="BE162" s="43" t="str">
        <f t="shared" si="110"/>
        <v/>
      </c>
      <c r="BF162" s="43" t="str">
        <f t="shared" si="111"/>
        <v/>
      </c>
      <c r="BG162" s="43" t="str">
        <f t="shared" si="112"/>
        <v/>
      </c>
      <c r="BH162" s="43" t="str">
        <f t="shared" si="113"/>
        <v/>
      </c>
      <c r="BI162" s="43" t="str">
        <f>IFERROR(#REF!/$AZ162,"")</f>
        <v/>
      </c>
      <c r="BJ162" s="43" t="str">
        <f>IFERROR(#REF!/$AZ162,"")</f>
        <v/>
      </c>
      <c r="BK162" s="43" t="str">
        <f t="shared" si="114"/>
        <v/>
      </c>
      <c r="BL162" s="43" t="str">
        <f t="shared" si="115"/>
        <v/>
      </c>
      <c r="BM162" s="43" t="str">
        <f t="shared" si="116"/>
        <v/>
      </c>
      <c r="BN162" s="43" t="str">
        <f t="shared" si="117"/>
        <v/>
      </c>
      <c r="BO162" s="43" t="str">
        <f t="shared" si="118"/>
        <v/>
      </c>
      <c r="BP162" s="43" t="str">
        <f>IFERROR(#REF!/$AZ162,"")</f>
        <v/>
      </c>
      <c r="BQ162" s="43" t="str">
        <f>IFERROR(#REF!/$AZ162,"")</f>
        <v/>
      </c>
      <c r="BR162" s="43" t="str">
        <f t="shared" si="119"/>
        <v/>
      </c>
      <c r="BS162" s="43" t="str">
        <f t="shared" si="120"/>
        <v/>
      </c>
      <c r="BT162" s="43" t="str">
        <f t="shared" si="121"/>
        <v/>
      </c>
      <c r="BU162" s="43" t="str">
        <f t="shared" si="122"/>
        <v/>
      </c>
      <c r="BV162" s="43" t="str">
        <f t="shared" si="123"/>
        <v/>
      </c>
      <c r="BW162" s="43" t="str">
        <f>IFERROR(#REF!/$AZ162,"")</f>
        <v/>
      </c>
      <c r="BX162" s="43" t="str">
        <f>IFERROR(#REF!/$AZ162,"")</f>
        <v/>
      </c>
      <c r="BY162" s="43" t="str">
        <f t="shared" si="131"/>
        <v/>
      </c>
      <c r="BZ162" s="43" t="str">
        <f t="shared" si="132"/>
        <v/>
      </c>
      <c r="CA162" s="127" t="str">
        <f t="shared" si="124"/>
        <v/>
      </c>
      <c r="CB162" s="128" t="str">
        <f t="shared" si="133"/>
        <v/>
      </c>
    </row>
    <row r="163" spans="3:80" x14ac:dyDescent="0.25">
      <c r="C163" s="208">
        <v>11</v>
      </c>
      <c r="D163" s="54"/>
      <c r="E163" s="54"/>
      <c r="W163" s="127">
        <f t="shared" si="102"/>
        <v>0</v>
      </c>
      <c r="X163">
        <f t="shared" si="103"/>
        <v>0</v>
      </c>
      <c r="Y163">
        <f t="shared" si="125"/>
        <v>0</v>
      </c>
      <c r="AD163" s="329">
        <v>11</v>
      </c>
      <c r="AE163" s="43">
        <v>0</v>
      </c>
      <c r="AF163" s="128"/>
      <c r="AG163">
        <f t="shared" si="126"/>
        <v>0</v>
      </c>
      <c r="AH163">
        <f t="shared" si="127"/>
        <v>0</v>
      </c>
      <c r="AJ163" s="332">
        <v>11</v>
      </c>
      <c r="AK163" s="127" t="str">
        <f t="shared" si="104"/>
        <v/>
      </c>
      <c r="AL163" s="43" t="str">
        <f t="shared" si="105"/>
        <v/>
      </c>
      <c r="AM163" s="127">
        <f t="shared" si="128"/>
        <v>0</v>
      </c>
      <c r="AN163">
        <f t="shared" si="129"/>
        <v>0</v>
      </c>
      <c r="AP163">
        <f t="shared" si="130"/>
        <v>0</v>
      </c>
      <c r="AZ163" s="134" t="str">
        <f t="shared" si="106"/>
        <v/>
      </c>
      <c r="BA163" s="208">
        <v>11</v>
      </c>
      <c r="BB163" s="54" t="str">
        <f t="shared" si="107"/>
        <v/>
      </c>
      <c r="BC163" s="54" t="str">
        <f t="shared" si="108"/>
        <v/>
      </c>
      <c r="BD163" s="43" t="str">
        <f t="shared" si="109"/>
        <v/>
      </c>
      <c r="BE163" s="43" t="str">
        <f t="shared" si="110"/>
        <v/>
      </c>
      <c r="BF163" s="43" t="str">
        <f t="shared" si="111"/>
        <v/>
      </c>
      <c r="BG163" s="43" t="str">
        <f t="shared" si="112"/>
        <v/>
      </c>
      <c r="BH163" s="43" t="str">
        <f t="shared" si="113"/>
        <v/>
      </c>
      <c r="BI163" s="43" t="str">
        <f>IFERROR(#REF!/$AZ163,"")</f>
        <v/>
      </c>
      <c r="BJ163" s="43" t="str">
        <f>IFERROR(#REF!/$AZ163,"")</f>
        <v/>
      </c>
      <c r="BK163" s="43" t="str">
        <f t="shared" si="114"/>
        <v/>
      </c>
      <c r="BL163" s="43" t="str">
        <f t="shared" si="115"/>
        <v/>
      </c>
      <c r="BM163" s="43" t="str">
        <f t="shared" si="116"/>
        <v/>
      </c>
      <c r="BN163" s="43" t="str">
        <f t="shared" si="117"/>
        <v/>
      </c>
      <c r="BO163" s="43" t="str">
        <f t="shared" si="118"/>
        <v/>
      </c>
      <c r="BP163" s="43" t="str">
        <f>IFERROR(#REF!/$AZ163,"")</f>
        <v/>
      </c>
      <c r="BQ163" s="43" t="str">
        <f>IFERROR(#REF!/$AZ163,"")</f>
        <v/>
      </c>
      <c r="BR163" s="43" t="str">
        <f t="shared" si="119"/>
        <v/>
      </c>
      <c r="BS163" s="43" t="str">
        <f t="shared" si="120"/>
        <v/>
      </c>
      <c r="BT163" s="43" t="str">
        <f t="shared" si="121"/>
        <v/>
      </c>
      <c r="BU163" s="43" t="str">
        <f t="shared" si="122"/>
        <v/>
      </c>
      <c r="BV163" s="43" t="str">
        <f t="shared" si="123"/>
        <v/>
      </c>
      <c r="BW163" s="43" t="str">
        <f>IFERROR(#REF!/$AZ163,"")</f>
        <v/>
      </c>
      <c r="BX163" s="43" t="str">
        <f>IFERROR(#REF!/$AZ163,"")</f>
        <v/>
      </c>
      <c r="BY163" s="43" t="str">
        <f t="shared" si="131"/>
        <v/>
      </c>
      <c r="BZ163" s="43" t="str">
        <f t="shared" si="132"/>
        <v/>
      </c>
      <c r="CA163" s="127" t="str">
        <f t="shared" si="124"/>
        <v/>
      </c>
      <c r="CB163" s="128" t="str">
        <f t="shared" si="133"/>
        <v/>
      </c>
    </row>
    <row r="164" spans="3:80" x14ac:dyDescent="0.25">
      <c r="C164" s="208">
        <v>12</v>
      </c>
      <c r="D164" s="54"/>
      <c r="E164" s="54"/>
      <c r="W164" s="127">
        <f t="shared" si="102"/>
        <v>0</v>
      </c>
      <c r="X164">
        <f t="shared" si="103"/>
        <v>0</v>
      </c>
      <c r="Y164">
        <f t="shared" si="125"/>
        <v>0</v>
      </c>
      <c r="AD164" s="329">
        <v>12</v>
      </c>
      <c r="AE164" s="43">
        <v>0</v>
      </c>
      <c r="AF164" s="128"/>
      <c r="AG164">
        <f t="shared" si="126"/>
        <v>0</v>
      </c>
      <c r="AH164">
        <f t="shared" si="127"/>
        <v>0</v>
      </c>
      <c r="AJ164" s="332">
        <v>12</v>
      </c>
      <c r="AK164" s="127" t="str">
        <f t="shared" si="104"/>
        <v/>
      </c>
      <c r="AL164" s="43" t="str">
        <f t="shared" si="105"/>
        <v/>
      </c>
      <c r="AM164" s="127">
        <f t="shared" si="128"/>
        <v>0</v>
      </c>
      <c r="AN164">
        <f t="shared" si="129"/>
        <v>0</v>
      </c>
      <c r="AP164">
        <f t="shared" si="130"/>
        <v>0</v>
      </c>
      <c r="AZ164" s="134" t="str">
        <f t="shared" si="106"/>
        <v/>
      </c>
      <c r="BA164" s="208">
        <v>12</v>
      </c>
      <c r="BB164" s="54" t="str">
        <f t="shared" si="107"/>
        <v/>
      </c>
      <c r="BC164" s="54" t="str">
        <f t="shared" si="108"/>
        <v/>
      </c>
      <c r="BD164" s="43" t="str">
        <f t="shared" si="109"/>
        <v/>
      </c>
      <c r="BE164" s="43" t="str">
        <f t="shared" si="110"/>
        <v/>
      </c>
      <c r="BF164" s="43" t="str">
        <f t="shared" si="111"/>
        <v/>
      </c>
      <c r="BG164" s="43" t="str">
        <f t="shared" si="112"/>
        <v/>
      </c>
      <c r="BH164" s="43" t="str">
        <f t="shared" si="113"/>
        <v/>
      </c>
      <c r="BI164" s="43" t="str">
        <f>IFERROR(#REF!/$AZ164,"")</f>
        <v/>
      </c>
      <c r="BJ164" s="43" t="str">
        <f>IFERROR(#REF!/$AZ164,"")</f>
        <v/>
      </c>
      <c r="BK164" s="43" t="str">
        <f t="shared" si="114"/>
        <v/>
      </c>
      <c r="BL164" s="43" t="str">
        <f t="shared" si="115"/>
        <v/>
      </c>
      <c r="BM164" s="43" t="str">
        <f t="shared" si="116"/>
        <v/>
      </c>
      <c r="BN164" s="43" t="str">
        <f t="shared" si="117"/>
        <v/>
      </c>
      <c r="BO164" s="43" t="str">
        <f t="shared" si="118"/>
        <v/>
      </c>
      <c r="BP164" s="43" t="str">
        <f>IFERROR(#REF!/$AZ164,"")</f>
        <v/>
      </c>
      <c r="BQ164" s="43" t="str">
        <f>IFERROR(#REF!/$AZ164,"")</f>
        <v/>
      </c>
      <c r="BR164" s="43" t="str">
        <f t="shared" si="119"/>
        <v/>
      </c>
      <c r="BS164" s="43" t="str">
        <f t="shared" si="120"/>
        <v/>
      </c>
      <c r="BT164" s="43" t="str">
        <f t="shared" si="121"/>
        <v/>
      </c>
      <c r="BU164" s="43" t="str">
        <f t="shared" si="122"/>
        <v/>
      </c>
      <c r="BV164" s="43" t="str">
        <f t="shared" si="123"/>
        <v/>
      </c>
      <c r="BW164" s="43" t="str">
        <f>IFERROR(#REF!/$AZ164,"")</f>
        <v/>
      </c>
      <c r="BX164" s="43" t="str">
        <f>IFERROR(#REF!/$AZ164,"")</f>
        <v/>
      </c>
      <c r="BY164" s="43" t="str">
        <f t="shared" si="131"/>
        <v/>
      </c>
      <c r="BZ164" s="43" t="str">
        <f t="shared" si="132"/>
        <v/>
      </c>
      <c r="CA164" s="127" t="str">
        <f t="shared" si="124"/>
        <v/>
      </c>
      <c r="CB164" s="128" t="str">
        <f t="shared" si="133"/>
        <v/>
      </c>
    </row>
    <row r="165" spans="3:80" x14ac:dyDescent="0.25">
      <c r="C165" s="208">
        <v>13</v>
      </c>
      <c r="D165" s="54"/>
      <c r="E165" s="54"/>
      <c r="W165" s="127">
        <f t="shared" si="102"/>
        <v>0</v>
      </c>
      <c r="X165">
        <f t="shared" si="103"/>
        <v>0</v>
      </c>
      <c r="Y165">
        <f t="shared" si="125"/>
        <v>0</v>
      </c>
      <c r="AD165" s="329">
        <v>13</v>
      </c>
      <c r="AE165" s="43">
        <v>0</v>
      </c>
      <c r="AF165" s="128"/>
      <c r="AG165">
        <f t="shared" si="126"/>
        <v>0</v>
      </c>
      <c r="AH165">
        <f t="shared" si="127"/>
        <v>0</v>
      </c>
      <c r="AJ165" s="332">
        <v>13</v>
      </c>
      <c r="AK165" s="127" t="str">
        <f t="shared" si="104"/>
        <v/>
      </c>
      <c r="AL165" s="43" t="str">
        <f t="shared" si="105"/>
        <v/>
      </c>
      <c r="AM165" s="127">
        <f t="shared" si="128"/>
        <v>0</v>
      </c>
      <c r="AN165">
        <f t="shared" si="129"/>
        <v>0</v>
      </c>
      <c r="AP165">
        <f t="shared" si="130"/>
        <v>0</v>
      </c>
      <c r="AZ165" s="134" t="str">
        <f t="shared" si="106"/>
        <v/>
      </c>
      <c r="BA165" s="208">
        <v>13</v>
      </c>
      <c r="BB165" s="54" t="str">
        <f t="shared" si="107"/>
        <v/>
      </c>
      <c r="BC165" s="54" t="str">
        <f t="shared" si="108"/>
        <v/>
      </c>
      <c r="BD165" s="43" t="str">
        <f t="shared" si="109"/>
        <v/>
      </c>
      <c r="BE165" s="43" t="str">
        <f t="shared" si="110"/>
        <v/>
      </c>
      <c r="BF165" s="43" t="str">
        <f t="shared" si="111"/>
        <v/>
      </c>
      <c r="BG165" s="43" t="str">
        <f t="shared" si="112"/>
        <v/>
      </c>
      <c r="BH165" s="43" t="str">
        <f t="shared" si="113"/>
        <v/>
      </c>
      <c r="BI165" s="43" t="str">
        <f>IFERROR(#REF!/$AZ165,"")</f>
        <v/>
      </c>
      <c r="BJ165" s="43" t="str">
        <f>IFERROR(#REF!/$AZ165,"")</f>
        <v/>
      </c>
      <c r="BK165" s="43" t="str">
        <f t="shared" si="114"/>
        <v/>
      </c>
      <c r="BL165" s="43" t="str">
        <f t="shared" si="115"/>
        <v/>
      </c>
      <c r="BM165" s="43" t="str">
        <f t="shared" si="116"/>
        <v/>
      </c>
      <c r="BN165" s="43" t="str">
        <f t="shared" si="117"/>
        <v/>
      </c>
      <c r="BO165" s="43" t="str">
        <f t="shared" si="118"/>
        <v/>
      </c>
      <c r="BP165" s="43" t="str">
        <f>IFERROR(#REF!/$AZ165,"")</f>
        <v/>
      </c>
      <c r="BQ165" s="43" t="str">
        <f>IFERROR(#REF!/$AZ165,"")</f>
        <v/>
      </c>
      <c r="BR165" s="43" t="str">
        <f t="shared" si="119"/>
        <v/>
      </c>
      <c r="BS165" s="43" t="str">
        <f t="shared" si="120"/>
        <v/>
      </c>
      <c r="BT165" s="43" t="str">
        <f t="shared" si="121"/>
        <v/>
      </c>
      <c r="BU165" s="43" t="str">
        <f t="shared" si="122"/>
        <v/>
      </c>
      <c r="BV165" s="43" t="str">
        <f t="shared" si="123"/>
        <v/>
      </c>
      <c r="BW165" s="43" t="str">
        <f>IFERROR(#REF!/$AZ165,"")</f>
        <v/>
      </c>
      <c r="BX165" s="43" t="str">
        <f>IFERROR(#REF!/$AZ165,"")</f>
        <v/>
      </c>
      <c r="BY165" s="43" t="str">
        <f t="shared" si="131"/>
        <v/>
      </c>
      <c r="BZ165" s="43" t="str">
        <f t="shared" si="132"/>
        <v/>
      </c>
      <c r="CA165" s="127" t="str">
        <f t="shared" si="124"/>
        <v/>
      </c>
      <c r="CB165" s="128" t="str">
        <f t="shared" si="133"/>
        <v/>
      </c>
    </row>
    <row r="166" spans="3:80" x14ac:dyDescent="0.25">
      <c r="C166" s="208">
        <v>14</v>
      </c>
      <c r="D166" s="54"/>
      <c r="E166" s="54"/>
      <c r="F166">
        <v>0</v>
      </c>
      <c r="K166">
        <v>0</v>
      </c>
      <c r="P166">
        <v>0</v>
      </c>
      <c r="R166">
        <v>41</v>
      </c>
      <c r="W166" s="127">
        <f t="shared" si="102"/>
        <v>41</v>
      </c>
      <c r="X166">
        <f t="shared" si="103"/>
        <v>1</v>
      </c>
      <c r="Y166">
        <f t="shared" si="125"/>
        <v>41</v>
      </c>
      <c r="AD166" s="329">
        <v>14</v>
      </c>
      <c r="AE166" s="43">
        <v>41</v>
      </c>
      <c r="AF166" s="128"/>
      <c r="AG166">
        <f t="shared" si="126"/>
        <v>41</v>
      </c>
      <c r="AH166">
        <f t="shared" si="127"/>
        <v>1</v>
      </c>
      <c r="AJ166" s="332">
        <v>14</v>
      </c>
      <c r="AK166" s="127">
        <f t="shared" si="104"/>
        <v>0</v>
      </c>
      <c r="AL166" s="43">
        <f t="shared" si="105"/>
        <v>0</v>
      </c>
      <c r="AM166" s="127">
        <f t="shared" si="128"/>
        <v>0</v>
      </c>
      <c r="AN166">
        <f t="shared" si="129"/>
        <v>0</v>
      </c>
      <c r="AP166">
        <f t="shared" si="130"/>
        <v>-1</v>
      </c>
      <c r="AZ166" s="134">
        <f t="shared" si="106"/>
        <v>41</v>
      </c>
      <c r="BA166" s="208">
        <v>14</v>
      </c>
      <c r="BB166" s="54">
        <f t="shared" si="107"/>
        <v>0</v>
      </c>
      <c r="BC166" s="54">
        <f t="shared" si="108"/>
        <v>0</v>
      </c>
      <c r="BD166" s="43">
        <f t="shared" si="109"/>
        <v>0</v>
      </c>
      <c r="BE166" s="43">
        <f t="shared" si="110"/>
        <v>0</v>
      </c>
      <c r="BF166" s="43">
        <f t="shared" si="111"/>
        <v>0</v>
      </c>
      <c r="BG166" s="43">
        <f t="shared" si="112"/>
        <v>0</v>
      </c>
      <c r="BH166" s="43">
        <f t="shared" si="113"/>
        <v>0</v>
      </c>
      <c r="BI166" s="43" t="str">
        <f>IFERROR(#REF!/$AZ166,"")</f>
        <v/>
      </c>
      <c r="BJ166" s="43" t="str">
        <f>IFERROR(#REF!/$AZ166,"")</f>
        <v/>
      </c>
      <c r="BK166" s="43">
        <f t="shared" si="114"/>
        <v>0</v>
      </c>
      <c r="BL166" s="43">
        <f t="shared" si="115"/>
        <v>0</v>
      </c>
      <c r="BM166" s="43">
        <f t="shared" si="116"/>
        <v>0</v>
      </c>
      <c r="BN166" s="43">
        <f t="shared" si="117"/>
        <v>0</v>
      </c>
      <c r="BO166" s="43">
        <f t="shared" si="118"/>
        <v>0</v>
      </c>
      <c r="BP166" s="43" t="str">
        <f>IFERROR(#REF!/$AZ166,"")</f>
        <v/>
      </c>
      <c r="BQ166" s="43" t="str">
        <f>IFERROR(#REF!/$AZ166,"")</f>
        <v/>
      </c>
      <c r="BR166" s="43">
        <f t="shared" si="119"/>
        <v>0</v>
      </c>
      <c r="BS166" s="43">
        <f t="shared" si="120"/>
        <v>0</v>
      </c>
      <c r="BT166" s="43">
        <f t="shared" si="121"/>
        <v>1</v>
      </c>
      <c r="BU166" s="43">
        <f t="shared" si="122"/>
        <v>0</v>
      </c>
      <c r="BV166" s="43">
        <f t="shared" si="123"/>
        <v>0</v>
      </c>
      <c r="BW166" s="43" t="str">
        <f>IFERROR(#REF!/$AZ166,"")</f>
        <v/>
      </c>
      <c r="BX166" s="43" t="str">
        <f>IFERROR(#REF!/$AZ166,"")</f>
        <v/>
      </c>
      <c r="BY166" s="43">
        <f t="shared" si="131"/>
        <v>0</v>
      </c>
      <c r="BZ166" s="43">
        <f t="shared" si="132"/>
        <v>0</v>
      </c>
      <c r="CA166" s="127">
        <f t="shared" si="124"/>
        <v>1</v>
      </c>
      <c r="CB166" s="128" t="b">
        <f t="shared" si="133"/>
        <v>1</v>
      </c>
    </row>
    <row r="167" spans="3:80" x14ac:dyDescent="0.25">
      <c r="C167" s="208">
        <v>15</v>
      </c>
      <c r="D167" s="54"/>
      <c r="E167" s="54"/>
      <c r="W167" s="127">
        <f t="shared" si="102"/>
        <v>0</v>
      </c>
      <c r="X167">
        <f t="shared" si="103"/>
        <v>0</v>
      </c>
      <c r="Y167">
        <f t="shared" si="125"/>
        <v>0</v>
      </c>
      <c r="AD167" s="329">
        <v>15</v>
      </c>
      <c r="AE167" s="43">
        <v>0</v>
      </c>
      <c r="AF167" s="128"/>
      <c r="AG167">
        <f t="shared" si="126"/>
        <v>0</v>
      </c>
      <c r="AH167">
        <f t="shared" si="127"/>
        <v>0</v>
      </c>
      <c r="AJ167" s="332">
        <v>15</v>
      </c>
      <c r="AK167" s="127" t="str">
        <f t="shared" si="104"/>
        <v/>
      </c>
      <c r="AL167" s="43" t="str">
        <f t="shared" si="105"/>
        <v/>
      </c>
      <c r="AM167" s="127">
        <f t="shared" si="128"/>
        <v>0</v>
      </c>
      <c r="AN167">
        <f t="shared" si="129"/>
        <v>0</v>
      </c>
      <c r="AP167">
        <f t="shared" si="130"/>
        <v>0</v>
      </c>
      <c r="AZ167" s="134" t="str">
        <f t="shared" si="106"/>
        <v/>
      </c>
      <c r="BA167" s="208">
        <v>15</v>
      </c>
      <c r="BB167" s="54" t="str">
        <f t="shared" si="107"/>
        <v/>
      </c>
      <c r="BC167" s="54" t="str">
        <f t="shared" si="108"/>
        <v/>
      </c>
      <c r="BD167" s="43" t="str">
        <f t="shared" si="109"/>
        <v/>
      </c>
      <c r="BE167" s="43" t="str">
        <f t="shared" si="110"/>
        <v/>
      </c>
      <c r="BF167" s="43" t="str">
        <f t="shared" si="111"/>
        <v/>
      </c>
      <c r="BG167" s="43" t="str">
        <f t="shared" si="112"/>
        <v/>
      </c>
      <c r="BH167" s="43" t="str">
        <f t="shared" si="113"/>
        <v/>
      </c>
      <c r="BI167" s="43" t="str">
        <f>IFERROR(#REF!/$AZ167,"")</f>
        <v/>
      </c>
      <c r="BJ167" s="43" t="str">
        <f>IFERROR(#REF!/$AZ167,"")</f>
        <v/>
      </c>
      <c r="BK167" s="43" t="str">
        <f t="shared" si="114"/>
        <v/>
      </c>
      <c r="BL167" s="43" t="str">
        <f t="shared" si="115"/>
        <v/>
      </c>
      <c r="BM167" s="43" t="str">
        <f t="shared" si="116"/>
        <v/>
      </c>
      <c r="BN167" s="43" t="str">
        <f t="shared" si="117"/>
        <v/>
      </c>
      <c r="BO167" s="43" t="str">
        <f t="shared" si="118"/>
        <v/>
      </c>
      <c r="BP167" s="43" t="str">
        <f>IFERROR(#REF!/$AZ167,"")</f>
        <v/>
      </c>
      <c r="BQ167" s="43" t="str">
        <f>IFERROR(#REF!/$AZ167,"")</f>
        <v/>
      </c>
      <c r="BR167" s="43" t="str">
        <f t="shared" si="119"/>
        <v/>
      </c>
      <c r="BS167" s="43" t="str">
        <f t="shared" si="120"/>
        <v/>
      </c>
      <c r="BT167" s="43" t="str">
        <f t="shared" si="121"/>
        <v/>
      </c>
      <c r="BU167" s="43" t="str">
        <f t="shared" si="122"/>
        <v/>
      </c>
      <c r="BV167" s="43" t="str">
        <f t="shared" si="123"/>
        <v/>
      </c>
      <c r="BW167" s="43" t="str">
        <f>IFERROR(#REF!/$AZ167,"")</f>
        <v/>
      </c>
      <c r="BX167" s="43" t="str">
        <f>IFERROR(#REF!/$AZ167,"")</f>
        <v/>
      </c>
      <c r="BY167" s="43" t="str">
        <f t="shared" si="131"/>
        <v/>
      </c>
      <c r="BZ167" s="43" t="str">
        <f t="shared" si="132"/>
        <v/>
      </c>
      <c r="CA167" s="127" t="str">
        <f t="shared" si="124"/>
        <v/>
      </c>
      <c r="CB167" s="128" t="str">
        <f t="shared" si="133"/>
        <v/>
      </c>
    </row>
    <row r="168" spans="3:80" x14ac:dyDescent="0.25">
      <c r="C168" s="208">
        <v>16</v>
      </c>
      <c r="D168" s="54"/>
      <c r="E168" s="54"/>
      <c r="F168">
        <v>0</v>
      </c>
      <c r="K168">
        <v>0</v>
      </c>
      <c r="P168">
        <v>0</v>
      </c>
      <c r="W168" s="127">
        <f t="shared" si="102"/>
        <v>0</v>
      </c>
      <c r="X168">
        <f t="shared" si="103"/>
        <v>0</v>
      </c>
      <c r="Y168">
        <f t="shared" si="125"/>
        <v>0</v>
      </c>
      <c r="AD168" s="329">
        <v>16</v>
      </c>
      <c r="AE168" s="43">
        <v>0</v>
      </c>
      <c r="AF168" s="128"/>
      <c r="AG168">
        <f t="shared" si="126"/>
        <v>0</v>
      </c>
      <c r="AH168">
        <f t="shared" si="127"/>
        <v>0</v>
      </c>
      <c r="AJ168" s="332">
        <v>16</v>
      </c>
      <c r="AK168" s="127">
        <f t="shared" si="104"/>
        <v>0</v>
      </c>
      <c r="AL168" s="43" t="str">
        <f t="shared" si="105"/>
        <v/>
      </c>
      <c r="AM168" s="127">
        <f t="shared" si="128"/>
        <v>0</v>
      </c>
      <c r="AN168">
        <f t="shared" si="129"/>
        <v>0</v>
      </c>
      <c r="AP168">
        <f t="shared" si="130"/>
        <v>0</v>
      </c>
      <c r="AZ168" s="134">
        <f t="shared" si="106"/>
        <v>0</v>
      </c>
      <c r="BA168" s="208">
        <v>16</v>
      </c>
      <c r="BB168" s="54" t="str">
        <f t="shared" si="107"/>
        <v/>
      </c>
      <c r="BC168" s="54" t="str">
        <f t="shared" si="108"/>
        <v/>
      </c>
      <c r="BD168" s="43" t="str">
        <f t="shared" si="109"/>
        <v/>
      </c>
      <c r="BE168" s="43" t="str">
        <f t="shared" si="110"/>
        <v/>
      </c>
      <c r="BF168" s="43" t="str">
        <f t="shared" si="111"/>
        <v/>
      </c>
      <c r="BG168" s="43" t="str">
        <f t="shared" si="112"/>
        <v/>
      </c>
      <c r="BH168" s="43" t="str">
        <f t="shared" si="113"/>
        <v/>
      </c>
      <c r="BI168" s="43" t="str">
        <f>IFERROR(#REF!/$AZ168,"")</f>
        <v/>
      </c>
      <c r="BJ168" s="43" t="str">
        <f>IFERROR(#REF!/$AZ168,"")</f>
        <v/>
      </c>
      <c r="BK168" s="43" t="str">
        <f t="shared" si="114"/>
        <v/>
      </c>
      <c r="BL168" s="43" t="str">
        <f t="shared" si="115"/>
        <v/>
      </c>
      <c r="BM168" s="43" t="str">
        <f t="shared" si="116"/>
        <v/>
      </c>
      <c r="BN168" s="43" t="str">
        <f t="shared" si="117"/>
        <v/>
      </c>
      <c r="BO168" s="43" t="str">
        <f t="shared" si="118"/>
        <v/>
      </c>
      <c r="BP168" s="43" t="str">
        <f>IFERROR(#REF!/$AZ168,"")</f>
        <v/>
      </c>
      <c r="BQ168" s="43" t="str">
        <f>IFERROR(#REF!/$AZ168,"")</f>
        <v/>
      </c>
      <c r="BR168" s="43" t="str">
        <f t="shared" si="119"/>
        <v/>
      </c>
      <c r="BS168" s="43" t="str">
        <f t="shared" si="120"/>
        <v/>
      </c>
      <c r="BT168" s="43" t="str">
        <f t="shared" si="121"/>
        <v/>
      </c>
      <c r="BU168" s="43" t="str">
        <f t="shared" si="122"/>
        <v/>
      </c>
      <c r="BV168" s="43" t="str">
        <f t="shared" si="123"/>
        <v/>
      </c>
      <c r="BW168" s="43" t="str">
        <f>IFERROR(#REF!/$AZ168,"")</f>
        <v/>
      </c>
      <c r="BX168" s="43" t="str">
        <f>IFERROR(#REF!/$AZ168,"")</f>
        <v/>
      </c>
      <c r="BY168" s="43" t="str">
        <f t="shared" si="131"/>
        <v/>
      </c>
      <c r="BZ168" s="43" t="str">
        <f t="shared" si="132"/>
        <v/>
      </c>
      <c r="CA168" s="127" t="str">
        <f t="shared" si="124"/>
        <v/>
      </c>
      <c r="CB168" s="128" t="str">
        <f t="shared" si="133"/>
        <v/>
      </c>
    </row>
    <row r="169" spans="3:80" x14ac:dyDescent="0.25">
      <c r="C169" s="208">
        <v>17</v>
      </c>
      <c r="D169" s="54"/>
      <c r="E169" s="54"/>
      <c r="W169" s="127">
        <f t="shared" si="102"/>
        <v>0</v>
      </c>
      <c r="X169">
        <f t="shared" si="103"/>
        <v>0</v>
      </c>
      <c r="Y169">
        <f t="shared" si="125"/>
        <v>0</v>
      </c>
      <c r="AD169" s="329">
        <v>17</v>
      </c>
      <c r="AE169" s="43">
        <v>0</v>
      </c>
      <c r="AF169" s="128"/>
      <c r="AG169">
        <f t="shared" si="126"/>
        <v>0</v>
      </c>
      <c r="AH169">
        <f t="shared" si="127"/>
        <v>0</v>
      </c>
      <c r="AJ169" s="332">
        <v>17</v>
      </c>
      <c r="AK169" s="127" t="str">
        <f t="shared" si="104"/>
        <v/>
      </c>
      <c r="AL169" s="43" t="str">
        <f t="shared" si="105"/>
        <v/>
      </c>
      <c r="AM169" s="127">
        <f t="shared" si="128"/>
        <v>0</v>
      </c>
      <c r="AN169">
        <f t="shared" si="129"/>
        <v>0</v>
      </c>
      <c r="AP169">
        <f t="shared" si="130"/>
        <v>0</v>
      </c>
      <c r="AZ169" s="134" t="str">
        <f t="shared" si="106"/>
        <v/>
      </c>
      <c r="BA169" s="208">
        <v>17</v>
      </c>
      <c r="BB169" s="54" t="str">
        <f t="shared" si="107"/>
        <v/>
      </c>
      <c r="BC169" s="54" t="str">
        <f t="shared" si="108"/>
        <v/>
      </c>
      <c r="BD169" s="43" t="str">
        <f t="shared" si="109"/>
        <v/>
      </c>
      <c r="BE169" s="43" t="str">
        <f t="shared" si="110"/>
        <v/>
      </c>
      <c r="BF169" s="43" t="str">
        <f t="shared" si="111"/>
        <v/>
      </c>
      <c r="BG169" s="43" t="str">
        <f t="shared" si="112"/>
        <v/>
      </c>
      <c r="BH169" s="43" t="str">
        <f t="shared" si="113"/>
        <v/>
      </c>
      <c r="BI169" s="43" t="str">
        <f>IFERROR(#REF!/$AZ169,"")</f>
        <v/>
      </c>
      <c r="BJ169" s="43" t="str">
        <f>IFERROR(#REF!/$AZ169,"")</f>
        <v/>
      </c>
      <c r="BK169" s="43" t="str">
        <f t="shared" si="114"/>
        <v/>
      </c>
      <c r="BL169" s="43" t="str">
        <f t="shared" si="115"/>
        <v/>
      </c>
      <c r="BM169" s="43" t="str">
        <f t="shared" si="116"/>
        <v/>
      </c>
      <c r="BN169" s="43" t="str">
        <f t="shared" si="117"/>
        <v/>
      </c>
      <c r="BO169" s="43" t="str">
        <f t="shared" si="118"/>
        <v/>
      </c>
      <c r="BP169" s="43" t="str">
        <f>IFERROR(#REF!/$AZ169,"")</f>
        <v/>
      </c>
      <c r="BQ169" s="43" t="str">
        <f>IFERROR(#REF!/$AZ169,"")</f>
        <v/>
      </c>
      <c r="BR169" s="43" t="str">
        <f t="shared" si="119"/>
        <v/>
      </c>
      <c r="BS169" s="43" t="str">
        <f t="shared" si="120"/>
        <v/>
      </c>
      <c r="BT169" s="43" t="str">
        <f t="shared" si="121"/>
        <v/>
      </c>
      <c r="BU169" s="43" t="str">
        <f t="shared" si="122"/>
        <v/>
      </c>
      <c r="BV169" s="43" t="str">
        <f t="shared" si="123"/>
        <v/>
      </c>
      <c r="BW169" s="43" t="str">
        <f>IFERROR(#REF!/$AZ169,"")</f>
        <v/>
      </c>
      <c r="BX169" s="43" t="str">
        <f>IFERROR(#REF!/$AZ169,"")</f>
        <v/>
      </c>
      <c r="BY169" s="43" t="str">
        <f t="shared" si="131"/>
        <v/>
      </c>
      <c r="BZ169" s="43" t="str">
        <f t="shared" si="132"/>
        <v/>
      </c>
      <c r="CA169" s="127" t="str">
        <f t="shared" si="124"/>
        <v/>
      </c>
      <c r="CB169" s="128" t="str">
        <f t="shared" si="133"/>
        <v/>
      </c>
    </row>
    <row r="170" spans="3:80" x14ac:dyDescent="0.25">
      <c r="C170" s="208">
        <v>18</v>
      </c>
      <c r="D170" s="54"/>
      <c r="E170" s="54"/>
      <c r="W170" s="127">
        <f t="shared" si="102"/>
        <v>0</v>
      </c>
      <c r="X170">
        <f t="shared" si="103"/>
        <v>0</v>
      </c>
      <c r="Y170">
        <f t="shared" si="125"/>
        <v>0</v>
      </c>
      <c r="AD170" s="329">
        <v>18</v>
      </c>
      <c r="AE170" s="43">
        <v>0</v>
      </c>
      <c r="AF170" s="128"/>
      <c r="AG170">
        <f t="shared" si="126"/>
        <v>0</v>
      </c>
      <c r="AH170">
        <f t="shared" si="127"/>
        <v>0</v>
      </c>
      <c r="AJ170" s="332">
        <v>18</v>
      </c>
      <c r="AK170" s="127" t="str">
        <f t="shared" si="104"/>
        <v/>
      </c>
      <c r="AL170" s="43" t="str">
        <f t="shared" si="105"/>
        <v/>
      </c>
      <c r="AM170" s="127">
        <f t="shared" si="128"/>
        <v>0</v>
      </c>
      <c r="AN170">
        <f t="shared" si="129"/>
        <v>0</v>
      </c>
      <c r="AP170">
        <f t="shared" si="130"/>
        <v>0</v>
      </c>
      <c r="AZ170" s="134" t="str">
        <f t="shared" si="106"/>
        <v/>
      </c>
      <c r="BA170" s="208">
        <v>18</v>
      </c>
      <c r="BB170" s="54" t="str">
        <f t="shared" si="107"/>
        <v/>
      </c>
      <c r="BC170" s="54" t="str">
        <f t="shared" si="108"/>
        <v/>
      </c>
      <c r="BD170" s="43" t="str">
        <f t="shared" si="109"/>
        <v/>
      </c>
      <c r="BE170" s="43" t="str">
        <f t="shared" si="110"/>
        <v/>
      </c>
      <c r="BF170" s="43" t="str">
        <f t="shared" si="111"/>
        <v/>
      </c>
      <c r="BG170" s="43" t="str">
        <f t="shared" si="112"/>
        <v/>
      </c>
      <c r="BH170" s="43" t="str">
        <f t="shared" si="113"/>
        <v/>
      </c>
      <c r="BI170" s="43" t="str">
        <f>IFERROR(#REF!/$AZ170,"")</f>
        <v/>
      </c>
      <c r="BJ170" s="43" t="str">
        <f>IFERROR(#REF!/$AZ170,"")</f>
        <v/>
      </c>
      <c r="BK170" s="43" t="str">
        <f t="shared" si="114"/>
        <v/>
      </c>
      <c r="BL170" s="43" t="str">
        <f t="shared" si="115"/>
        <v/>
      </c>
      <c r="BM170" s="43" t="str">
        <f t="shared" si="116"/>
        <v/>
      </c>
      <c r="BN170" s="43" t="str">
        <f t="shared" si="117"/>
        <v/>
      </c>
      <c r="BO170" s="43" t="str">
        <f t="shared" si="118"/>
        <v/>
      </c>
      <c r="BP170" s="43" t="str">
        <f>IFERROR(#REF!/$AZ170,"")</f>
        <v/>
      </c>
      <c r="BQ170" s="43" t="str">
        <f>IFERROR(#REF!/$AZ170,"")</f>
        <v/>
      </c>
      <c r="BR170" s="43" t="str">
        <f t="shared" si="119"/>
        <v/>
      </c>
      <c r="BS170" s="43" t="str">
        <f t="shared" si="120"/>
        <v/>
      </c>
      <c r="BT170" s="43" t="str">
        <f t="shared" si="121"/>
        <v/>
      </c>
      <c r="BU170" s="43" t="str">
        <f t="shared" si="122"/>
        <v/>
      </c>
      <c r="BV170" s="43" t="str">
        <f t="shared" si="123"/>
        <v/>
      </c>
      <c r="BW170" s="43" t="str">
        <f>IFERROR(#REF!/$AZ170,"")</f>
        <v/>
      </c>
      <c r="BX170" s="43" t="str">
        <f>IFERROR(#REF!/$AZ170,"")</f>
        <v/>
      </c>
      <c r="BY170" s="43" t="str">
        <f t="shared" si="131"/>
        <v/>
      </c>
      <c r="BZ170" s="43" t="str">
        <f t="shared" si="132"/>
        <v/>
      </c>
      <c r="CA170" s="127" t="str">
        <f t="shared" si="124"/>
        <v/>
      </c>
      <c r="CB170" s="128" t="str">
        <f t="shared" si="133"/>
        <v/>
      </c>
    </row>
    <row r="171" spans="3:80" x14ac:dyDescent="0.25">
      <c r="C171" s="208">
        <v>19</v>
      </c>
      <c r="D171" s="54"/>
      <c r="E171" s="54"/>
      <c r="W171" s="127">
        <f t="shared" si="102"/>
        <v>0</v>
      </c>
      <c r="X171">
        <f t="shared" si="103"/>
        <v>0</v>
      </c>
      <c r="Y171">
        <f t="shared" si="125"/>
        <v>0</v>
      </c>
      <c r="AD171" s="329">
        <v>19</v>
      </c>
      <c r="AE171" s="43">
        <v>0</v>
      </c>
      <c r="AF171" s="128"/>
      <c r="AG171">
        <f t="shared" si="126"/>
        <v>0</v>
      </c>
      <c r="AH171">
        <f t="shared" si="127"/>
        <v>0</v>
      </c>
      <c r="AJ171" s="332">
        <v>19</v>
      </c>
      <c r="AK171" s="127" t="str">
        <f t="shared" si="104"/>
        <v/>
      </c>
      <c r="AL171" s="43" t="str">
        <f t="shared" si="105"/>
        <v/>
      </c>
      <c r="AM171" s="127">
        <f t="shared" si="128"/>
        <v>0</v>
      </c>
      <c r="AN171">
        <f t="shared" si="129"/>
        <v>0</v>
      </c>
      <c r="AP171">
        <f t="shared" si="130"/>
        <v>0</v>
      </c>
      <c r="AZ171" s="134" t="str">
        <f t="shared" si="106"/>
        <v/>
      </c>
      <c r="BA171" s="208">
        <v>19</v>
      </c>
      <c r="BB171" s="54" t="str">
        <f t="shared" si="107"/>
        <v/>
      </c>
      <c r="BC171" s="54" t="str">
        <f t="shared" si="108"/>
        <v/>
      </c>
      <c r="BD171" s="43" t="str">
        <f t="shared" si="109"/>
        <v/>
      </c>
      <c r="BE171" s="43" t="str">
        <f t="shared" si="110"/>
        <v/>
      </c>
      <c r="BF171" s="43" t="str">
        <f t="shared" si="111"/>
        <v/>
      </c>
      <c r="BG171" s="43" t="str">
        <f t="shared" si="112"/>
        <v/>
      </c>
      <c r="BH171" s="43" t="str">
        <f t="shared" si="113"/>
        <v/>
      </c>
      <c r="BI171" s="43" t="str">
        <f>IFERROR(#REF!/$AZ171,"")</f>
        <v/>
      </c>
      <c r="BJ171" s="43" t="str">
        <f>IFERROR(#REF!/$AZ171,"")</f>
        <v/>
      </c>
      <c r="BK171" s="43" t="str">
        <f t="shared" si="114"/>
        <v/>
      </c>
      <c r="BL171" s="43" t="str">
        <f t="shared" si="115"/>
        <v/>
      </c>
      <c r="BM171" s="43" t="str">
        <f t="shared" si="116"/>
        <v/>
      </c>
      <c r="BN171" s="43" t="str">
        <f t="shared" si="117"/>
        <v/>
      </c>
      <c r="BO171" s="43" t="str">
        <f t="shared" si="118"/>
        <v/>
      </c>
      <c r="BP171" s="43" t="str">
        <f>IFERROR(#REF!/$AZ171,"")</f>
        <v/>
      </c>
      <c r="BQ171" s="43" t="str">
        <f>IFERROR(#REF!/$AZ171,"")</f>
        <v/>
      </c>
      <c r="BR171" s="43" t="str">
        <f t="shared" si="119"/>
        <v/>
      </c>
      <c r="BS171" s="43" t="str">
        <f t="shared" si="120"/>
        <v/>
      </c>
      <c r="BT171" s="43" t="str">
        <f t="shared" si="121"/>
        <v/>
      </c>
      <c r="BU171" s="43" t="str">
        <f t="shared" si="122"/>
        <v/>
      </c>
      <c r="BV171" s="43" t="str">
        <f t="shared" si="123"/>
        <v/>
      </c>
      <c r="BW171" s="43" t="str">
        <f>IFERROR(#REF!/$AZ171,"")</f>
        <v/>
      </c>
      <c r="BX171" s="43" t="str">
        <f>IFERROR(#REF!/$AZ171,"")</f>
        <v/>
      </c>
      <c r="BY171" s="43" t="str">
        <f t="shared" si="131"/>
        <v/>
      </c>
      <c r="BZ171" s="43" t="str">
        <f t="shared" si="132"/>
        <v/>
      </c>
      <c r="CA171" s="127" t="str">
        <f t="shared" si="124"/>
        <v/>
      </c>
      <c r="CB171" s="128" t="str">
        <f t="shared" si="133"/>
        <v/>
      </c>
    </row>
    <row r="172" spans="3:80" x14ac:dyDescent="0.25">
      <c r="C172" s="208">
        <v>20</v>
      </c>
      <c r="D172" s="54"/>
      <c r="E172" s="54"/>
      <c r="F172">
        <v>0</v>
      </c>
      <c r="K172">
        <v>0</v>
      </c>
      <c r="P172">
        <v>0</v>
      </c>
      <c r="W172" s="127">
        <f t="shared" si="102"/>
        <v>0</v>
      </c>
      <c r="X172">
        <f t="shared" si="103"/>
        <v>0</v>
      </c>
      <c r="Y172">
        <f t="shared" si="125"/>
        <v>0</v>
      </c>
      <c r="AD172" s="329">
        <v>20</v>
      </c>
      <c r="AE172" s="43">
        <v>0</v>
      </c>
      <c r="AF172" s="128"/>
      <c r="AG172">
        <f t="shared" si="126"/>
        <v>0</v>
      </c>
      <c r="AH172">
        <f t="shared" si="127"/>
        <v>0</v>
      </c>
      <c r="AJ172" s="332">
        <v>20</v>
      </c>
      <c r="AK172" s="127">
        <f t="shared" si="104"/>
        <v>0</v>
      </c>
      <c r="AL172" s="43" t="str">
        <f t="shared" si="105"/>
        <v/>
      </c>
      <c r="AM172" s="127">
        <f t="shared" si="128"/>
        <v>0</v>
      </c>
      <c r="AN172">
        <f t="shared" si="129"/>
        <v>0</v>
      </c>
      <c r="AP172">
        <f t="shared" si="130"/>
        <v>0</v>
      </c>
      <c r="AZ172" s="134">
        <f t="shared" si="106"/>
        <v>0</v>
      </c>
      <c r="BA172" s="208">
        <v>20</v>
      </c>
      <c r="BB172" s="54" t="str">
        <f t="shared" si="107"/>
        <v/>
      </c>
      <c r="BC172" s="54" t="str">
        <f t="shared" si="108"/>
        <v/>
      </c>
      <c r="BD172" s="43" t="str">
        <f t="shared" si="109"/>
        <v/>
      </c>
      <c r="BE172" s="43" t="str">
        <f t="shared" si="110"/>
        <v/>
      </c>
      <c r="BF172" s="43" t="str">
        <f t="shared" si="111"/>
        <v/>
      </c>
      <c r="BG172" s="43" t="str">
        <f t="shared" si="112"/>
        <v/>
      </c>
      <c r="BH172" s="43" t="str">
        <f t="shared" si="113"/>
        <v/>
      </c>
      <c r="BI172" s="43" t="str">
        <f>IFERROR(#REF!/$AZ172,"")</f>
        <v/>
      </c>
      <c r="BJ172" s="43" t="str">
        <f>IFERROR(#REF!/$AZ172,"")</f>
        <v/>
      </c>
      <c r="BK172" s="43" t="str">
        <f t="shared" si="114"/>
        <v/>
      </c>
      <c r="BL172" s="43" t="str">
        <f t="shared" si="115"/>
        <v/>
      </c>
      <c r="BM172" s="43" t="str">
        <f t="shared" si="116"/>
        <v/>
      </c>
      <c r="BN172" s="43" t="str">
        <f t="shared" si="117"/>
        <v/>
      </c>
      <c r="BO172" s="43" t="str">
        <f t="shared" si="118"/>
        <v/>
      </c>
      <c r="BP172" s="43" t="str">
        <f>IFERROR(#REF!/$AZ172,"")</f>
        <v/>
      </c>
      <c r="BQ172" s="43" t="str">
        <f>IFERROR(#REF!/$AZ172,"")</f>
        <v/>
      </c>
      <c r="BR172" s="43" t="str">
        <f t="shared" si="119"/>
        <v/>
      </c>
      <c r="BS172" s="43" t="str">
        <f t="shared" si="120"/>
        <v/>
      </c>
      <c r="BT172" s="43" t="str">
        <f t="shared" si="121"/>
        <v/>
      </c>
      <c r="BU172" s="43" t="str">
        <f t="shared" si="122"/>
        <v/>
      </c>
      <c r="BV172" s="43" t="str">
        <f t="shared" si="123"/>
        <v/>
      </c>
      <c r="BW172" s="43" t="str">
        <f>IFERROR(#REF!/$AZ172,"")</f>
        <v/>
      </c>
      <c r="BX172" s="43" t="str">
        <f>IFERROR(#REF!/$AZ172,"")</f>
        <v/>
      </c>
      <c r="BY172" s="43" t="str">
        <f t="shared" si="131"/>
        <v/>
      </c>
      <c r="BZ172" s="43" t="str">
        <f t="shared" si="132"/>
        <v/>
      </c>
      <c r="CA172" s="127" t="str">
        <f t="shared" si="124"/>
        <v/>
      </c>
      <c r="CB172" s="128" t="str">
        <f t="shared" si="133"/>
        <v/>
      </c>
    </row>
    <row r="173" spans="3:80" x14ac:dyDescent="0.25">
      <c r="C173" s="208">
        <v>21</v>
      </c>
      <c r="D173" s="54"/>
      <c r="E173" s="54"/>
      <c r="W173" s="127">
        <f t="shared" si="102"/>
        <v>0</v>
      </c>
      <c r="X173">
        <f t="shared" si="103"/>
        <v>0</v>
      </c>
      <c r="Y173">
        <f t="shared" si="125"/>
        <v>0</v>
      </c>
      <c r="AD173" s="329">
        <v>21</v>
      </c>
      <c r="AE173" s="43">
        <v>0</v>
      </c>
      <c r="AF173" s="128"/>
      <c r="AG173">
        <f t="shared" si="126"/>
        <v>0</v>
      </c>
      <c r="AH173">
        <f t="shared" si="127"/>
        <v>0</v>
      </c>
      <c r="AJ173" s="332">
        <v>21</v>
      </c>
      <c r="AK173" s="127" t="str">
        <f t="shared" si="104"/>
        <v/>
      </c>
      <c r="AL173" s="43" t="str">
        <f t="shared" si="105"/>
        <v/>
      </c>
      <c r="AM173" s="127">
        <f t="shared" si="128"/>
        <v>0</v>
      </c>
      <c r="AN173">
        <f t="shared" si="129"/>
        <v>0</v>
      </c>
      <c r="AP173">
        <f t="shared" si="130"/>
        <v>0</v>
      </c>
      <c r="AZ173" s="134" t="str">
        <f t="shared" si="106"/>
        <v/>
      </c>
      <c r="BA173" s="208">
        <v>21</v>
      </c>
      <c r="BB173" s="54" t="str">
        <f t="shared" si="107"/>
        <v/>
      </c>
      <c r="BC173" s="54" t="str">
        <f t="shared" si="108"/>
        <v/>
      </c>
      <c r="BD173" s="43" t="str">
        <f t="shared" si="109"/>
        <v/>
      </c>
      <c r="BE173" s="43" t="str">
        <f t="shared" si="110"/>
        <v/>
      </c>
      <c r="BF173" s="43" t="str">
        <f t="shared" si="111"/>
        <v/>
      </c>
      <c r="BG173" s="43" t="str">
        <f t="shared" si="112"/>
        <v/>
      </c>
      <c r="BH173" s="43" t="str">
        <f t="shared" si="113"/>
        <v/>
      </c>
      <c r="BI173" s="43" t="str">
        <f>IFERROR(#REF!/$AZ173,"")</f>
        <v/>
      </c>
      <c r="BJ173" s="43" t="str">
        <f>IFERROR(#REF!/$AZ173,"")</f>
        <v/>
      </c>
      <c r="BK173" s="43" t="str">
        <f t="shared" si="114"/>
        <v/>
      </c>
      <c r="BL173" s="43" t="str">
        <f t="shared" si="115"/>
        <v/>
      </c>
      <c r="BM173" s="43" t="str">
        <f t="shared" si="116"/>
        <v/>
      </c>
      <c r="BN173" s="43" t="str">
        <f t="shared" si="117"/>
        <v/>
      </c>
      <c r="BO173" s="43" t="str">
        <f t="shared" si="118"/>
        <v/>
      </c>
      <c r="BP173" s="43" t="str">
        <f>IFERROR(#REF!/$AZ173,"")</f>
        <v/>
      </c>
      <c r="BQ173" s="43" t="str">
        <f>IFERROR(#REF!/$AZ173,"")</f>
        <v/>
      </c>
      <c r="BR173" s="43" t="str">
        <f t="shared" si="119"/>
        <v/>
      </c>
      <c r="BS173" s="43" t="str">
        <f t="shared" si="120"/>
        <v/>
      </c>
      <c r="BT173" s="43" t="str">
        <f t="shared" si="121"/>
        <v/>
      </c>
      <c r="BU173" s="43" t="str">
        <f t="shared" si="122"/>
        <v/>
      </c>
      <c r="BV173" s="43" t="str">
        <f t="shared" si="123"/>
        <v/>
      </c>
      <c r="BW173" s="43" t="str">
        <f>IFERROR(#REF!/$AZ173,"")</f>
        <v/>
      </c>
      <c r="BX173" s="43" t="str">
        <f>IFERROR(#REF!/$AZ173,"")</f>
        <v/>
      </c>
      <c r="BY173" s="43" t="str">
        <f t="shared" si="131"/>
        <v/>
      </c>
      <c r="BZ173" s="43" t="str">
        <f t="shared" si="132"/>
        <v/>
      </c>
      <c r="CA173" s="127" t="str">
        <f t="shared" si="124"/>
        <v/>
      </c>
      <c r="CB173" s="128" t="str">
        <f t="shared" si="133"/>
        <v/>
      </c>
    </row>
    <row r="174" spans="3:80" x14ac:dyDescent="0.25">
      <c r="C174" s="208">
        <v>22</v>
      </c>
      <c r="D174" s="54"/>
      <c r="E174" s="54"/>
      <c r="F174">
        <v>0</v>
      </c>
      <c r="R174">
        <v>3</v>
      </c>
      <c r="W174" s="127">
        <f t="shared" si="102"/>
        <v>3</v>
      </c>
      <c r="X174">
        <f t="shared" si="103"/>
        <v>1</v>
      </c>
      <c r="Y174">
        <f t="shared" si="125"/>
        <v>3</v>
      </c>
      <c r="AD174" s="329">
        <v>22</v>
      </c>
      <c r="AE174" s="43">
        <v>3</v>
      </c>
      <c r="AF174" s="128"/>
      <c r="AG174">
        <f t="shared" si="126"/>
        <v>3</v>
      </c>
      <c r="AH174">
        <f t="shared" si="127"/>
        <v>1</v>
      </c>
      <c r="AJ174" s="332">
        <v>22</v>
      </c>
      <c r="AK174" s="127" t="str">
        <f t="shared" si="104"/>
        <v/>
      </c>
      <c r="AL174" s="43" t="str">
        <f t="shared" si="105"/>
        <v/>
      </c>
      <c r="AM174" s="127">
        <f t="shared" si="128"/>
        <v>0</v>
      </c>
      <c r="AN174">
        <f t="shared" si="129"/>
        <v>0</v>
      </c>
      <c r="AP174">
        <f t="shared" si="130"/>
        <v>-1</v>
      </c>
      <c r="AZ174" s="134">
        <f t="shared" si="106"/>
        <v>3</v>
      </c>
      <c r="BA174" s="208">
        <v>22</v>
      </c>
      <c r="BB174" s="54">
        <f t="shared" si="107"/>
        <v>0</v>
      </c>
      <c r="BC174" s="54">
        <f t="shared" si="108"/>
        <v>0</v>
      </c>
      <c r="BD174" s="43">
        <f t="shared" si="109"/>
        <v>0</v>
      </c>
      <c r="BE174" s="43">
        <f t="shared" si="110"/>
        <v>0</v>
      </c>
      <c r="BF174" s="43">
        <f t="shared" si="111"/>
        <v>0</v>
      </c>
      <c r="BG174" s="43">
        <f t="shared" si="112"/>
        <v>0</v>
      </c>
      <c r="BH174" s="43">
        <f t="shared" si="113"/>
        <v>0</v>
      </c>
      <c r="BI174" s="43" t="str">
        <f>IFERROR(#REF!/$AZ174,"")</f>
        <v/>
      </c>
      <c r="BJ174" s="43" t="str">
        <f>IFERROR(#REF!/$AZ174,"")</f>
        <v/>
      </c>
      <c r="BK174" s="43">
        <f t="shared" si="114"/>
        <v>0</v>
      </c>
      <c r="BL174" s="43">
        <f t="shared" si="115"/>
        <v>0</v>
      </c>
      <c r="BM174" s="43">
        <f t="shared" si="116"/>
        <v>0</v>
      </c>
      <c r="BN174" s="43">
        <f t="shared" si="117"/>
        <v>0</v>
      </c>
      <c r="BO174" s="43">
        <f t="shared" si="118"/>
        <v>0</v>
      </c>
      <c r="BP174" s="43" t="str">
        <f>IFERROR(#REF!/$AZ174,"")</f>
        <v/>
      </c>
      <c r="BQ174" s="43" t="str">
        <f>IFERROR(#REF!/$AZ174,"")</f>
        <v/>
      </c>
      <c r="BR174" s="43">
        <f t="shared" si="119"/>
        <v>0</v>
      </c>
      <c r="BS174" s="43">
        <f t="shared" si="120"/>
        <v>0</v>
      </c>
      <c r="BT174" s="43">
        <f t="shared" si="121"/>
        <v>1</v>
      </c>
      <c r="BU174" s="43">
        <f t="shared" si="122"/>
        <v>0</v>
      </c>
      <c r="BV174" s="43">
        <f t="shared" si="123"/>
        <v>0</v>
      </c>
      <c r="BW174" s="43" t="str">
        <f>IFERROR(#REF!/$AZ174,"")</f>
        <v/>
      </c>
      <c r="BX174" s="43" t="str">
        <f>IFERROR(#REF!/$AZ174,"")</f>
        <v/>
      </c>
      <c r="BY174" s="43">
        <f t="shared" si="131"/>
        <v>0</v>
      </c>
      <c r="BZ174" s="43">
        <f t="shared" si="132"/>
        <v>0</v>
      </c>
      <c r="CA174" s="127">
        <f t="shared" si="124"/>
        <v>1</v>
      </c>
      <c r="CB174" s="128" t="b">
        <f t="shared" si="133"/>
        <v>1</v>
      </c>
    </row>
    <row r="175" spans="3:80" x14ac:dyDescent="0.25">
      <c r="C175" s="208">
        <v>23</v>
      </c>
      <c r="D175" s="54"/>
      <c r="E175" s="54"/>
      <c r="W175" s="127">
        <f t="shared" si="102"/>
        <v>0</v>
      </c>
      <c r="X175">
        <f t="shared" si="103"/>
        <v>0</v>
      </c>
      <c r="Y175">
        <f t="shared" si="125"/>
        <v>0</v>
      </c>
      <c r="AD175" s="329">
        <v>23</v>
      </c>
      <c r="AE175" s="43">
        <v>0</v>
      </c>
      <c r="AF175" s="128"/>
      <c r="AG175">
        <f t="shared" si="126"/>
        <v>0</v>
      </c>
      <c r="AH175">
        <f t="shared" si="127"/>
        <v>0</v>
      </c>
      <c r="AJ175" s="332">
        <v>23</v>
      </c>
      <c r="AK175" s="127" t="str">
        <f t="shared" si="104"/>
        <v/>
      </c>
      <c r="AL175" s="43" t="str">
        <f t="shared" si="105"/>
        <v/>
      </c>
      <c r="AM175" s="127">
        <f t="shared" si="128"/>
        <v>0</v>
      </c>
      <c r="AN175">
        <f t="shared" si="129"/>
        <v>0</v>
      </c>
      <c r="AP175">
        <f t="shared" si="130"/>
        <v>0</v>
      </c>
      <c r="AZ175" s="134" t="str">
        <f t="shared" si="106"/>
        <v/>
      </c>
      <c r="BA175" s="208">
        <v>23</v>
      </c>
      <c r="BB175" s="54" t="str">
        <f t="shared" si="107"/>
        <v/>
      </c>
      <c r="BC175" s="54" t="str">
        <f t="shared" si="108"/>
        <v/>
      </c>
      <c r="BD175" s="43" t="str">
        <f t="shared" si="109"/>
        <v/>
      </c>
      <c r="BE175" s="43" t="str">
        <f t="shared" si="110"/>
        <v/>
      </c>
      <c r="BF175" s="43" t="str">
        <f t="shared" si="111"/>
        <v/>
      </c>
      <c r="BG175" s="43" t="str">
        <f t="shared" si="112"/>
        <v/>
      </c>
      <c r="BH175" s="43" t="str">
        <f t="shared" si="113"/>
        <v/>
      </c>
      <c r="BI175" s="43" t="str">
        <f>IFERROR(#REF!/$AZ175,"")</f>
        <v/>
      </c>
      <c r="BJ175" s="43" t="str">
        <f>IFERROR(#REF!/$AZ175,"")</f>
        <v/>
      </c>
      <c r="BK175" s="43" t="str">
        <f t="shared" si="114"/>
        <v/>
      </c>
      <c r="BL175" s="43" t="str">
        <f t="shared" si="115"/>
        <v/>
      </c>
      <c r="BM175" s="43" t="str">
        <f t="shared" si="116"/>
        <v/>
      </c>
      <c r="BN175" s="43" t="str">
        <f t="shared" si="117"/>
        <v/>
      </c>
      <c r="BO175" s="43" t="str">
        <f t="shared" si="118"/>
        <v/>
      </c>
      <c r="BP175" s="43" t="str">
        <f>IFERROR(#REF!/$AZ175,"")</f>
        <v/>
      </c>
      <c r="BQ175" s="43" t="str">
        <f>IFERROR(#REF!/$AZ175,"")</f>
        <v/>
      </c>
      <c r="BR175" s="43" t="str">
        <f t="shared" si="119"/>
        <v/>
      </c>
      <c r="BS175" s="43" t="str">
        <f t="shared" si="120"/>
        <v/>
      </c>
      <c r="BT175" s="43" t="str">
        <f t="shared" si="121"/>
        <v/>
      </c>
      <c r="BU175" s="43" t="str">
        <f t="shared" si="122"/>
        <v/>
      </c>
      <c r="BV175" s="43" t="str">
        <f t="shared" si="123"/>
        <v/>
      </c>
      <c r="BW175" s="43" t="str">
        <f>IFERROR(#REF!/$AZ175,"")</f>
        <v/>
      </c>
      <c r="BX175" s="43" t="str">
        <f>IFERROR(#REF!/$AZ175,"")</f>
        <v/>
      </c>
      <c r="BY175" s="43" t="str">
        <f t="shared" si="131"/>
        <v/>
      </c>
      <c r="BZ175" s="43" t="str">
        <f t="shared" si="132"/>
        <v/>
      </c>
      <c r="CA175" s="127" t="str">
        <f t="shared" si="124"/>
        <v/>
      </c>
      <c r="CB175" s="128" t="str">
        <f t="shared" si="133"/>
        <v/>
      </c>
    </row>
    <row r="176" spans="3:80" x14ac:dyDescent="0.25">
      <c r="C176" s="208">
        <v>24</v>
      </c>
      <c r="D176" s="54"/>
      <c r="E176" s="54"/>
      <c r="F176">
        <v>0</v>
      </c>
      <c r="W176" s="127">
        <f t="shared" si="102"/>
        <v>0</v>
      </c>
      <c r="X176">
        <f t="shared" si="103"/>
        <v>0</v>
      </c>
      <c r="Y176">
        <f t="shared" si="125"/>
        <v>0</v>
      </c>
      <c r="AD176" s="329">
        <v>24</v>
      </c>
      <c r="AE176" s="43">
        <v>0</v>
      </c>
      <c r="AF176" s="128"/>
      <c r="AG176">
        <f t="shared" si="126"/>
        <v>0</v>
      </c>
      <c r="AH176">
        <f t="shared" si="127"/>
        <v>0</v>
      </c>
      <c r="AJ176" s="332">
        <v>24</v>
      </c>
      <c r="AK176" s="127" t="str">
        <f t="shared" si="104"/>
        <v/>
      </c>
      <c r="AL176" s="43" t="str">
        <f t="shared" si="105"/>
        <v/>
      </c>
      <c r="AM176" s="127">
        <f t="shared" si="128"/>
        <v>0</v>
      </c>
      <c r="AN176">
        <f t="shared" si="129"/>
        <v>0</v>
      </c>
      <c r="AP176">
        <f t="shared" si="130"/>
        <v>0</v>
      </c>
      <c r="AZ176" s="134">
        <f t="shared" si="106"/>
        <v>0</v>
      </c>
      <c r="BA176" s="208">
        <v>24</v>
      </c>
      <c r="BB176" s="54" t="str">
        <f t="shared" si="107"/>
        <v/>
      </c>
      <c r="BC176" s="54" t="str">
        <f t="shared" si="108"/>
        <v/>
      </c>
      <c r="BD176" s="43" t="str">
        <f t="shared" si="109"/>
        <v/>
      </c>
      <c r="BE176" s="43" t="str">
        <f t="shared" si="110"/>
        <v/>
      </c>
      <c r="BF176" s="43" t="str">
        <f t="shared" si="111"/>
        <v/>
      </c>
      <c r="BG176" s="43" t="str">
        <f t="shared" si="112"/>
        <v/>
      </c>
      <c r="BH176" s="43" t="str">
        <f t="shared" si="113"/>
        <v/>
      </c>
      <c r="BI176" s="43" t="str">
        <f>IFERROR(#REF!/$AZ176,"")</f>
        <v/>
      </c>
      <c r="BJ176" s="43" t="str">
        <f>IFERROR(#REF!/$AZ176,"")</f>
        <v/>
      </c>
      <c r="BK176" s="43" t="str">
        <f t="shared" si="114"/>
        <v/>
      </c>
      <c r="BL176" s="43" t="str">
        <f t="shared" si="115"/>
        <v/>
      </c>
      <c r="BM176" s="43" t="str">
        <f t="shared" si="116"/>
        <v/>
      </c>
      <c r="BN176" s="43" t="str">
        <f t="shared" si="117"/>
        <v/>
      </c>
      <c r="BO176" s="43" t="str">
        <f t="shared" si="118"/>
        <v/>
      </c>
      <c r="BP176" s="43" t="str">
        <f>IFERROR(#REF!/$AZ176,"")</f>
        <v/>
      </c>
      <c r="BQ176" s="43" t="str">
        <f>IFERROR(#REF!/$AZ176,"")</f>
        <v/>
      </c>
      <c r="BR176" s="43" t="str">
        <f t="shared" si="119"/>
        <v/>
      </c>
      <c r="BS176" s="43" t="str">
        <f t="shared" si="120"/>
        <v/>
      </c>
      <c r="BT176" s="43" t="str">
        <f t="shared" si="121"/>
        <v/>
      </c>
      <c r="BU176" s="43" t="str">
        <f t="shared" si="122"/>
        <v/>
      </c>
      <c r="BV176" s="43" t="str">
        <f t="shared" si="123"/>
        <v/>
      </c>
      <c r="BW176" s="43" t="str">
        <f>IFERROR(#REF!/$AZ176,"")</f>
        <v/>
      </c>
      <c r="BX176" s="43" t="str">
        <f>IFERROR(#REF!/$AZ176,"")</f>
        <v/>
      </c>
      <c r="BY176" s="43" t="str">
        <f t="shared" si="131"/>
        <v/>
      </c>
      <c r="BZ176" s="43" t="str">
        <f t="shared" si="132"/>
        <v/>
      </c>
      <c r="CA176" s="127" t="str">
        <f t="shared" si="124"/>
        <v/>
      </c>
      <c r="CB176" s="128" t="str">
        <f t="shared" si="133"/>
        <v/>
      </c>
    </row>
    <row r="177" spans="3:80" x14ac:dyDescent="0.25">
      <c r="C177" s="208">
        <v>25</v>
      </c>
      <c r="D177" s="54"/>
      <c r="E177" s="54"/>
      <c r="F177">
        <v>0</v>
      </c>
      <c r="W177" s="127">
        <f t="shared" si="102"/>
        <v>0</v>
      </c>
      <c r="X177">
        <f t="shared" si="103"/>
        <v>0</v>
      </c>
      <c r="Y177">
        <f t="shared" si="125"/>
        <v>0</v>
      </c>
      <c r="AD177" s="329">
        <v>25</v>
      </c>
      <c r="AE177" s="43">
        <v>0</v>
      </c>
      <c r="AF177" s="128"/>
      <c r="AG177">
        <f t="shared" si="126"/>
        <v>0</v>
      </c>
      <c r="AH177">
        <f t="shared" si="127"/>
        <v>0</v>
      </c>
      <c r="AJ177" s="332">
        <v>25</v>
      </c>
      <c r="AK177" s="127" t="str">
        <f t="shared" si="104"/>
        <v/>
      </c>
      <c r="AL177" s="43" t="str">
        <f t="shared" si="105"/>
        <v/>
      </c>
      <c r="AM177" s="127">
        <f t="shared" si="128"/>
        <v>0</v>
      </c>
      <c r="AN177">
        <f t="shared" si="129"/>
        <v>0</v>
      </c>
      <c r="AP177">
        <f t="shared" si="130"/>
        <v>0</v>
      </c>
      <c r="AZ177" s="134">
        <f t="shared" si="106"/>
        <v>0</v>
      </c>
      <c r="BA177" s="208">
        <v>25</v>
      </c>
      <c r="BB177" s="54" t="str">
        <f t="shared" si="107"/>
        <v/>
      </c>
      <c r="BC177" s="54" t="str">
        <f t="shared" si="108"/>
        <v/>
      </c>
      <c r="BD177" s="43" t="str">
        <f t="shared" si="109"/>
        <v/>
      </c>
      <c r="BE177" s="43" t="str">
        <f t="shared" si="110"/>
        <v/>
      </c>
      <c r="BF177" s="43" t="str">
        <f t="shared" si="111"/>
        <v/>
      </c>
      <c r="BG177" s="43" t="str">
        <f t="shared" si="112"/>
        <v/>
      </c>
      <c r="BH177" s="43" t="str">
        <f t="shared" si="113"/>
        <v/>
      </c>
      <c r="BI177" s="43" t="str">
        <f>IFERROR(#REF!/$AZ177,"")</f>
        <v/>
      </c>
      <c r="BJ177" s="43" t="str">
        <f>IFERROR(#REF!/$AZ177,"")</f>
        <v/>
      </c>
      <c r="BK177" s="43" t="str">
        <f t="shared" si="114"/>
        <v/>
      </c>
      <c r="BL177" s="43" t="str">
        <f t="shared" si="115"/>
        <v/>
      </c>
      <c r="BM177" s="43" t="str">
        <f t="shared" si="116"/>
        <v/>
      </c>
      <c r="BN177" s="43" t="str">
        <f t="shared" si="117"/>
        <v/>
      </c>
      <c r="BO177" s="43" t="str">
        <f t="shared" si="118"/>
        <v/>
      </c>
      <c r="BP177" s="43" t="str">
        <f>IFERROR(#REF!/$AZ177,"")</f>
        <v/>
      </c>
      <c r="BQ177" s="43" t="str">
        <f>IFERROR(#REF!/$AZ177,"")</f>
        <v/>
      </c>
      <c r="BR177" s="43" t="str">
        <f t="shared" si="119"/>
        <v/>
      </c>
      <c r="BS177" s="43" t="str">
        <f t="shared" si="120"/>
        <v/>
      </c>
      <c r="BT177" s="43" t="str">
        <f t="shared" si="121"/>
        <v/>
      </c>
      <c r="BU177" s="43" t="str">
        <f t="shared" si="122"/>
        <v/>
      </c>
      <c r="BV177" s="43" t="str">
        <f t="shared" si="123"/>
        <v/>
      </c>
      <c r="BW177" s="43" t="str">
        <f>IFERROR(#REF!/$AZ177,"")</f>
        <v/>
      </c>
      <c r="BX177" s="43" t="str">
        <f>IFERROR(#REF!/$AZ177,"")</f>
        <v/>
      </c>
      <c r="BY177" s="43" t="str">
        <f t="shared" si="131"/>
        <v/>
      </c>
      <c r="BZ177" s="43" t="str">
        <f t="shared" si="132"/>
        <v/>
      </c>
      <c r="CA177" s="127" t="str">
        <f t="shared" si="124"/>
        <v/>
      </c>
      <c r="CB177" s="128" t="str">
        <f t="shared" si="133"/>
        <v/>
      </c>
    </row>
    <row r="178" spans="3:80" x14ac:dyDescent="0.25">
      <c r="C178" s="208">
        <v>26</v>
      </c>
      <c r="D178" s="54"/>
      <c r="E178" s="54"/>
      <c r="F178">
        <v>0</v>
      </c>
      <c r="W178" s="127">
        <f t="shared" si="102"/>
        <v>0</v>
      </c>
      <c r="X178">
        <f t="shared" si="103"/>
        <v>0</v>
      </c>
      <c r="Y178">
        <f t="shared" si="125"/>
        <v>0</v>
      </c>
      <c r="AD178" s="329">
        <v>26</v>
      </c>
      <c r="AE178" s="43">
        <v>0</v>
      </c>
      <c r="AF178" s="128"/>
      <c r="AG178">
        <f t="shared" si="126"/>
        <v>0</v>
      </c>
      <c r="AH178">
        <f t="shared" si="127"/>
        <v>0</v>
      </c>
      <c r="AJ178" s="332">
        <v>26</v>
      </c>
      <c r="AK178" s="127" t="str">
        <f t="shared" si="104"/>
        <v/>
      </c>
      <c r="AL178" s="43" t="str">
        <f t="shared" si="105"/>
        <v/>
      </c>
      <c r="AM178" s="127">
        <f t="shared" si="128"/>
        <v>0</v>
      </c>
      <c r="AN178">
        <f t="shared" si="129"/>
        <v>0</v>
      </c>
      <c r="AP178">
        <f t="shared" si="130"/>
        <v>0</v>
      </c>
      <c r="AZ178" s="134">
        <f t="shared" si="106"/>
        <v>0</v>
      </c>
      <c r="BA178" s="208">
        <v>26</v>
      </c>
      <c r="BB178" s="54" t="str">
        <f t="shared" si="107"/>
        <v/>
      </c>
      <c r="BC178" s="54" t="str">
        <f t="shared" si="108"/>
        <v/>
      </c>
      <c r="BD178" s="43" t="str">
        <f t="shared" si="109"/>
        <v/>
      </c>
      <c r="BE178" s="43" t="str">
        <f t="shared" si="110"/>
        <v/>
      </c>
      <c r="BF178" s="43" t="str">
        <f t="shared" si="111"/>
        <v/>
      </c>
      <c r="BG178" s="43" t="str">
        <f t="shared" si="112"/>
        <v/>
      </c>
      <c r="BH178" s="43" t="str">
        <f t="shared" si="113"/>
        <v/>
      </c>
      <c r="BI178" s="43" t="str">
        <f>IFERROR(#REF!/$AZ178,"")</f>
        <v/>
      </c>
      <c r="BJ178" s="43" t="str">
        <f>IFERROR(#REF!/$AZ178,"")</f>
        <v/>
      </c>
      <c r="BK178" s="43" t="str">
        <f t="shared" si="114"/>
        <v/>
      </c>
      <c r="BL178" s="43" t="str">
        <f t="shared" si="115"/>
        <v/>
      </c>
      <c r="BM178" s="43" t="str">
        <f t="shared" si="116"/>
        <v/>
      </c>
      <c r="BN178" s="43" t="str">
        <f t="shared" si="117"/>
        <v/>
      </c>
      <c r="BO178" s="43" t="str">
        <f t="shared" si="118"/>
        <v/>
      </c>
      <c r="BP178" s="43" t="str">
        <f>IFERROR(#REF!/$AZ178,"")</f>
        <v/>
      </c>
      <c r="BQ178" s="43" t="str">
        <f>IFERROR(#REF!/$AZ178,"")</f>
        <v/>
      </c>
      <c r="BR178" s="43" t="str">
        <f t="shared" si="119"/>
        <v/>
      </c>
      <c r="BS178" s="43" t="str">
        <f t="shared" si="120"/>
        <v/>
      </c>
      <c r="BT178" s="43" t="str">
        <f t="shared" si="121"/>
        <v/>
      </c>
      <c r="BU178" s="43" t="str">
        <f t="shared" si="122"/>
        <v/>
      </c>
      <c r="BV178" s="43" t="str">
        <f t="shared" si="123"/>
        <v/>
      </c>
      <c r="BW178" s="43" t="str">
        <f>IFERROR(#REF!/$AZ178,"")</f>
        <v/>
      </c>
      <c r="BX178" s="43" t="str">
        <f>IFERROR(#REF!/$AZ178,"")</f>
        <v/>
      </c>
      <c r="BY178" s="43" t="str">
        <f t="shared" si="131"/>
        <v/>
      </c>
      <c r="BZ178" s="43" t="str">
        <f t="shared" si="132"/>
        <v/>
      </c>
      <c r="CA178" s="127" t="str">
        <f t="shared" si="124"/>
        <v/>
      </c>
      <c r="CB178" s="128" t="str">
        <f t="shared" si="133"/>
        <v/>
      </c>
    </row>
    <row r="179" spans="3:80" x14ac:dyDescent="0.25">
      <c r="C179" s="208">
        <v>27</v>
      </c>
      <c r="D179" s="54"/>
      <c r="E179" s="54"/>
      <c r="F179">
        <v>0</v>
      </c>
      <c r="I179">
        <v>0</v>
      </c>
      <c r="O179">
        <v>55</v>
      </c>
      <c r="W179" s="127">
        <f t="shared" si="102"/>
        <v>55</v>
      </c>
      <c r="X179">
        <f t="shared" si="103"/>
        <v>1</v>
      </c>
      <c r="Y179">
        <f t="shared" si="125"/>
        <v>55</v>
      </c>
      <c r="AD179" s="329">
        <v>27</v>
      </c>
      <c r="AE179" s="43">
        <v>55</v>
      </c>
      <c r="AF179" s="128"/>
      <c r="AG179">
        <f t="shared" si="126"/>
        <v>55</v>
      </c>
      <c r="AH179">
        <f t="shared" si="127"/>
        <v>1</v>
      </c>
      <c r="AJ179" s="332">
        <v>27</v>
      </c>
      <c r="AK179" s="127">
        <f t="shared" si="104"/>
        <v>0</v>
      </c>
      <c r="AL179" s="43" t="str">
        <f t="shared" si="105"/>
        <v/>
      </c>
      <c r="AM179" s="127">
        <f t="shared" si="128"/>
        <v>0</v>
      </c>
      <c r="AN179">
        <f t="shared" si="129"/>
        <v>0</v>
      </c>
      <c r="AP179">
        <f t="shared" si="130"/>
        <v>-1</v>
      </c>
      <c r="AZ179" s="134">
        <f t="shared" si="106"/>
        <v>55</v>
      </c>
      <c r="BA179" s="208">
        <v>27</v>
      </c>
      <c r="BB179" s="54">
        <f t="shared" si="107"/>
        <v>0</v>
      </c>
      <c r="BC179" s="54">
        <f t="shared" si="108"/>
        <v>0</v>
      </c>
      <c r="BD179" s="43">
        <f t="shared" si="109"/>
        <v>0</v>
      </c>
      <c r="BE179" s="43">
        <f t="shared" si="110"/>
        <v>0</v>
      </c>
      <c r="BF179" s="43">
        <f t="shared" si="111"/>
        <v>0</v>
      </c>
      <c r="BG179" s="43">
        <f t="shared" si="112"/>
        <v>0</v>
      </c>
      <c r="BH179" s="43">
        <f t="shared" si="113"/>
        <v>0</v>
      </c>
      <c r="BI179" s="43" t="str">
        <f>IFERROR(#REF!/$AZ179,"")</f>
        <v/>
      </c>
      <c r="BJ179" s="43" t="str">
        <f>IFERROR(#REF!/$AZ179,"")</f>
        <v/>
      </c>
      <c r="BK179" s="43">
        <f t="shared" si="114"/>
        <v>0</v>
      </c>
      <c r="BL179" s="43">
        <f t="shared" si="115"/>
        <v>0</v>
      </c>
      <c r="BM179" s="43">
        <f t="shared" si="116"/>
        <v>0</v>
      </c>
      <c r="BN179" s="43">
        <f t="shared" si="117"/>
        <v>0</v>
      </c>
      <c r="BO179" s="43">
        <f t="shared" si="118"/>
        <v>1</v>
      </c>
      <c r="BP179" s="43" t="str">
        <f>IFERROR(#REF!/$AZ179,"")</f>
        <v/>
      </c>
      <c r="BQ179" s="43" t="str">
        <f>IFERROR(#REF!/$AZ179,"")</f>
        <v/>
      </c>
      <c r="BR179" s="43">
        <f t="shared" si="119"/>
        <v>0</v>
      </c>
      <c r="BS179" s="43">
        <f t="shared" si="120"/>
        <v>0</v>
      </c>
      <c r="BT179" s="43">
        <f t="shared" si="121"/>
        <v>0</v>
      </c>
      <c r="BU179" s="43">
        <f t="shared" si="122"/>
        <v>0</v>
      </c>
      <c r="BV179" s="43">
        <f t="shared" si="123"/>
        <v>0</v>
      </c>
      <c r="BW179" s="43" t="str">
        <f>IFERROR(#REF!/$AZ179,"")</f>
        <v/>
      </c>
      <c r="BX179" s="43" t="str">
        <f>IFERROR(#REF!/$AZ179,"")</f>
        <v/>
      </c>
      <c r="BY179" s="43">
        <f t="shared" si="131"/>
        <v>0</v>
      </c>
      <c r="BZ179" s="43">
        <f t="shared" si="132"/>
        <v>0</v>
      </c>
      <c r="CA179" s="127">
        <f t="shared" si="124"/>
        <v>1</v>
      </c>
      <c r="CB179" s="128" t="b">
        <f t="shared" si="133"/>
        <v>1</v>
      </c>
    </row>
    <row r="180" spans="3:80" x14ac:dyDescent="0.25">
      <c r="C180" s="208">
        <v>28</v>
      </c>
      <c r="D180" s="54"/>
      <c r="E180" s="54"/>
      <c r="W180" s="127">
        <f t="shared" si="102"/>
        <v>0</v>
      </c>
      <c r="X180">
        <f t="shared" si="103"/>
        <v>0</v>
      </c>
      <c r="Y180">
        <f t="shared" si="125"/>
        <v>0</v>
      </c>
      <c r="AD180" s="329">
        <v>28</v>
      </c>
      <c r="AE180" s="43">
        <v>0</v>
      </c>
      <c r="AF180" s="128"/>
      <c r="AG180">
        <f t="shared" si="126"/>
        <v>0</v>
      </c>
      <c r="AH180">
        <f t="shared" si="127"/>
        <v>0</v>
      </c>
      <c r="AJ180" s="332">
        <v>28</v>
      </c>
      <c r="AK180" s="127" t="str">
        <f t="shared" si="104"/>
        <v/>
      </c>
      <c r="AL180" s="43" t="str">
        <f t="shared" si="105"/>
        <v/>
      </c>
      <c r="AM180" s="127">
        <f t="shared" si="128"/>
        <v>0</v>
      </c>
      <c r="AN180">
        <f t="shared" si="129"/>
        <v>0</v>
      </c>
      <c r="AP180">
        <f t="shared" si="130"/>
        <v>0</v>
      </c>
      <c r="AZ180" s="134" t="str">
        <f t="shared" si="106"/>
        <v/>
      </c>
      <c r="BA180" s="208">
        <v>28</v>
      </c>
      <c r="BB180" s="54" t="str">
        <f t="shared" si="107"/>
        <v/>
      </c>
      <c r="BC180" s="54" t="str">
        <f t="shared" si="108"/>
        <v/>
      </c>
      <c r="BD180" s="43" t="str">
        <f t="shared" si="109"/>
        <v/>
      </c>
      <c r="BE180" s="43" t="str">
        <f t="shared" si="110"/>
        <v/>
      </c>
      <c r="BF180" s="43" t="str">
        <f t="shared" si="111"/>
        <v/>
      </c>
      <c r="BG180" s="43" t="str">
        <f t="shared" si="112"/>
        <v/>
      </c>
      <c r="BH180" s="43" t="str">
        <f t="shared" si="113"/>
        <v/>
      </c>
      <c r="BI180" s="43" t="str">
        <f>IFERROR(#REF!/$AZ180,"")</f>
        <v/>
      </c>
      <c r="BJ180" s="43" t="str">
        <f>IFERROR(#REF!/$AZ180,"")</f>
        <v/>
      </c>
      <c r="BK180" s="43" t="str">
        <f t="shared" si="114"/>
        <v/>
      </c>
      <c r="BL180" s="43" t="str">
        <f t="shared" si="115"/>
        <v/>
      </c>
      <c r="BM180" s="43" t="str">
        <f t="shared" si="116"/>
        <v/>
      </c>
      <c r="BN180" s="43" t="str">
        <f t="shared" si="117"/>
        <v/>
      </c>
      <c r="BO180" s="43" t="str">
        <f t="shared" si="118"/>
        <v/>
      </c>
      <c r="BP180" s="43" t="str">
        <f>IFERROR(#REF!/$AZ180,"")</f>
        <v/>
      </c>
      <c r="BQ180" s="43" t="str">
        <f>IFERROR(#REF!/$AZ180,"")</f>
        <v/>
      </c>
      <c r="BR180" s="43" t="str">
        <f t="shared" si="119"/>
        <v/>
      </c>
      <c r="BS180" s="43" t="str">
        <f t="shared" si="120"/>
        <v/>
      </c>
      <c r="BT180" s="43" t="str">
        <f t="shared" si="121"/>
        <v/>
      </c>
      <c r="BU180" s="43" t="str">
        <f t="shared" si="122"/>
        <v/>
      </c>
      <c r="BV180" s="43" t="str">
        <f t="shared" si="123"/>
        <v/>
      </c>
      <c r="BW180" s="43" t="str">
        <f>IFERROR(#REF!/$AZ180,"")</f>
        <v/>
      </c>
      <c r="BX180" s="43" t="str">
        <f>IFERROR(#REF!/$AZ180,"")</f>
        <v/>
      </c>
      <c r="BY180" s="43" t="str">
        <f t="shared" si="131"/>
        <v/>
      </c>
      <c r="BZ180" s="43" t="str">
        <f t="shared" si="132"/>
        <v/>
      </c>
      <c r="CA180" s="127" t="str">
        <f t="shared" si="124"/>
        <v/>
      </c>
      <c r="CB180" s="128" t="str">
        <f t="shared" si="133"/>
        <v/>
      </c>
    </row>
    <row r="181" spans="3:80" x14ac:dyDescent="0.25">
      <c r="C181" s="208">
        <v>29</v>
      </c>
      <c r="D181" s="54"/>
      <c r="E181" s="54"/>
      <c r="F181">
        <v>0</v>
      </c>
      <c r="W181" s="127">
        <f t="shared" si="102"/>
        <v>0</v>
      </c>
      <c r="X181">
        <f t="shared" si="103"/>
        <v>0</v>
      </c>
      <c r="Y181">
        <f t="shared" si="125"/>
        <v>0</v>
      </c>
      <c r="AD181" s="329">
        <v>29</v>
      </c>
      <c r="AE181" s="43">
        <v>0</v>
      </c>
      <c r="AF181" s="128"/>
      <c r="AG181">
        <f t="shared" si="126"/>
        <v>0</v>
      </c>
      <c r="AH181">
        <f t="shared" si="127"/>
        <v>0</v>
      </c>
      <c r="AJ181" s="332">
        <v>29</v>
      </c>
      <c r="AK181" s="127" t="str">
        <f t="shared" si="104"/>
        <v/>
      </c>
      <c r="AL181" s="43" t="str">
        <f t="shared" si="105"/>
        <v/>
      </c>
      <c r="AM181" s="127">
        <f t="shared" si="128"/>
        <v>0</v>
      </c>
      <c r="AN181">
        <f t="shared" si="129"/>
        <v>0</v>
      </c>
      <c r="AP181">
        <f t="shared" si="130"/>
        <v>0</v>
      </c>
      <c r="AZ181" s="134">
        <f t="shared" si="106"/>
        <v>0</v>
      </c>
      <c r="BA181" s="208">
        <v>29</v>
      </c>
      <c r="BB181" s="54" t="str">
        <f t="shared" si="107"/>
        <v/>
      </c>
      <c r="BC181" s="54" t="str">
        <f t="shared" si="108"/>
        <v/>
      </c>
      <c r="BD181" s="43" t="str">
        <f t="shared" si="109"/>
        <v/>
      </c>
      <c r="BE181" s="43" t="str">
        <f t="shared" si="110"/>
        <v/>
      </c>
      <c r="BF181" s="43" t="str">
        <f t="shared" si="111"/>
        <v/>
      </c>
      <c r="BG181" s="43" t="str">
        <f t="shared" si="112"/>
        <v/>
      </c>
      <c r="BH181" s="43" t="str">
        <f t="shared" si="113"/>
        <v/>
      </c>
      <c r="BI181" s="43" t="str">
        <f>IFERROR(#REF!/$AZ181,"")</f>
        <v/>
      </c>
      <c r="BJ181" s="43" t="str">
        <f>IFERROR(#REF!/$AZ181,"")</f>
        <v/>
      </c>
      <c r="BK181" s="43" t="str">
        <f t="shared" si="114"/>
        <v/>
      </c>
      <c r="BL181" s="43" t="str">
        <f t="shared" si="115"/>
        <v/>
      </c>
      <c r="BM181" s="43" t="str">
        <f t="shared" si="116"/>
        <v/>
      </c>
      <c r="BN181" s="43" t="str">
        <f t="shared" si="117"/>
        <v/>
      </c>
      <c r="BO181" s="43" t="str">
        <f t="shared" si="118"/>
        <v/>
      </c>
      <c r="BP181" s="43" t="str">
        <f>IFERROR(#REF!/$AZ181,"")</f>
        <v/>
      </c>
      <c r="BQ181" s="43" t="str">
        <f>IFERROR(#REF!/$AZ181,"")</f>
        <v/>
      </c>
      <c r="BR181" s="43" t="str">
        <f t="shared" si="119"/>
        <v/>
      </c>
      <c r="BS181" s="43" t="str">
        <f t="shared" si="120"/>
        <v/>
      </c>
      <c r="BT181" s="43" t="str">
        <f t="shared" si="121"/>
        <v/>
      </c>
      <c r="BU181" s="43" t="str">
        <f t="shared" si="122"/>
        <v/>
      </c>
      <c r="BV181" s="43" t="str">
        <f t="shared" si="123"/>
        <v/>
      </c>
      <c r="BW181" s="43" t="str">
        <f>IFERROR(#REF!/$AZ181,"")</f>
        <v/>
      </c>
      <c r="BX181" s="43" t="str">
        <f>IFERROR(#REF!/$AZ181,"")</f>
        <v/>
      </c>
      <c r="BY181" s="43" t="str">
        <f t="shared" si="131"/>
        <v/>
      </c>
      <c r="BZ181" s="43" t="str">
        <f t="shared" si="132"/>
        <v/>
      </c>
      <c r="CA181" s="127" t="str">
        <f t="shared" si="124"/>
        <v/>
      </c>
      <c r="CB181" s="128" t="str">
        <f t="shared" si="133"/>
        <v/>
      </c>
    </row>
    <row r="182" spans="3:80" x14ac:dyDescent="0.25">
      <c r="C182" s="208">
        <v>30</v>
      </c>
      <c r="D182" s="54"/>
      <c r="E182" s="54"/>
      <c r="F182">
        <v>0</v>
      </c>
      <c r="P182">
        <v>2</v>
      </c>
      <c r="W182" s="127">
        <f t="shared" si="102"/>
        <v>2</v>
      </c>
      <c r="X182">
        <f t="shared" si="103"/>
        <v>1</v>
      </c>
      <c r="Y182">
        <f t="shared" si="125"/>
        <v>2</v>
      </c>
      <c r="AD182" s="329">
        <v>30</v>
      </c>
      <c r="AE182" s="43">
        <v>2</v>
      </c>
      <c r="AF182" s="128"/>
      <c r="AG182">
        <f t="shared" si="126"/>
        <v>2</v>
      </c>
      <c r="AH182">
        <f t="shared" si="127"/>
        <v>1</v>
      </c>
      <c r="AJ182" s="332">
        <v>30</v>
      </c>
      <c r="AK182" s="127" t="str">
        <f t="shared" si="104"/>
        <v/>
      </c>
      <c r="AL182" s="43" t="str">
        <f t="shared" si="105"/>
        <v/>
      </c>
      <c r="AM182" s="127">
        <f t="shared" si="128"/>
        <v>0</v>
      </c>
      <c r="AN182">
        <f t="shared" si="129"/>
        <v>0</v>
      </c>
      <c r="AP182">
        <f t="shared" si="130"/>
        <v>-1</v>
      </c>
      <c r="AZ182" s="134">
        <f t="shared" si="106"/>
        <v>2</v>
      </c>
      <c r="BA182" s="208">
        <v>30</v>
      </c>
      <c r="BB182" s="54">
        <f t="shared" si="107"/>
        <v>0</v>
      </c>
      <c r="BC182" s="54">
        <f t="shared" si="108"/>
        <v>0</v>
      </c>
      <c r="BD182" s="43">
        <f t="shared" si="109"/>
        <v>0</v>
      </c>
      <c r="BE182" s="43">
        <f t="shared" si="110"/>
        <v>0</v>
      </c>
      <c r="BF182" s="43">
        <f t="shared" si="111"/>
        <v>0</v>
      </c>
      <c r="BG182" s="43">
        <f t="shared" si="112"/>
        <v>0</v>
      </c>
      <c r="BH182" s="43">
        <f t="shared" si="113"/>
        <v>0</v>
      </c>
      <c r="BI182" s="43" t="str">
        <f>IFERROR(#REF!/$AZ182,"")</f>
        <v/>
      </c>
      <c r="BJ182" s="43" t="str">
        <f>IFERROR(#REF!/$AZ182,"")</f>
        <v/>
      </c>
      <c r="BK182" s="43">
        <f t="shared" si="114"/>
        <v>0</v>
      </c>
      <c r="BL182" s="43">
        <f t="shared" si="115"/>
        <v>0</v>
      </c>
      <c r="BM182" s="43">
        <f t="shared" si="116"/>
        <v>0</v>
      </c>
      <c r="BN182" s="43">
        <f t="shared" si="117"/>
        <v>0</v>
      </c>
      <c r="BO182" s="43">
        <f t="shared" si="118"/>
        <v>0</v>
      </c>
      <c r="BP182" s="43" t="str">
        <f>IFERROR(#REF!/$AZ182,"")</f>
        <v/>
      </c>
      <c r="BQ182" s="43" t="str">
        <f>IFERROR(#REF!/$AZ182,"")</f>
        <v/>
      </c>
      <c r="BR182" s="43">
        <f t="shared" si="119"/>
        <v>1</v>
      </c>
      <c r="BS182" s="43">
        <f t="shared" si="120"/>
        <v>0</v>
      </c>
      <c r="BT182" s="43">
        <f t="shared" si="121"/>
        <v>0</v>
      </c>
      <c r="BU182" s="43">
        <f t="shared" si="122"/>
        <v>0</v>
      </c>
      <c r="BV182" s="43">
        <f t="shared" si="123"/>
        <v>0</v>
      </c>
      <c r="BW182" s="43" t="str">
        <f>IFERROR(#REF!/$AZ182,"")</f>
        <v/>
      </c>
      <c r="BX182" s="43" t="str">
        <f>IFERROR(#REF!/$AZ182,"")</f>
        <v/>
      </c>
      <c r="BY182" s="43">
        <f t="shared" si="131"/>
        <v>0</v>
      </c>
      <c r="BZ182" s="43">
        <f t="shared" si="132"/>
        <v>0</v>
      </c>
      <c r="CA182" s="127">
        <f t="shared" si="124"/>
        <v>1</v>
      </c>
      <c r="CB182" s="128" t="b">
        <f t="shared" si="133"/>
        <v>1</v>
      </c>
    </row>
    <row r="183" spans="3:80" x14ac:dyDescent="0.25">
      <c r="C183" s="208">
        <v>31</v>
      </c>
      <c r="D183" s="54"/>
      <c r="E183" s="54"/>
      <c r="F183">
        <v>0</v>
      </c>
      <c r="I183">
        <v>102</v>
      </c>
      <c r="K183">
        <v>0</v>
      </c>
      <c r="N183">
        <v>18</v>
      </c>
      <c r="W183" s="127">
        <f t="shared" si="102"/>
        <v>120</v>
      </c>
      <c r="X183">
        <f t="shared" si="103"/>
        <v>2</v>
      </c>
      <c r="Y183">
        <f t="shared" si="125"/>
        <v>102</v>
      </c>
      <c r="AD183" s="329">
        <v>31</v>
      </c>
      <c r="AE183" s="43">
        <v>102</v>
      </c>
      <c r="AF183" s="128">
        <v>18</v>
      </c>
      <c r="AG183">
        <f t="shared" si="126"/>
        <v>120</v>
      </c>
      <c r="AH183">
        <f t="shared" si="127"/>
        <v>2</v>
      </c>
      <c r="AJ183" s="332">
        <v>31</v>
      </c>
      <c r="AK183" s="127">
        <f t="shared" si="104"/>
        <v>0</v>
      </c>
      <c r="AL183" s="43">
        <f t="shared" si="105"/>
        <v>0</v>
      </c>
      <c r="AM183" s="127">
        <f t="shared" si="128"/>
        <v>0</v>
      </c>
      <c r="AN183">
        <f t="shared" si="129"/>
        <v>0</v>
      </c>
      <c r="AP183">
        <f t="shared" si="130"/>
        <v>-2</v>
      </c>
      <c r="AZ183" s="134">
        <f t="shared" si="106"/>
        <v>102</v>
      </c>
      <c r="BA183" s="208">
        <v>31</v>
      </c>
      <c r="BB183" s="54">
        <f t="shared" si="107"/>
        <v>0</v>
      </c>
      <c r="BC183" s="54">
        <f t="shared" si="108"/>
        <v>0</v>
      </c>
      <c r="BD183" s="43">
        <f t="shared" si="109"/>
        <v>0</v>
      </c>
      <c r="BE183" s="43">
        <f t="shared" si="110"/>
        <v>0</v>
      </c>
      <c r="BF183" s="43">
        <f t="shared" si="111"/>
        <v>0</v>
      </c>
      <c r="BG183" s="43">
        <f t="shared" si="112"/>
        <v>1</v>
      </c>
      <c r="BH183" s="43">
        <f t="shared" si="113"/>
        <v>0</v>
      </c>
      <c r="BI183" s="43" t="str">
        <f>IFERROR(#REF!/$AZ183,"")</f>
        <v/>
      </c>
      <c r="BJ183" s="43" t="str">
        <f>IFERROR(#REF!/$AZ183,"")</f>
        <v/>
      </c>
      <c r="BK183" s="43">
        <f t="shared" si="114"/>
        <v>0</v>
      </c>
      <c r="BL183" s="43">
        <f t="shared" si="115"/>
        <v>0</v>
      </c>
      <c r="BM183" s="43">
        <f t="shared" si="116"/>
        <v>0</v>
      </c>
      <c r="BN183" s="43">
        <f t="shared" si="117"/>
        <v>0.17647058823529413</v>
      </c>
      <c r="BO183" s="43">
        <f t="shared" si="118"/>
        <v>0</v>
      </c>
      <c r="BP183" s="43" t="str">
        <f>IFERROR(#REF!/$AZ183,"")</f>
        <v/>
      </c>
      <c r="BQ183" s="43" t="str">
        <f>IFERROR(#REF!/$AZ183,"")</f>
        <v/>
      </c>
      <c r="BR183" s="43">
        <f t="shared" si="119"/>
        <v>0</v>
      </c>
      <c r="BS183" s="43">
        <f t="shared" si="120"/>
        <v>0</v>
      </c>
      <c r="BT183" s="43">
        <f t="shared" si="121"/>
        <v>0</v>
      </c>
      <c r="BU183" s="43">
        <f t="shared" si="122"/>
        <v>0</v>
      </c>
      <c r="BV183" s="43">
        <f t="shared" si="123"/>
        <v>0</v>
      </c>
      <c r="BW183" s="43" t="str">
        <f>IFERROR(#REF!/$AZ183,"")</f>
        <v/>
      </c>
      <c r="BX183" s="43" t="str">
        <f>IFERROR(#REF!/$AZ183,"")</f>
        <v/>
      </c>
      <c r="BY183" s="43">
        <f t="shared" si="131"/>
        <v>0</v>
      </c>
      <c r="BZ183" s="43">
        <f t="shared" si="132"/>
        <v>0</v>
      </c>
      <c r="CA183" s="127">
        <f t="shared" si="124"/>
        <v>1.1764705882352942</v>
      </c>
      <c r="CB183" s="128" t="b">
        <f t="shared" si="133"/>
        <v>0</v>
      </c>
    </row>
    <row r="184" spans="3:80" x14ac:dyDescent="0.25">
      <c r="C184" s="208">
        <v>32</v>
      </c>
      <c r="D184" s="54"/>
      <c r="E184" s="54"/>
      <c r="F184">
        <v>0</v>
      </c>
      <c r="W184" s="127">
        <f t="shared" si="102"/>
        <v>0</v>
      </c>
      <c r="X184">
        <f t="shared" si="103"/>
        <v>0</v>
      </c>
      <c r="Y184">
        <f t="shared" si="125"/>
        <v>0</v>
      </c>
      <c r="AD184" s="329">
        <v>32</v>
      </c>
      <c r="AE184" s="43">
        <v>0</v>
      </c>
      <c r="AF184" s="128"/>
      <c r="AG184">
        <f t="shared" si="126"/>
        <v>0</v>
      </c>
      <c r="AH184">
        <f t="shared" si="127"/>
        <v>0</v>
      </c>
      <c r="AJ184" s="332">
        <v>32</v>
      </c>
      <c r="AK184" s="127" t="str">
        <f t="shared" si="104"/>
        <v/>
      </c>
      <c r="AL184" s="43" t="str">
        <f t="shared" si="105"/>
        <v/>
      </c>
      <c r="AM184" s="127">
        <f t="shared" si="128"/>
        <v>0</v>
      </c>
      <c r="AN184">
        <f t="shared" si="129"/>
        <v>0</v>
      </c>
      <c r="AP184">
        <f t="shared" si="130"/>
        <v>0</v>
      </c>
      <c r="AZ184" s="134">
        <f t="shared" si="106"/>
        <v>0</v>
      </c>
      <c r="BA184" s="208">
        <v>32</v>
      </c>
      <c r="BB184" s="54" t="str">
        <f t="shared" si="107"/>
        <v/>
      </c>
      <c r="BC184" s="54" t="str">
        <f t="shared" si="108"/>
        <v/>
      </c>
      <c r="BD184" s="43" t="str">
        <f t="shared" si="109"/>
        <v/>
      </c>
      <c r="BE184" s="43" t="str">
        <f t="shared" si="110"/>
        <v/>
      </c>
      <c r="BF184" s="43" t="str">
        <f t="shared" si="111"/>
        <v/>
      </c>
      <c r="BG184" s="43" t="str">
        <f t="shared" si="112"/>
        <v/>
      </c>
      <c r="BH184" s="43" t="str">
        <f t="shared" si="113"/>
        <v/>
      </c>
      <c r="BI184" s="43" t="str">
        <f>IFERROR(#REF!/$AZ184,"")</f>
        <v/>
      </c>
      <c r="BJ184" s="43" t="str">
        <f>IFERROR(#REF!/$AZ184,"")</f>
        <v/>
      </c>
      <c r="BK184" s="43" t="str">
        <f t="shared" si="114"/>
        <v/>
      </c>
      <c r="BL184" s="43" t="str">
        <f t="shared" si="115"/>
        <v/>
      </c>
      <c r="BM184" s="43" t="str">
        <f t="shared" si="116"/>
        <v/>
      </c>
      <c r="BN184" s="43" t="str">
        <f t="shared" si="117"/>
        <v/>
      </c>
      <c r="BO184" s="43" t="str">
        <f t="shared" si="118"/>
        <v/>
      </c>
      <c r="BP184" s="43" t="str">
        <f>IFERROR(#REF!/$AZ184,"")</f>
        <v/>
      </c>
      <c r="BQ184" s="43" t="str">
        <f>IFERROR(#REF!/$AZ184,"")</f>
        <v/>
      </c>
      <c r="BR184" s="43" t="str">
        <f t="shared" si="119"/>
        <v/>
      </c>
      <c r="BS184" s="43" t="str">
        <f t="shared" si="120"/>
        <v/>
      </c>
      <c r="BT184" s="43" t="str">
        <f t="shared" si="121"/>
        <v/>
      </c>
      <c r="BU184" s="43" t="str">
        <f t="shared" si="122"/>
        <v/>
      </c>
      <c r="BV184" s="43" t="str">
        <f t="shared" si="123"/>
        <v/>
      </c>
      <c r="BW184" s="43" t="str">
        <f>IFERROR(#REF!/$AZ184,"")</f>
        <v/>
      </c>
      <c r="BX184" s="43" t="str">
        <f>IFERROR(#REF!/$AZ184,"")</f>
        <v/>
      </c>
      <c r="BY184" s="43" t="str">
        <f t="shared" si="131"/>
        <v/>
      </c>
      <c r="BZ184" s="43" t="str">
        <f t="shared" si="132"/>
        <v/>
      </c>
      <c r="CA184" s="127" t="str">
        <f t="shared" si="124"/>
        <v/>
      </c>
      <c r="CB184" s="128" t="str">
        <f t="shared" si="133"/>
        <v/>
      </c>
    </row>
    <row r="185" spans="3:80" x14ac:dyDescent="0.25">
      <c r="C185" s="208">
        <v>33</v>
      </c>
      <c r="D185" s="54"/>
      <c r="E185" s="54"/>
      <c r="F185">
        <v>0</v>
      </c>
      <c r="W185" s="127">
        <f t="shared" si="102"/>
        <v>0</v>
      </c>
      <c r="X185">
        <f t="shared" si="103"/>
        <v>0</v>
      </c>
      <c r="Y185">
        <f t="shared" si="125"/>
        <v>0</v>
      </c>
      <c r="AD185" s="329">
        <v>33</v>
      </c>
      <c r="AE185" s="43">
        <v>0</v>
      </c>
      <c r="AF185" s="128"/>
      <c r="AG185">
        <f t="shared" si="126"/>
        <v>0</v>
      </c>
      <c r="AH185">
        <f t="shared" si="127"/>
        <v>0</v>
      </c>
      <c r="AJ185" s="332">
        <v>33</v>
      </c>
      <c r="AK185" s="127" t="str">
        <f t="shared" si="104"/>
        <v/>
      </c>
      <c r="AL185" s="43" t="str">
        <f t="shared" si="105"/>
        <v/>
      </c>
      <c r="AM185" s="127">
        <f t="shared" si="128"/>
        <v>0</v>
      </c>
      <c r="AN185">
        <f t="shared" si="129"/>
        <v>0</v>
      </c>
      <c r="AP185">
        <f t="shared" si="130"/>
        <v>0</v>
      </c>
      <c r="AZ185" s="134">
        <f t="shared" si="106"/>
        <v>0</v>
      </c>
      <c r="BA185" s="208">
        <v>33</v>
      </c>
      <c r="BB185" s="54" t="str">
        <f t="shared" si="107"/>
        <v/>
      </c>
      <c r="BC185" s="54" t="str">
        <f t="shared" si="108"/>
        <v/>
      </c>
      <c r="BD185" s="43" t="str">
        <f t="shared" si="109"/>
        <v/>
      </c>
      <c r="BE185" s="43" t="str">
        <f t="shared" si="110"/>
        <v/>
      </c>
      <c r="BF185" s="43" t="str">
        <f t="shared" si="111"/>
        <v/>
      </c>
      <c r="BG185" s="43" t="str">
        <f t="shared" si="112"/>
        <v/>
      </c>
      <c r="BH185" s="43" t="str">
        <f t="shared" si="113"/>
        <v/>
      </c>
      <c r="BI185" s="43" t="str">
        <f>IFERROR(#REF!/$AZ185,"")</f>
        <v/>
      </c>
      <c r="BJ185" s="43" t="str">
        <f>IFERROR(#REF!/$AZ185,"")</f>
        <v/>
      </c>
      <c r="BK185" s="43" t="str">
        <f t="shared" si="114"/>
        <v/>
      </c>
      <c r="BL185" s="43" t="str">
        <f t="shared" si="115"/>
        <v/>
      </c>
      <c r="BM185" s="43" t="str">
        <f t="shared" si="116"/>
        <v/>
      </c>
      <c r="BN185" s="43" t="str">
        <f t="shared" si="117"/>
        <v/>
      </c>
      <c r="BO185" s="43" t="str">
        <f t="shared" si="118"/>
        <v/>
      </c>
      <c r="BP185" s="43" t="str">
        <f>IFERROR(#REF!/$AZ185,"")</f>
        <v/>
      </c>
      <c r="BQ185" s="43" t="str">
        <f>IFERROR(#REF!/$AZ185,"")</f>
        <v/>
      </c>
      <c r="BR185" s="43" t="str">
        <f t="shared" si="119"/>
        <v/>
      </c>
      <c r="BS185" s="43" t="str">
        <f t="shared" si="120"/>
        <v/>
      </c>
      <c r="BT185" s="43" t="str">
        <f t="shared" si="121"/>
        <v/>
      </c>
      <c r="BU185" s="43" t="str">
        <f t="shared" si="122"/>
        <v/>
      </c>
      <c r="BV185" s="43" t="str">
        <f t="shared" si="123"/>
        <v/>
      </c>
      <c r="BW185" s="43" t="str">
        <f>IFERROR(#REF!/$AZ185,"")</f>
        <v/>
      </c>
      <c r="BX185" s="43" t="str">
        <f>IFERROR(#REF!/$AZ185,"")</f>
        <v/>
      </c>
      <c r="BY185" s="43" t="str">
        <f t="shared" si="131"/>
        <v/>
      </c>
      <c r="BZ185" s="43" t="str">
        <f t="shared" si="132"/>
        <v/>
      </c>
      <c r="CA185" s="127" t="str">
        <f t="shared" si="124"/>
        <v/>
      </c>
      <c r="CB185" s="128" t="str">
        <f t="shared" si="133"/>
        <v/>
      </c>
    </row>
    <row r="186" spans="3:80" x14ac:dyDescent="0.25">
      <c r="C186" s="208">
        <v>34</v>
      </c>
      <c r="D186" s="54"/>
      <c r="E186" s="54"/>
      <c r="F186">
        <v>0</v>
      </c>
      <c r="W186" s="127">
        <f t="shared" si="102"/>
        <v>0</v>
      </c>
      <c r="X186">
        <f t="shared" si="103"/>
        <v>0</v>
      </c>
      <c r="Y186">
        <f t="shared" si="125"/>
        <v>0</v>
      </c>
      <c r="AD186" s="329">
        <v>34</v>
      </c>
      <c r="AE186" s="43">
        <v>0</v>
      </c>
      <c r="AF186" s="128"/>
      <c r="AG186">
        <f t="shared" si="126"/>
        <v>0</v>
      </c>
      <c r="AH186">
        <f t="shared" si="127"/>
        <v>0</v>
      </c>
      <c r="AJ186" s="332">
        <v>34</v>
      </c>
      <c r="AK186" s="127" t="str">
        <f t="shared" si="104"/>
        <v/>
      </c>
      <c r="AL186" s="43" t="str">
        <f t="shared" si="105"/>
        <v/>
      </c>
      <c r="AM186" s="127">
        <f t="shared" si="128"/>
        <v>0</v>
      </c>
      <c r="AN186">
        <f t="shared" si="129"/>
        <v>0</v>
      </c>
      <c r="AP186">
        <f t="shared" si="130"/>
        <v>0</v>
      </c>
      <c r="AZ186" s="134">
        <f t="shared" si="106"/>
        <v>0</v>
      </c>
      <c r="BA186" s="208">
        <v>34</v>
      </c>
      <c r="BB186" s="54" t="str">
        <f t="shared" si="107"/>
        <v/>
      </c>
      <c r="BC186" s="54" t="str">
        <f t="shared" si="108"/>
        <v/>
      </c>
      <c r="BD186" s="43" t="str">
        <f t="shared" si="109"/>
        <v/>
      </c>
      <c r="BE186" s="43" t="str">
        <f t="shared" si="110"/>
        <v/>
      </c>
      <c r="BF186" s="43" t="str">
        <f t="shared" si="111"/>
        <v/>
      </c>
      <c r="BG186" s="43" t="str">
        <f t="shared" si="112"/>
        <v/>
      </c>
      <c r="BH186" s="43" t="str">
        <f t="shared" si="113"/>
        <v/>
      </c>
      <c r="BI186" s="43" t="str">
        <f>IFERROR(#REF!/$AZ186,"")</f>
        <v/>
      </c>
      <c r="BJ186" s="43" t="str">
        <f>IFERROR(#REF!/$AZ186,"")</f>
        <v/>
      </c>
      <c r="BK186" s="43" t="str">
        <f t="shared" si="114"/>
        <v/>
      </c>
      <c r="BL186" s="43" t="str">
        <f t="shared" si="115"/>
        <v/>
      </c>
      <c r="BM186" s="43" t="str">
        <f t="shared" si="116"/>
        <v/>
      </c>
      <c r="BN186" s="43" t="str">
        <f t="shared" si="117"/>
        <v/>
      </c>
      <c r="BO186" s="43" t="str">
        <f t="shared" si="118"/>
        <v/>
      </c>
      <c r="BP186" s="43" t="str">
        <f>IFERROR(#REF!/$AZ186,"")</f>
        <v/>
      </c>
      <c r="BQ186" s="43" t="str">
        <f>IFERROR(#REF!/$AZ186,"")</f>
        <v/>
      </c>
      <c r="BR186" s="43" t="str">
        <f t="shared" si="119"/>
        <v/>
      </c>
      <c r="BS186" s="43" t="str">
        <f t="shared" si="120"/>
        <v/>
      </c>
      <c r="BT186" s="43" t="str">
        <f t="shared" si="121"/>
        <v/>
      </c>
      <c r="BU186" s="43" t="str">
        <f t="shared" si="122"/>
        <v/>
      </c>
      <c r="BV186" s="43" t="str">
        <f t="shared" si="123"/>
        <v/>
      </c>
      <c r="BW186" s="43" t="str">
        <f>IFERROR(#REF!/$AZ186,"")</f>
        <v/>
      </c>
      <c r="BX186" s="43" t="str">
        <f>IFERROR(#REF!/$AZ186,"")</f>
        <v/>
      </c>
      <c r="BY186" s="43" t="str">
        <f t="shared" si="131"/>
        <v/>
      </c>
      <c r="BZ186" s="43" t="str">
        <f t="shared" si="132"/>
        <v/>
      </c>
      <c r="CA186" s="127" t="str">
        <f t="shared" si="124"/>
        <v/>
      </c>
      <c r="CB186" s="128" t="str">
        <f t="shared" si="133"/>
        <v/>
      </c>
    </row>
    <row r="187" spans="3:80" x14ac:dyDescent="0.25">
      <c r="C187" s="208">
        <v>35</v>
      </c>
      <c r="D187" s="54"/>
      <c r="E187" s="54"/>
      <c r="F187">
        <v>0</v>
      </c>
      <c r="P187">
        <v>18</v>
      </c>
      <c r="W187" s="127">
        <f t="shared" si="102"/>
        <v>18</v>
      </c>
      <c r="X187">
        <f t="shared" si="103"/>
        <v>1</v>
      </c>
      <c r="Y187">
        <f t="shared" si="125"/>
        <v>18</v>
      </c>
      <c r="AD187" s="329">
        <v>35</v>
      </c>
      <c r="AE187" s="43">
        <v>18</v>
      </c>
      <c r="AF187" s="128"/>
      <c r="AG187">
        <f t="shared" si="126"/>
        <v>18</v>
      </c>
      <c r="AH187">
        <f t="shared" si="127"/>
        <v>1</v>
      </c>
      <c r="AJ187" s="332">
        <v>35</v>
      </c>
      <c r="AK187" s="127" t="str">
        <f t="shared" si="104"/>
        <v/>
      </c>
      <c r="AL187" s="43" t="str">
        <f t="shared" si="105"/>
        <v/>
      </c>
      <c r="AM187" s="127">
        <f t="shared" si="128"/>
        <v>0</v>
      </c>
      <c r="AN187">
        <f t="shared" si="129"/>
        <v>0</v>
      </c>
      <c r="AP187">
        <f t="shared" si="130"/>
        <v>-1</v>
      </c>
      <c r="AZ187" s="134">
        <f t="shared" si="106"/>
        <v>18</v>
      </c>
      <c r="BA187" s="208">
        <v>35</v>
      </c>
      <c r="BB187" s="54">
        <f t="shared" si="107"/>
        <v>0</v>
      </c>
      <c r="BC187" s="54">
        <f t="shared" si="108"/>
        <v>0</v>
      </c>
      <c r="BD187" s="43">
        <f t="shared" si="109"/>
        <v>0</v>
      </c>
      <c r="BE187" s="43">
        <f t="shared" si="110"/>
        <v>0</v>
      </c>
      <c r="BF187" s="43">
        <f t="shared" si="111"/>
        <v>0</v>
      </c>
      <c r="BG187" s="43">
        <f t="shared" si="112"/>
        <v>0</v>
      </c>
      <c r="BH187" s="43">
        <f t="shared" si="113"/>
        <v>0</v>
      </c>
      <c r="BI187" s="43" t="str">
        <f>IFERROR(#REF!/$AZ187,"")</f>
        <v/>
      </c>
      <c r="BJ187" s="43" t="str">
        <f>IFERROR(#REF!/$AZ187,"")</f>
        <v/>
      </c>
      <c r="BK187" s="43">
        <f t="shared" si="114"/>
        <v>0</v>
      </c>
      <c r="BL187" s="43">
        <f t="shared" si="115"/>
        <v>0</v>
      </c>
      <c r="BM187" s="43">
        <f t="shared" si="116"/>
        <v>0</v>
      </c>
      <c r="BN187" s="43">
        <f t="shared" si="117"/>
        <v>0</v>
      </c>
      <c r="BO187" s="43">
        <f t="shared" si="118"/>
        <v>0</v>
      </c>
      <c r="BP187" s="43" t="str">
        <f>IFERROR(#REF!/$AZ187,"")</f>
        <v/>
      </c>
      <c r="BQ187" s="43" t="str">
        <f>IFERROR(#REF!/$AZ187,"")</f>
        <v/>
      </c>
      <c r="BR187" s="43">
        <f t="shared" si="119"/>
        <v>1</v>
      </c>
      <c r="BS187" s="43">
        <f t="shared" si="120"/>
        <v>0</v>
      </c>
      <c r="BT187" s="43">
        <f t="shared" si="121"/>
        <v>0</v>
      </c>
      <c r="BU187" s="43">
        <f t="shared" si="122"/>
        <v>0</v>
      </c>
      <c r="BV187" s="43">
        <f t="shared" si="123"/>
        <v>0</v>
      </c>
      <c r="BW187" s="43" t="str">
        <f>IFERROR(#REF!/$AZ187,"")</f>
        <v/>
      </c>
      <c r="BX187" s="43" t="str">
        <f>IFERROR(#REF!/$AZ187,"")</f>
        <v/>
      </c>
      <c r="BY187" s="43">
        <f t="shared" si="131"/>
        <v>0</v>
      </c>
      <c r="BZ187" s="43">
        <f t="shared" si="132"/>
        <v>0</v>
      </c>
      <c r="CA187" s="127">
        <f t="shared" si="124"/>
        <v>1</v>
      </c>
      <c r="CB187" s="128" t="b">
        <f t="shared" si="133"/>
        <v>1</v>
      </c>
    </row>
    <row r="188" spans="3:80" x14ac:dyDescent="0.25">
      <c r="C188" s="208">
        <v>36</v>
      </c>
      <c r="D188" s="54"/>
      <c r="E188" s="54"/>
      <c r="F188">
        <v>0</v>
      </c>
      <c r="W188" s="127">
        <f t="shared" si="102"/>
        <v>0</v>
      </c>
      <c r="X188">
        <f t="shared" si="103"/>
        <v>0</v>
      </c>
      <c r="Y188">
        <f t="shared" si="125"/>
        <v>0</v>
      </c>
      <c r="AD188" s="329">
        <v>36</v>
      </c>
      <c r="AE188" s="43">
        <v>0</v>
      </c>
      <c r="AF188" s="128"/>
      <c r="AG188">
        <f t="shared" si="126"/>
        <v>0</v>
      </c>
      <c r="AH188">
        <f t="shared" si="127"/>
        <v>0</v>
      </c>
      <c r="AJ188" s="332">
        <v>36</v>
      </c>
      <c r="AK188" s="127" t="str">
        <f t="shared" si="104"/>
        <v/>
      </c>
      <c r="AL188" s="43" t="str">
        <f t="shared" si="105"/>
        <v/>
      </c>
      <c r="AM188" s="127">
        <f t="shared" si="128"/>
        <v>0</v>
      </c>
      <c r="AN188">
        <f t="shared" si="129"/>
        <v>0</v>
      </c>
      <c r="AP188">
        <f t="shared" si="130"/>
        <v>0</v>
      </c>
      <c r="AZ188" s="134">
        <f t="shared" si="106"/>
        <v>0</v>
      </c>
      <c r="BA188" s="208">
        <v>36</v>
      </c>
      <c r="BB188" s="54" t="str">
        <f t="shared" si="107"/>
        <v/>
      </c>
      <c r="BC188" s="54" t="str">
        <f t="shared" si="108"/>
        <v/>
      </c>
      <c r="BD188" s="43" t="str">
        <f t="shared" si="109"/>
        <v/>
      </c>
      <c r="BE188" s="43" t="str">
        <f t="shared" si="110"/>
        <v/>
      </c>
      <c r="BF188" s="43" t="str">
        <f t="shared" si="111"/>
        <v/>
      </c>
      <c r="BG188" s="43" t="str">
        <f t="shared" si="112"/>
        <v/>
      </c>
      <c r="BH188" s="43" t="str">
        <f t="shared" si="113"/>
        <v/>
      </c>
      <c r="BI188" s="43" t="str">
        <f>IFERROR(#REF!/$AZ188,"")</f>
        <v/>
      </c>
      <c r="BJ188" s="43" t="str">
        <f>IFERROR(#REF!/$AZ188,"")</f>
        <v/>
      </c>
      <c r="BK188" s="43" t="str">
        <f t="shared" si="114"/>
        <v/>
      </c>
      <c r="BL188" s="43" t="str">
        <f t="shared" si="115"/>
        <v/>
      </c>
      <c r="BM188" s="43" t="str">
        <f t="shared" si="116"/>
        <v/>
      </c>
      <c r="BN188" s="43" t="str">
        <f t="shared" si="117"/>
        <v/>
      </c>
      <c r="BO188" s="43" t="str">
        <f t="shared" si="118"/>
        <v/>
      </c>
      <c r="BP188" s="43" t="str">
        <f>IFERROR(#REF!/$AZ188,"")</f>
        <v/>
      </c>
      <c r="BQ188" s="43" t="str">
        <f>IFERROR(#REF!/$AZ188,"")</f>
        <v/>
      </c>
      <c r="BR188" s="43" t="str">
        <f t="shared" si="119"/>
        <v/>
      </c>
      <c r="BS188" s="43" t="str">
        <f t="shared" si="120"/>
        <v/>
      </c>
      <c r="BT188" s="43" t="str">
        <f t="shared" si="121"/>
        <v/>
      </c>
      <c r="BU188" s="43" t="str">
        <f t="shared" si="122"/>
        <v/>
      </c>
      <c r="BV188" s="43" t="str">
        <f t="shared" si="123"/>
        <v/>
      </c>
      <c r="BW188" s="43" t="str">
        <f>IFERROR(#REF!/$AZ188,"")</f>
        <v/>
      </c>
      <c r="BX188" s="43" t="str">
        <f>IFERROR(#REF!/$AZ188,"")</f>
        <v/>
      </c>
      <c r="BY188" s="43" t="str">
        <f t="shared" si="131"/>
        <v/>
      </c>
      <c r="BZ188" s="43" t="str">
        <f t="shared" si="132"/>
        <v/>
      </c>
      <c r="CA188" s="127" t="str">
        <f t="shared" si="124"/>
        <v/>
      </c>
      <c r="CB188" s="128" t="str">
        <f t="shared" si="133"/>
        <v/>
      </c>
    </row>
    <row r="189" spans="3:80" x14ac:dyDescent="0.25">
      <c r="C189" s="208">
        <v>37</v>
      </c>
      <c r="D189" s="54"/>
      <c r="E189" s="54"/>
      <c r="F189">
        <v>0</v>
      </c>
      <c r="W189" s="127">
        <f t="shared" si="102"/>
        <v>0</v>
      </c>
      <c r="X189">
        <f t="shared" si="103"/>
        <v>0</v>
      </c>
      <c r="Y189">
        <f t="shared" si="125"/>
        <v>0</v>
      </c>
      <c r="AD189" s="329">
        <v>37</v>
      </c>
      <c r="AE189" s="43">
        <v>0</v>
      </c>
      <c r="AF189" s="128"/>
      <c r="AG189">
        <f t="shared" si="126"/>
        <v>0</v>
      </c>
      <c r="AH189">
        <f t="shared" si="127"/>
        <v>0</v>
      </c>
      <c r="AJ189" s="332">
        <v>37</v>
      </c>
      <c r="AK189" s="127" t="str">
        <f t="shared" si="104"/>
        <v/>
      </c>
      <c r="AL189" s="43" t="str">
        <f t="shared" si="105"/>
        <v/>
      </c>
      <c r="AM189" s="127">
        <f t="shared" si="128"/>
        <v>0</v>
      </c>
      <c r="AN189">
        <f t="shared" si="129"/>
        <v>0</v>
      </c>
      <c r="AP189">
        <f t="shared" si="130"/>
        <v>0</v>
      </c>
      <c r="AZ189" s="134">
        <f t="shared" si="106"/>
        <v>0</v>
      </c>
      <c r="BA189" s="208">
        <v>37</v>
      </c>
      <c r="BB189" s="54" t="str">
        <f t="shared" si="107"/>
        <v/>
      </c>
      <c r="BC189" s="54" t="str">
        <f t="shared" si="108"/>
        <v/>
      </c>
      <c r="BD189" s="43" t="str">
        <f t="shared" si="109"/>
        <v/>
      </c>
      <c r="BE189" s="43" t="str">
        <f t="shared" si="110"/>
        <v/>
      </c>
      <c r="BF189" s="43" t="str">
        <f t="shared" si="111"/>
        <v/>
      </c>
      <c r="BG189" s="43" t="str">
        <f t="shared" si="112"/>
        <v/>
      </c>
      <c r="BH189" s="43" t="str">
        <f t="shared" si="113"/>
        <v/>
      </c>
      <c r="BI189" s="43" t="str">
        <f>IFERROR(#REF!/$AZ189,"")</f>
        <v/>
      </c>
      <c r="BJ189" s="43" t="str">
        <f>IFERROR(#REF!/$AZ189,"")</f>
        <v/>
      </c>
      <c r="BK189" s="43" t="str">
        <f t="shared" si="114"/>
        <v/>
      </c>
      <c r="BL189" s="43" t="str">
        <f t="shared" si="115"/>
        <v/>
      </c>
      <c r="BM189" s="43" t="str">
        <f t="shared" si="116"/>
        <v/>
      </c>
      <c r="BN189" s="43" t="str">
        <f t="shared" si="117"/>
        <v/>
      </c>
      <c r="BO189" s="43" t="str">
        <f t="shared" si="118"/>
        <v/>
      </c>
      <c r="BP189" s="43" t="str">
        <f>IFERROR(#REF!/$AZ189,"")</f>
        <v/>
      </c>
      <c r="BQ189" s="43" t="str">
        <f>IFERROR(#REF!/$AZ189,"")</f>
        <v/>
      </c>
      <c r="BR189" s="43" t="str">
        <f t="shared" si="119"/>
        <v/>
      </c>
      <c r="BS189" s="43" t="str">
        <f t="shared" si="120"/>
        <v/>
      </c>
      <c r="BT189" s="43" t="str">
        <f t="shared" si="121"/>
        <v/>
      </c>
      <c r="BU189" s="43" t="str">
        <f t="shared" si="122"/>
        <v/>
      </c>
      <c r="BV189" s="43" t="str">
        <f t="shared" si="123"/>
        <v/>
      </c>
      <c r="BW189" s="43" t="str">
        <f>IFERROR(#REF!/$AZ189,"")</f>
        <v/>
      </c>
      <c r="BX189" s="43" t="str">
        <f>IFERROR(#REF!/$AZ189,"")</f>
        <v/>
      </c>
      <c r="BY189" s="43" t="str">
        <f t="shared" si="131"/>
        <v/>
      </c>
      <c r="BZ189" s="43" t="str">
        <f t="shared" si="132"/>
        <v/>
      </c>
      <c r="CA189" s="127" t="str">
        <f t="shared" si="124"/>
        <v/>
      </c>
      <c r="CB189" s="128" t="str">
        <f t="shared" si="133"/>
        <v/>
      </c>
    </row>
    <row r="190" spans="3:80" x14ac:dyDescent="0.25">
      <c r="C190" s="208">
        <v>38</v>
      </c>
      <c r="D190" s="54"/>
      <c r="E190" s="54"/>
      <c r="K190">
        <v>0</v>
      </c>
      <c r="W190" s="127">
        <f t="shared" si="102"/>
        <v>0</v>
      </c>
      <c r="X190">
        <f t="shared" si="103"/>
        <v>0</v>
      </c>
      <c r="Y190">
        <f t="shared" si="125"/>
        <v>0</v>
      </c>
      <c r="AD190" s="329">
        <v>38</v>
      </c>
      <c r="AE190" s="43">
        <v>0</v>
      </c>
      <c r="AF190" s="128"/>
      <c r="AG190">
        <f t="shared" si="126"/>
        <v>0</v>
      </c>
      <c r="AH190">
        <f t="shared" si="127"/>
        <v>0</v>
      </c>
      <c r="AJ190" s="332">
        <v>38</v>
      </c>
      <c r="AK190" s="127" t="str">
        <f t="shared" si="104"/>
        <v/>
      </c>
      <c r="AL190" s="43" t="str">
        <f t="shared" si="105"/>
        <v/>
      </c>
      <c r="AM190" s="127">
        <f t="shared" si="128"/>
        <v>0</v>
      </c>
      <c r="AN190">
        <f t="shared" si="129"/>
        <v>0</v>
      </c>
      <c r="AP190">
        <f t="shared" si="130"/>
        <v>0</v>
      </c>
      <c r="AZ190" s="134">
        <f t="shared" si="106"/>
        <v>0</v>
      </c>
      <c r="BA190" s="208">
        <v>38</v>
      </c>
      <c r="BB190" s="54" t="str">
        <f t="shared" si="107"/>
        <v/>
      </c>
      <c r="BC190" s="54" t="str">
        <f t="shared" si="108"/>
        <v/>
      </c>
      <c r="BD190" s="43" t="str">
        <f t="shared" si="109"/>
        <v/>
      </c>
      <c r="BE190" s="43" t="str">
        <f t="shared" si="110"/>
        <v/>
      </c>
      <c r="BF190" s="43" t="str">
        <f t="shared" si="111"/>
        <v/>
      </c>
      <c r="BG190" s="43" t="str">
        <f t="shared" si="112"/>
        <v/>
      </c>
      <c r="BH190" s="43" t="str">
        <f t="shared" si="113"/>
        <v/>
      </c>
      <c r="BI190" s="43" t="str">
        <f>IFERROR(#REF!/$AZ190,"")</f>
        <v/>
      </c>
      <c r="BJ190" s="43" t="str">
        <f>IFERROR(#REF!/$AZ190,"")</f>
        <v/>
      </c>
      <c r="BK190" s="43" t="str">
        <f t="shared" si="114"/>
        <v/>
      </c>
      <c r="BL190" s="43" t="str">
        <f t="shared" si="115"/>
        <v/>
      </c>
      <c r="BM190" s="43" t="str">
        <f t="shared" si="116"/>
        <v/>
      </c>
      <c r="BN190" s="43" t="str">
        <f t="shared" si="117"/>
        <v/>
      </c>
      <c r="BO190" s="43" t="str">
        <f t="shared" si="118"/>
        <v/>
      </c>
      <c r="BP190" s="43" t="str">
        <f>IFERROR(#REF!/$AZ190,"")</f>
        <v/>
      </c>
      <c r="BQ190" s="43" t="str">
        <f>IFERROR(#REF!/$AZ190,"")</f>
        <v/>
      </c>
      <c r="BR190" s="43" t="str">
        <f t="shared" si="119"/>
        <v/>
      </c>
      <c r="BS190" s="43" t="str">
        <f t="shared" si="120"/>
        <v/>
      </c>
      <c r="BT190" s="43" t="str">
        <f t="shared" si="121"/>
        <v/>
      </c>
      <c r="BU190" s="43" t="str">
        <f t="shared" si="122"/>
        <v/>
      </c>
      <c r="BV190" s="43" t="str">
        <f t="shared" si="123"/>
        <v/>
      </c>
      <c r="BW190" s="43" t="str">
        <f>IFERROR(#REF!/$AZ190,"")</f>
        <v/>
      </c>
      <c r="BX190" s="43" t="str">
        <f>IFERROR(#REF!/$AZ190,"")</f>
        <v/>
      </c>
      <c r="BY190" s="43" t="str">
        <f t="shared" si="131"/>
        <v/>
      </c>
      <c r="BZ190" s="43" t="str">
        <f t="shared" si="132"/>
        <v/>
      </c>
      <c r="CA190" s="127" t="str">
        <f t="shared" si="124"/>
        <v/>
      </c>
      <c r="CB190" s="128" t="str">
        <f t="shared" si="133"/>
        <v/>
      </c>
    </row>
    <row r="191" spans="3:80" x14ac:dyDescent="0.25">
      <c r="C191" s="208">
        <v>39</v>
      </c>
      <c r="D191" s="54"/>
      <c r="E191" s="54"/>
      <c r="F191">
        <v>0</v>
      </c>
      <c r="I191">
        <v>0</v>
      </c>
      <c r="K191">
        <v>0</v>
      </c>
      <c r="W191" s="127">
        <f t="shared" si="102"/>
        <v>0</v>
      </c>
      <c r="X191">
        <f t="shared" si="103"/>
        <v>0</v>
      </c>
      <c r="Y191">
        <f t="shared" si="125"/>
        <v>0</v>
      </c>
      <c r="AD191" s="329">
        <v>39</v>
      </c>
      <c r="AE191" s="43">
        <v>0</v>
      </c>
      <c r="AF191" s="128"/>
      <c r="AG191">
        <f t="shared" si="126"/>
        <v>0</v>
      </c>
      <c r="AH191">
        <f t="shared" si="127"/>
        <v>0</v>
      </c>
      <c r="AJ191" s="332">
        <v>39</v>
      </c>
      <c r="AK191" s="127">
        <f t="shared" si="104"/>
        <v>0</v>
      </c>
      <c r="AL191" s="43" t="str">
        <f t="shared" si="105"/>
        <v/>
      </c>
      <c r="AM191" s="127">
        <f t="shared" si="128"/>
        <v>0</v>
      </c>
      <c r="AN191">
        <f t="shared" si="129"/>
        <v>0</v>
      </c>
      <c r="AP191">
        <f t="shared" si="130"/>
        <v>0</v>
      </c>
      <c r="AZ191" s="134">
        <f t="shared" si="106"/>
        <v>0</v>
      </c>
      <c r="BA191" s="208">
        <v>39</v>
      </c>
      <c r="BB191" s="54" t="str">
        <f t="shared" si="107"/>
        <v/>
      </c>
      <c r="BC191" s="54" t="str">
        <f t="shared" si="108"/>
        <v/>
      </c>
      <c r="BD191" s="43" t="str">
        <f t="shared" si="109"/>
        <v/>
      </c>
      <c r="BE191" s="43" t="str">
        <f t="shared" si="110"/>
        <v/>
      </c>
      <c r="BF191" s="43" t="str">
        <f t="shared" si="111"/>
        <v/>
      </c>
      <c r="BG191" s="43" t="str">
        <f t="shared" si="112"/>
        <v/>
      </c>
      <c r="BH191" s="43" t="str">
        <f t="shared" si="113"/>
        <v/>
      </c>
      <c r="BI191" s="43" t="str">
        <f>IFERROR(#REF!/$AZ191,"")</f>
        <v/>
      </c>
      <c r="BJ191" s="43" t="str">
        <f>IFERROR(#REF!/$AZ191,"")</f>
        <v/>
      </c>
      <c r="BK191" s="43" t="str">
        <f t="shared" si="114"/>
        <v/>
      </c>
      <c r="BL191" s="43" t="str">
        <f t="shared" si="115"/>
        <v/>
      </c>
      <c r="BM191" s="43" t="str">
        <f t="shared" si="116"/>
        <v/>
      </c>
      <c r="BN191" s="43" t="str">
        <f t="shared" si="117"/>
        <v/>
      </c>
      <c r="BO191" s="43" t="str">
        <f t="shared" si="118"/>
        <v/>
      </c>
      <c r="BP191" s="43" t="str">
        <f>IFERROR(#REF!/$AZ191,"")</f>
        <v/>
      </c>
      <c r="BQ191" s="43" t="str">
        <f>IFERROR(#REF!/$AZ191,"")</f>
        <v/>
      </c>
      <c r="BR191" s="43" t="str">
        <f t="shared" si="119"/>
        <v/>
      </c>
      <c r="BS191" s="43" t="str">
        <f t="shared" si="120"/>
        <v/>
      </c>
      <c r="BT191" s="43" t="str">
        <f t="shared" si="121"/>
        <v/>
      </c>
      <c r="BU191" s="43" t="str">
        <f t="shared" si="122"/>
        <v/>
      </c>
      <c r="BV191" s="43" t="str">
        <f t="shared" si="123"/>
        <v/>
      </c>
      <c r="BW191" s="43" t="str">
        <f>IFERROR(#REF!/$AZ191,"")</f>
        <v/>
      </c>
      <c r="BX191" s="43" t="str">
        <f>IFERROR(#REF!/$AZ191,"")</f>
        <v/>
      </c>
      <c r="BY191" s="43" t="str">
        <f t="shared" si="131"/>
        <v/>
      </c>
      <c r="BZ191" s="43" t="str">
        <f t="shared" si="132"/>
        <v/>
      </c>
      <c r="CA191" s="127" t="str">
        <f t="shared" si="124"/>
        <v/>
      </c>
      <c r="CB191" s="128" t="str">
        <f t="shared" si="133"/>
        <v/>
      </c>
    </row>
    <row r="192" spans="3:80" ht="15.75" thickBot="1" x14ac:dyDescent="0.3">
      <c r="C192" s="208">
        <v>40</v>
      </c>
      <c r="D192" s="54"/>
      <c r="E192" s="54"/>
      <c r="F192">
        <v>0</v>
      </c>
      <c r="I192">
        <v>68</v>
      </c>
      <c r="K192">
        <v>24</v>
      </c>
      <c r="W192" s="127">
        <f t="shared" si="102"/>
        <v>92</v>
      </c>
      <c r="X192">
        <f t="shared" si="103"/>
        <v>2</v>
      </c>
      <c r="Y192">
        <f t="shared" si="125"/>
        <v>68</v>
      </c>
      <c r="AD192" s="330">
        <v>40</v>
      </c>
      <c r="AE192" s="45">
        <v>68</v>
      </c>
      <c r="AF192" s="42">
        <v>24</v>
      </c>
      <c r="AG192">
        <f t="shared" si="126"/>
        <v>92</v>
      </c>
      <c r="AH192">
        <f t="shared" si="127"/>
        <v>2</v>
      </c>
      <c r="AJ192" s="333">
        <v>40</v>
      </c>
      <c r="AK192" s="129">
        <f t="shared" si="104"/>
        <v>0</v>
      </c>
      <c r="AL192" s="45" t="str">
        <f t="shared" si="105"/>
        <v/>
      </c>
      <c r="AM192" s="127">
        <f t="shared" si="128"/>
        <v>0</v>
      </c>
      <c r="AN192">
        <f t="shared" si="129"/>
        <v>0</v>
      </c>
      <c r="AP192">
        <f t="shared" si="130"/>
        <v>-2</v>
      </c>
      <c r="AZ192" s="134">
        <f t="shared" si="106"/>
        <v>68</v>
      </c>
      <c r="BA192" s="208">
        <v>40</v>
      </c>
      <c r="BB192" s="54">
        <f t="shared" si="107"/>
        <v>0</v>
      </c>
      <c r="BC192" s="54">
        <f t="shared" si="108"/>
        <v>0</v>
      </c>
      <c r="BD192" s="43">
        <f t="shared" si="109"/>
        <v>0</v>
      </c>
      <c r="BE192" s="43">
        <f t="shared" si="110"/>
        <v>0</v>
      </c>
      <c r="BF192" s="43">
        <f t="shared" si="111"/>
        <v>0</v>
      </c>
      <c r="BG192" s="43">
        <f t="shared" si="112"/>
        <v>1</v>
      </c>
      <c r="BH192" s="43">
        <f t="shared" si="113"/>
        <v>0</v>
      </c>
      <c r="BI192" s="43" t="str">
        <f>IFERROR(#REF!/$AZ192,"")</f>
        <v/>
      </c>
      <c r="BJ192" s="43" t="str">
        <f>IFERROR(#REF!/$AZ192,"")</f>
        <v/>
      </c>
      <c r="BK192" s="43">
        <f t="shared" si="114"/>
        <v>0.35294117647058826</v>
      </c>
      <c r="BL192" s="43">
        <f t="shared" si="115"/>
        <v>0</v>
      </c>
      <c r="BM192" s="43">
        <f t="shared" si="116"/>
        <v>0</v>
      </c>
      <c r="BN192" s="43">
        <f t="shared" si="117"/>
        <v>0</v>
      </c>
      <c r="BO192" s="43">
        <f t="shared" si="118"/>
        <v>0</v>
      </c>
      <c r="BP192" s="43" t="str">
        <f>IFERROR(#REF!/$AZ192,"")</f>
        <v/>
      </c>
      <c r="BQ192" s="43" t="str">
        <f>IFERROR(#REF!/$AZ192,"")</f>
        <v/>
      </c>
      <c r="BR192" s="43">
        <f t="shared" si="119"/>
        <v>0</v>
      </c>
      <c r="BS192" s="43">
        <f t="shared" si="120"/>
        <v>0</v>
      </c>
      <c r="BT192" s="43">
        <f t="shared" si="121"/>
        <v>0</v>
      </c>
      <c r="BU192" s="43">
        <f t="shared" si="122"/>
        <v>0</v>
      </c>
      <c r="BV192" s="43">
        <f t="shared" si="123"/>
        <v>0</v>
      </c>
      <c r="BW192" s="43" t="str">
        <f>IFERROR(#REF!/$AZ192,"")</f>
        <v/>
      </c>
      <c r="BX192" s="43" t="str">
        <f>IFERROR(#REF!/$AZ192,"")</f>
        <v/>
      </c>
      <c r="BY192" s="43">
        <f t="shared" si="131"/>
        <v>0</v>
      </c>
      <c r="BZ192" s="43">
        <f t="shared" si="132"/>
        <v>0</v>
      </c>
      <c r="CA192" s="127">
        <f t="shared" si="124"/>
        <v>1.3529411764705883</v>
      </c>
      <c r="CB192" s="128" t="b">
        <f t="shared" si="133"/>
        <v>0</v>
      </c>
    </row>
    <row r="193" spans="3:80" ht="15.75" thickTop="1" x14ac:dyDescent="0.25">
      <c r="C193" s="211" t="s">
        <v>74</v>
      </c>
      <c r="D193" s="211">
        <f>SUM(D153:D192)</f>
        <v>0</v>
      </c>
      <c r="E193" s="211">
        <f t="shared" ref="E193:V193" si="134">SUM(E153:E192)</f>
        <v>0</v>
      </c>
      <c r="F193" s="211">
        <f t="shared" si="134"/>
        <v>0</v>
      </c>
      <c r="G193" s="211">
        <f t="shared" si="134"/>
        <v>0</v>
      </c>
      <c r="H193" s="211">
        <f t="shared" si="134"/>
        <v>0</v>
      </c>
      <c r="I193" s="211">
        <f t="shared" si="134"/>
        <v>170</v>
      </c>
      <c r="J193" s="211">
        <f t="shared" si="134"/>
        <v>0</v>
      </c>
      <c r="K193" s="211">
        <f t="shared" si="134"/>
        <v>24</v>
      </c>
      <c r="L193" s="211">
        <f t="shared" si="134"/>
        <v>0</v>
      </c>
      <c r="M193" s="211">
        <f t="shared" si="134"/>
        <v>0</v>
      </c>
      <c r="N193" s="211">
        <f t="shared" si="134"/>
        <v>18</v>
      </c>
      <c r="O193" s="211">
        <f t="shared" si="134"/>
        <v>55</v>
      </c>
      <c r="P193" s="211">
        <f t="shared" si="134"/>
        <v>20</v>
      </c>
      <c r="Q193" s="211">
        <f t="shared" si="134"/>
        <v>0</v>
      </c>
      <c r="R193" s="211">
        <f t="shared" si="134"/>
        <v>44</v>
      </c>
      <c r="S193" s="211">
        <f t="shared" si="134"/>
        <v>0</v>
      </c>
      <c r="T193" s="211">
        <f t="shared" si="134"/>
        <v>0</v>
      </c>
      <c r="U193" s="211">
        <f t="shared" si="134"/>
        <v>0</v>
      </c>
      <c r="V193" s="211">
        <f t="shared" si="134"/>
        <v>0</v>
      </c>
      <c r="W193" s="209">
        <f t="shared" si="102"/>
        <v>331</v>
      </c>
      <c r="X193" s="54">
        <f>SUM(X153:X192)</f>
        <v>9</v>
      </c>
      <c r="AF193" t="s">
        <v>181</v>
      </c>
      <c r="AG193" s="152">
        <f>SUM(AG153:AG192)</f>
        <v>331</v>
      </c>
      <c r="AH193" s="152">
        <f>SUM(AH153:AH192)</f>
        <v>9</v>
      </c>
      <c r="AL193" t="s">
        <v>181</v>
      </c>
      <c r="AM193" s="152">
        <f>SUM(AM153:AM192)</f>
        <v>0</v>
      </c>
      <c r="AN193" s="152">
        <f>SUM(AN153:AN192)</f>
        <v>0</v>
      </c>
      <c r="AZ193" s="237">
        <f t="shared" si="106"/>
        <v>170</v>
      </c>
      <c r="BA193" s="211" t="s">
        <v>74</v>
      </c>
      <c r="BB193" s="211">
        <f t="shared" si="107"/>
        <v>0</v>
      </c>
      <c r="BC193" s="211">
        <f t="shared" si="108"/>
        <v>0</v>
      </c>
      <c r="BD193" s="211">
        <f t="shared" si="109"/>
        <v>0</v>
      </c>
      <c r="BE193" s="211">
        <f t="shared" si="110"/>
        <v>0</v>
      </c>
      <c r="BF193" s="211">
        <f t="shared" si="111"/>
        <v>0</v>
      </c>
      <c r="BG193" s="211">
        <f t="shared" si="112"/>
        <v>1</v>
      </c>
      <c r="BH193" s="211">
        <f t="shared" si="113"/>
        <v>0</v>
      </c>
      <c r="BI193" s="211" t="str">
        <f>IFERROR(#REF!/$AZ193,"")</f>
        <v/>
      </c>
      <c r="BJ193" s="211" t="str">
        <f>IFERROR(#REF!/$AZ193,"")</f>
        <v/>
      </c>
      <c r="BK193" s="211">
        <f t="shared" si="114"/>
        <v>0.14117647058823529</v>
      </c>
      <c r="BL193" s="211">
        <f t="shared" si="115"/>
        <v>0</v>
      </c>
      <c r="BM193" s="211">
        <f t="shared" si="116"/>
        <v>0</v>
      </c>
      <c r="BN193" s="211">
        <f t="shared" si="117"/>
        <v>0.10588235294117647</v>
      </c>
      <c r="BO193" s="211">
        <f t="shared" si="118"/>
        <v>0.3235294117647059</v>
      </c>
      <c r="BP193" s="211" t="str">
        <f>IFERROR(#REF!/$AZ193,"")</f>
        <v/>
      </c>
      <c r="BQ193" s="211" t="str">
        <f>IFERROR(#REF!/$AZ193,"")</f>
        <v/>
      </c>
      <c r="BR193" s="211">
        <f t="shared" si="119"/>
        <v>0.11764705882352941</v>
      </c>
      <c r="BS193" s="211">
        <f t="shared" si="120"/>
        <v>0</v>
      </c>
      <c r="BT193" s="211">
        <f t="shared" si="121"/>
        <v>0.25882352941176473</v>
      </c>
      <c r="BU193" s="211">
        <f t="shared" si="122"/>
        <v>0</v>
      </c>
      <c r="BV193" s="211">
        <f t="shared" si="123"/>
        <v>0</v>
      </c>
      <c r="BW193" s="211" t="str">
        <f>IFERROR(#REF!/$AZ193,"")</f>
        <v/>
      </c>
      <c r="BX193" s="211" t="str">
        <f>IFERROR(#REF!/$AZ193,"")</f>
        <v/>
      </c>
      <c r="BY193" s="211">
        <f t="shared" si="131"/>
        <v>0</v>
      </c>
      <c r="BZ193" s="211">
        <f t="shared" si="132"/>
        <v>0</v>
      </c>
      <c r="CA193" s="209">
        <f t="shared" si="124"/>
        <v>1.9470588235294117</v>
      </c>
      <c r="CB193" s="42"/>
    </row>
    <row r="194" spans="3:80" x14ac:dyDescent="0.25">
      <c r="W194" s="152"/>
    </row>
    <row r="195" spans="3:80" x14ac:dyDescent="0.25">
      <c r="X195" t="s">
        <v>97</v>
      </c>
    </row>
  </sheetData>
  <mergeCells count="10">
    <mergeCell ref="BL3:BQ3"/>
    <mergeCell ref="K1:N2"/>
    <mergeCell ref="K4:M4"/>
    <mergeCell ref="AE1:AG1"/>
    <mergeCell ref="A135:A139"/>
    <mergeCell ref="A110:A114"/>
    <mergeCell ref="A115:A119"/>
    <mergeCell ref="A120:A124"/>
    <mergeCell ref="A125:A129"/>
    <mergeCell ref="A130:A134"/>
  </mergeCells>
  <conditionalFormatting sqref="D153:V192">
    <cfRule type="cellIs" dxfId="53" priority="17" operator="greaterThan">
      <formula>0</formula>
    </cfRule>
  </conditionalFormatting>
  <conditionalFormatting sqref="X7:X106">
    <cfRule type="expression" dxfId="52" priority="1">
      <formula>$Y7=FALSE</formula>
    </cfRule>
    <cfRule type="expression" dxfId="51" priority="16">
      <formula>$X7&lt;&gt;$AH7</formula>
    </cfRule>
  </conditionalFormatting>
  <conditionalFormatting sqref="W7:W106">
    <cfRule type="expression" dxfId="50" priority="15">
      <formula>$W7&lt;&gt;$AG7</formula>
    </cfRule>
  </conditionalFormatting>
  <conditionalFormatting sqref="A110:C114 E118:V118 E110:V114 E123:V123 E128:V128">
    <cfRule type="expression" dxfId="49" priority="14">
      <formula>"INDEX('Aegypti Mortality'!$A$3:$Z$52,MATCH(""Uninfected"",'Aegypti Mortality'!$A$3:$A$52,0)+1,MATCH(E$6:W$6,'Aegypti Mortality'!$A$3:$Z$3,0))=0"</formula>
    </cfRule>
  </conditionalFormatting>
  <conditionalFormatting sqref="B115:B119">
    <cfRule type="expression" dxfId="48" priority="13">
      <formula>"INDEX('Aegypti Mortality'!$A$3:$Z$52,MATCH(""Uninfected"",'Aegypti Mortality'!$A$3:$A$52,0)+1,MATCH(E$6:W$6,'Aegypti Mortality'!$A$3:$Z$3,0))=0"</formula>
    </cfRule>
  </conditionalFormatting>
  <conditionalFormatting sqref="B120:B124">
    <cfRule type="expression" dxfId="47" priority="12">
      <formula>"INDEX('Aegypti Mortality'!$A$3:$Z$52,MATCH(""Uninfected"",'Aegypti Mortality'!$A$3:$A$52,0)+1,MATCH(E$6:W$6,'Aegypti Mortality'!$A$3:$Z$3,0))=0"</formula>
    </cfRule>
  </conditionalFormatting>
  <conditionalFormatting sqref="B125:B129">
    <cfRule type="expression" dxfId="46" priority="11">
      <formula>"INDEX('Aegypti Mortality'!$A$3:$Z$52,MATCH(""Uninfected"",'Aegypti Mortality'!$A$3:$A$52,0)+1,MATCH(E$6:W$6,'Aegypti Mortality'!$A$3:$Z$3,0))=0"</formula>
    </cfRule>
  </conditionalFormatting>
  <conditionalFormatting sqref="B130:B134">
    <cfRule type="expression" dxfId="45" priority="10">
      <formula>"INDEX('Aegypti Mortality'!$A$3:$Z$52,MATCH(""Uninfected"",'Aegypti Mortality'!$A$3:$A$52,0)+1,MATCH(E$6:W$6,'Aegypti Mortality'!$A$3:$Z$3,0))=0"</formula>
    </cfRule>
  </conditionalFormatting>
  <conditionalFormatting sqref="B135:B139">
    <cfRule type="expression" dxfId="44" priority="9">
      <formula>"INDEX('Aegypti Mortality'!$A$3:$Z$52,MATCH(""Uninfected"",'Aegypti Mortality'!$A$3:$A$52,0)+1,MATCH(E$6:W$6,'Aegypti Mortality'!$A$3:$Z$3,0))=0"</formula>
    </cfRule>
  </conditionalFormatting>
  <conditionalFormatting sqref="C119">
    <cfRule type="expression" dxfId="43" priority="8">
      <formula>"INDEX('Aegypti Mortality'!$A$3:$Z$52,MATCH(""Uninfected"",'Aegypti Mortality'!$A$3:$A$52,0)+1,MATCH(E$6:W$6,'Aegypti Mortality'!$A$3:$Z$3,0))=0"</formula>
    </cfRule>
  </conditionalFormatting>
  <conditionalFormatting sqref="C124">
    <cfRule type="expression" dxfId="42" priority="7">
      <formula>"INDEX('Aegypti Mortality'!$A$3:$Z$52,MATCH(""Uninfected"",'Aegypti Mortality'!$A$3:$A$52,0)+1,MATCH(E$6:W$6,'Aegypti Mortality'!$A$3:$Z$3,0))=0"</formula>
    </cfRule>
  </conditionalFormatting>
  <conditionalFormatting sqref="C129">
    <cfRule type="expression" dxfId="41" priority="6">
      <formula>"INDEX('Aegypti Mortality'!$A$3:$Z$52,MATCH(""Uninfected"",'Aegypti Mortality'!$A$3:$A$52,0)+1,MATCH(E$6:W$6,'Aegypti Mortality'!$A$3:$Z$3,0))=0"</formula>
    </cfRule>
  </conditionalFormatting>
  <conditionalFormatting sqref="C134">
    <cfRule type="expression" dxfId="40" priority="5">
      <formula>"INDEX('Aegypti Mortality'!$A$3:$Z$52,MATCH(""Uninfected"",'Aegypti Mortality'!$A$3:$A$52,0)+1,MATCH(E$6:W$6,'Aegypti Mortality'!$A$3:$Z$3,0))=0"</formula>
    </cfRule>
  </conditionalFormatting>
  <conditionalFormatting sqref="C139">
    <cfRule type="expression" dxfId="39" priority="4">
      <formula>"INDEX('Aegypti Mortality'!$A$3:$Z$52,MATCH(""Uninfected"",'Aegypti Mortality'!$A$3:$A$52,0)+1,MATCH(E$6:W$6,'Aegypti Mortality'!$A$3:$Z$3,0))=0"</formula>
    </cfRule>
  </conditionalFormatting>
  <conditionalFormatting sqref="D110:D114">
    <cfRule type="expression" dxfId="38" priority="3">
      <formula>"INDEX('Aegypti Mortality'!$A$3:$Z$52,MATCH(""Uninfected"",'Aegypti Mortality'!$A$3:$A$52,0)+1,MATCH(E$6:W$6,'Aegypti Mortality'!$A$3:$Z$3,0))=0"</formula>
    </cfRule>
  </conditionalFormatting>
  <pageMargins left="0.7" right="0.7" top="0.75" bottom="0.75" header="0.3" footer="0.3"/>
  <ignoredErrors>
    <ignoredError sqref="W10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15"/>
  <sheetViews>
    <sheetView workbookViewId="0"/>
  </sheetViews>
  <sheetFormatPr defaultRowHeight="15" x14ac:dyDescent="0.25"/>
  <cols>
    <col min="1" max="1" width="16.7109375" customWidth="1"/>
    <col min="2" max="2" width="16.42578125" customWidth="1"/>
    <col min="3" max="3" width="10.85546875" customWidth="1"/>
    <col min="4" max="4" width="16" bestFit="1" customWidth="1"/>
    <col min="20" max="20" width="8.140625" bestFit="1" customWidth="1"/>
    <col min="21" max="21" width="13.28515625" bestFit="1" customWidth="1"/>
    <col min="22" max="22" width="13.140625" bestFit="1" customWidth="1"/>
    <col min="23" max="23" width="16.42578125" bestFit="1" customWidth="1"/>
    <col min="24" max="24" width="15.85546875" bestFit="1" customWidth="1"/>
    <col min="25" max="25" width="12" bestFit="1" customWidth="1"/>
    <col min="26" max="26" width="14.5703125" bestFit="1" customWidth="1"/>
  </cols>
  <sheetData>
    <row r="1" spans="3:58" x14ac:dyDescent="0.25">
      <c r="E1" s="400" t="s">
        <v>12</v>
      </c>
      <c r="F1" s="400"/>
      <c r="G1" s="400"/>
      <c r="H1" s="400"/>
      <c r="I1" s="400"/>
    </row>
    <row r="2" spans="3:58" x14ac:dyDescent="0.25">
      <c r="E2" s="400"/>
      <c r="F2" s="400"/>
      <c r="G2" s="400"/>
      <c r="H2" s="400"/>
      <c r="I2" s="400"/>
    </row>
    <row r="3" spans="3:58" ht="18.75" x14ac:dyDescent="0.3">
      <c r="C3" s="122">
        <v>42835</v>
      </c>
      <c r="D3" s="109">
        <v>42835</v>
      </c>
      <c r="F3" s="401" t="s">
        <v>13</v>
      </c>
      <c r="G3" s="401"/>
      <c r="H3" s="401"/>
    </row>
    <row r="5" spans="3:58" x14ac:dyDescent="0.25">
      <c r="AU5" s="405" t="s">
        <v>170</v>
      </c>
      <c r="AV5" s="405"/>
      <c r="AW5" s="405"/>
    </row>
    <row r="6" spans="3:58" x14ac:dyDescent="0.25">
      <c r="C6" t="s">
        <v>49</v>
      </c>
      <c r="D6">
        <v>3</v>
      </c>
      <c r="E6">
        <v>4</v>
      </c>
      <c r="F6">
        <v>7</v>
      </c>
      <c r="G6">
        <v>8</v>
      </c>
      <c r="H6">
        <v>9</v>
      </c>
      <c r="I6">
        <v>10</v>
      </c>
      <c r="J6">
        <v>11</v>
      </c>
      <c r="K6">
        <v>14</v>
      </c>
      <c r="L6">
        <v>15</v>
      </c>
      <c r="M6">
        <v>16</v>
      </c>
      <c r="N6">
        <v>17</v>
      </c>
      <c r="O6">
        <v>18</v>
      </c>
      <c r="P6">
        <v>21</v>
      </c>
      <c r="Q6">
        <v>22</v>
      </c>
      <c r="R6">
        <v>23</v>
      </c>
      <c r="U6" t="s">
        <v>29</v>
      </c>
      <c r="V6" t="s">
        <v>33</v>
      </c>
      <c r="W6" t="s">
        <v>141</v>
      </c>
      <c r="AA6" s="395" t="s">
        <v>69</v>
      </c>
      <c r="AB6" s="395"/>
      <c r="AC6" s="395"/>
      <c r="AG6" t="s">
        <v>18</v>
      </c>
      <c r="AL6" t="s">
        <v>159</v>
      </c>
      <c r="AO6" s="122">
        <v>42928</v>
      </c>
    </row>
    <row r="7" spans="3:58" x14ac:dyDescent="0.25">
      <c r="C7" s="42" t="s">
        <v>14</v>
      </c>
      <c r="D7" s="156">
        <v>42838</v>
      </c>
      <c r="E7" s="41">
        <v>42839</v>
      </c>
      <c r="F7" s="41">
        <v>42842</v>
      </c>
      <c r="G7" s="156">
        <v>42843</v>
      </c>
      <c r="H7" s="41">
        <v>42844</v>
      </c>
      <c r="I7" s="41">
        <v>42845</v>
      </c>
      <c r="J7" s="156">
        <v>42846</v>
      </c>
      <c r="K7" s="41">
        <v>42849</v>
      </c>
      <c r="L7" s="156">
        <v>42850</v>
      </c>
      <c r="M7" s="41">
        <v>42851</v>
      </c>
      <c r="N7" s="41">
        <v>42852</v>
      </c>
      <c r="O7" s="156">
        <v>42853</v>
      </c>
      <c r="P7" s="41">
        <v>42856</v>
      </c>
      <c r="Q7" s="156">
        <v>42857</v>
      </c>
      <c r="R7" s="150">
        <v>42858</v>
      </c>
      <c r="S7" s="43" t="s">
        <v>145</v>
      </c>
      <c r="T7" t="s">
        <v>97</v>
      </c>
      <c r="X7" s="131">
        <v>42838</v>
      </c>
      <c r="Y7" s="131">
        <v>42843</v>
      </c>
      <c r="Z7" s="131">
        <v>42846</v>
      </c>
      <c r="AA7" s="131">
        <v>42850</v>
      </c>
      <c r="AB7" s="131">
        <v>42853</v>
      </c>
      <c r="AC7" s="131">
        <v>42857</v>
      </c>
      <c r="AD7" s="131">
        <v>42860</v>
      </c>
      <c r="AE7" s="131">
        <v>42864</v>
      </c>
      <c r="AF7" s="131">
        <v>42867</v>
      </c>
      <c r="AG7" s="131">
        <v>42871</v>
      </c>
      <c r="AI7" t="b">
        <f t="array" ref="AI7">IF($T$8:$T$127=$AL$8:$AL$127,FALSE,TRUE)</f>
        <v>1</v>
      </c>
      <c r="AL7" t="s">
        <v>160</v>
      </c>
      <c r="AQ7" t="s">
        <v>161</v>
      </c>
      <c r="AR7" t="s">
        <v>162</v>
      </c>
      <c r="AT7" t="s">
        <v>174</v>
      </c>
      <c r="AX7" t="s">
        <v>168</v>
      </c>
      <c r="AY7" t="s">
        <v>167</v>
      </c>
      <c r="AZ7" t="s">
        <v>171</v>
      </c>
      <c r="BD7" t="s">
        <v>169</v>
      </c>
      <c r="BF7" t="s">
        <v>179</v>
      </c>
    </row>
    <row r="8" spans="3:58" x14ac:dyDescent="0.25">
      <c r="C8" s="44">
        <v>1</v>
      </c>
      <c r="D8" s="149"/>
      <c r="E8" s="149"/>
      <c r="F8">
        <v>0</v>
      </c>
      <c r="M8" s="109"/>
      <c r="S8" s="127">
        <f t="shared" ref="S8:S39" si="0">SUM(D8:R8)</f>
        <v>0</v>
      </c>
      <c r="T8">
        <f t="shared" ref="T8:T39" si="1">COUNTIF(D8:R8,"&gt;"&amp;0)</f>
        <v>0</v>
      </c>
      <c r="U8" t="b">
        <f>LOOKUP($C8,Table3[Sample Name],Table3[Positive])</f>
        <v>1</v>
      </c>
      <c r="V8" t="b">
        <f>LOOKUP($C8,Table3[Sample Name],Table3[Disseminated])</f>
        <v>1</v>
      </c>
      <c r="W8">
        <f t="shared" ref="W8:W39" si="2">IFERROR(LARGE(D8:R8,1),0)</f>
        <v>0</v>
      </c>
      <c r="AL8" s="236">
        <v>1</v>
      </c>
      <c r="AM8" s="232">
        <v>0</v>
      </c>
      <c r="AN8" s="100"/>
      <c r="AO8" s="100"/>
      <c r="AP8" s="212"/>
      <c r="AQ8">
        <f>COUNTIF(AM8:AP8,"&gt;"&amp;0)</f>
        <v>0</v>
      </c>
      <c r="AR8">
        <f>SUM(AM8:AP8)</f>
        <v>0</v>
      </c>
      <c r="AT8" s="232">
        <f t="shared" ref="AT8:AT39" si="3">IFERROR(SMALL($AM8:$AP8,COLUMN(A:A)),"")</f>
        <v>0</v>
      </c>
      <c r="AU8" s="100" t="str">
        <f t="shared" ref="AU8:AU39" si="4">IFERROR(SMALL($AM8:$AP8,COLUMN(B:B)),"")</f>
        <v/>
      </c>
      <c r="AV8" s="100" t="str">
        <f t="shared" ref="AV8:AV39" si="5">IFERROR(SMALL($AM8:$AP8,COLUMN(C:C)),"")</f>
        <v/>
      </c>
      <c r="AW8" s="212" t="str">
        <f t="shared" ref="AW8:AW39" si="6">IFERROR(SMALL($AM8:$AP8,COLUMN(D:D)),"")</f>
        <v/>
      </c>
      <c r="AX8" s="153">
        <f>SUM(AT8:AW8)</f>
        <v>0</v>
      </c>
      <c r="AY8" s="232">
        <f t="shared" ref="AY8:AY39" si="7">IFERROR(SMALL($D8:$R8,COLUMN(A:A)),"")</f>
        <v>0</v>
      </c>
      <c r="AZ8" s="322" t="str">
        <f t="shared" ref="AZ8:AZ39" si="8">IFERROR(SMALL($D8:$R8,COLUMN(B:B)),"")</f>
        <v/>
      </c>
      <c r="BA8" s="322" t="str">
        <f t="shared" ref="BA8:BA39" si="9">IFERROR(SMALL($D8:$R8,COLUMN(C:C)),"")</f>
        <v/>
      </c>
      <c r="BB8" s="100" t="str">
        <f t="shared" ref="BB8:BB39" si="10">IFERROR(SMALL($D8:$R8,COLUMN(D:D)),"")</f>
        <v/>
      </c>
      <c r="BC8" s="212" t="str">
        <f t="shared" ref="BC8:BC39" si="11">IFERROR(SMALL($D8:$R8,COLUMN(E:E)),"")</f>
        <v/>
      </c>
      <c r="BD8" s="153">
        <f>SUM(AY8:BC8)</f>
        <v>0</v>
      </c>
      <c r="BF8">
        <f>BD8-AX8</f>
        <v>0</v>
      </c>
    </row>
    <row r="9" spans="3:58" x14ac:dyDescent="0.25">
      <c r="C9" s="44">
        <v>2</v>
      </c>
      <c r="D9" s="149"/>
      <c r="E9" s="149"/>
      <c r="F9">
        <v>3</v>
      </c>
      <c r="K9">
        <v>19</v>
      </c>
      <c r="M9" s="109"/>
      <c r="P9">
        <v>2</v>
      </c>
      <c r="Q9">
        <v>30</v>
      </c>
      <c r="S9" s="127">
        <f t="shared" si="0"/>
        <v>54</v>
      </c>
      <c r="T9">
        <f t="shared" si="1"/>
        <v>4</v>
      </c>
      <c r="U9" t="b">
        <f>LOOKUP($C9,Table3[Sample Name],Table3[Positive])</f>
        <v>0</v>
      </c>
      <c r="V9" t="str">
        <f>LOOKUP($C9,Table3[Sample Name],Table3[Disseminated])</f>
        <v>N/A</v>
      </c>
      <c r="W9">
        <f t="shared" si="2"/>
        <v>30</v>
      </c>
      <c r="AL9" s="134">
        <v>2</v>
      </c>
      <c r="AM9" s="127">
        <v>2</v>
      </c>
      <c r="AN9" s="43">
        <v>30</v>
      </c>
      <c r="AO9" s="43">
        <v>3</v>
      </c>
      <c r="AP9" s="128">
        <v>19</v>
      </c>
      <c r="AQ9">
        <f t="shared" ref="AQ9:AQ72" si="12">COUNTIF(AM9:AP9,"&gt;"&amp;0)</f>
        <v>4</v>
      </c>
      <c r="AR9">
        <f t="shared" ref="AR9:AR72" si="13">SUM(AM9:AP9)</f>
        <v>54</v>
      </c>
      <c r="AT9" s="127">
        <f t="shared" si="3"/>
        <v>2</v>
      </c>
      <c r="AU9" s="43">
        <f t="shared" si="4"/>
        <v>3</v>
      </c>
      <c r="AV9" s="43">
        <f t="shared" si="5"/>
        <v>19</v>
      </c>
      <c r="AW9" s="128">
        <f t="shared" si="6"/>
        <v>30</v>
      </c>
      <c r="AX9" s="153">
        <f t="shared" ref="AX9:AX72" si="14">SUM(AT9:AW9)</f>
        <v>54</v>
      </c>
      <c r="AY9" s="127">
        <f t="shared" si="7"/>
        <v>2</v>
      </c>
      <c r="AZ9" s="43">
        <f t="shared" si="8"/>
        <v>3</v>
      </c>
      <c r="BA9" s="43">
        <f t="shared" si="9"/>
        <v>19</v>
      </c>
      <c r="BB9" s="43">
        <f t="shared" si="10"/>
        <v>30</v>
      </c>
      <c r="BC9" s="128" t="str">
        <f t="shared" si="11"/>
        <v/>
      </c>
      <c r="BD9" s="153">
        <f t="shared" ref="BD9:BD72" si="15">SUM(AY9:BC9)</f>
        <v>54</v>
      </c>
      <c r="BF9">
        <f t="shared" ref="BF9:BF72" si="16">BD9-AX9</f>
        <v>0</v>
      </c>
    </row>
    <row r="10" spans="3:58" x14ac:dyDescent="0.25">
      <c r="C10" s="44">
        <v>3</v>
      </c>
      <c r="D10" s="149"/>
      <c r="E10" s="149"/>
      <c r="F10">
        <v>9</v>
      </c>
      <c r="M10" s="109"/>
      <c r="S10" s="127">
        <f t="shared" si="0"/>
        <v>9</v>
      </c>
      <c r="T10">
        <f t="shared" si="1"/>
        <v>1</v>
      </c>
      <c r="U10" t="b">
        <f>LOOKUP($C10,Table3[Sample Name],Table3[Positive])</f>
        <v>0</v>
      </c>
      <c r="V10" t="str">
        <f>LOOKUP($C10,Table3[Sample Name],Table3[Disseminated])</f>
        <v>N/A</v>
      </c>
      <c r="W10">
        <f t="shared" si="2"/>
        <v>9</v>
      </c>
      <c r="X10" t="s">
        <v>139</v>
      </c>
      <c r="AL10" s="134">
        <v>3</v>
      </c>
      <c r="AM10" s="127">
        <v>9</v>
      </c>
      <c r="AN10" s="43"/>
      <c r="AO10" s="43"/>
      <c r="AP10" s="128"/>
      <c r="AQ10">
        <f t="shared" si="12"/>
        <v>1</v>
      </c>
      <c r="AR10">
        <f t="shared" si="13"/>
        <v>9</v>
      </c>
      <c r="AT10" s="127">
        <f t="shared" si="3"/>
        <v>9</v>
      </c>
      <c r="AU10" s="43" t="str">
        <f t="shared" si="4"/>
        <v/>
      </c>
      <c r="AV10" s="43" t="str">
        <f t="shared" si="5"/>
        <v/>
      </c>
      <c r="AW10" s="128" t="str">
        <f t="shared" si="6"/>
        <v/>
      </c>
      <c r="AX10" s="153">
        <f t="shared" si="14"/>
        <v>9</v>
      </c>
      <c r="AY10" s="127">
        <f t="shared" si="7"/>
        <v>9</v>
      </c>
      <c r="AZ10" s="43" t="str">
        <f t="shared" si="8"/>
        <v/>
      </c>
      <c r="BA10" s="43" t="str">
        <f t="shared" si="9"/>
        <v/>
      </c>
      <c r="BB10" s="43" t="str">
        <f t="shared" si="10"/>
        <v/>
      </c>
      <c r="BC10" s="128" t="str">
        <f t="shared" si="11"/>
        <v/>
      </c>
      <c r="BD10" s="153">
        <f t="shared" si="15"/>
        <v>9</v>
      </c>
      <c r="BF10">
        <f t="shared" si="16"/>
        <v>0</v>
      </c>
    </row>
    <row r="11" spans="3:58" x14ac:dyDescent="0.25">
      <c r="C11" s="44">
        <v>4</v>
      </c>
      <c r="D11" s="149"/>
      <c r="E11" s="149"/>
      <c r="F11">
        <v>0</v>
      </c>
      <c r="M11" s="109"/>
      <c r="S11" s="127">
        <f t="shared" si="0"/>
        <v>0</v>
      </c>
      <c r="T11">
        <f t="shared" si="1"/>
        <v>0</v>
      </c>
      <c r="U11" t="b">
        <f>LOOKUP($C11,Table3[Sample Name],Table3[Positive])</f>
        <v>1</v>
      </c>
      <c r="V11" t="b">
        <f>LOOKUP($C11,Table3[Sample Name],Table3[Disseminated])</f>
        <v>1</v>
      </c>
      <c r="W11">
        <f t="shared" si="2"/>
        <v>0</v>
      </c>
      <c r="AL11" s="134">
        <v>4</v>
      </c>
      <c r="AM11" s="127">
        <v>0</v>
      </c>
      <c r="AN11" s="43"/>
      <c r="AO11" s="43"/>
      <c r="AP11" s="128"/>
      <c r="AQ11">
        <f t="shared" si="12"/>
        <v>0</v>
      </c>
      <c r="AR11">
        <f t="shared" si="13"/>
        <v>0</v>
      </c>
      <c r="AT11" s="127">
        <f t="shared" si="3"/>
        <v>0</v>
      </c>
      <c r="AU11" s="43" t="str">
        <f t="shared" si="4"/>
        <v/>
      </c>
      <c r="AV11" s="43" t="str">
        <f t="shared" si="5"/>
        <v/>
      </c>
      <c r="AW11" s="128" t="str">
        <f t="shared" si="6"/>
        <v/>
      </c>
      <c r="AX11" s="153">
        <f t="shared" si="14"/>
        <v>0</v>
      </c>
      <c r="AY11" s="127">
        <f t="shared" si="7"/>
        <v>0</v>
      </c>
      <c r="AZ11" s="43" t="str">
        <f t="shared" si="8"/>
        <v/>
      </c>
      <c r="BA11" s="43" t="str">
        <f t="shared" si="9"/>
        <v/>
      </c>
      <c r="BB11" s="43" t="str">
        <f t="shared" si="10"/>
        <v/>
      </c>
      <c r="BC11" s="128" t="str">
        <f t="shared" si="11"/>
        <v/>
      </c>
      <c r="BD11" s="153">
        <f t="shared" si="15"/>
        <v>0</v>
      </c>
      <c r="BF11">
        <f t="shared" si="16"/>
        <v>0</v>
      </c>
    </row>
    <row r="12" spans="3:58" x14ac:dyDescent="0.25">
      <c r="C12" s="44">
        <v>5</v>
      </c>
      <c r="D12" s="149"/>
      <c r="E12" s="149"/>
      <c r="F12">
        <v>4</v>
      </c>
      <c r="I12">
        <v>50</v>
      </c>
      <c r="J12">
        <v>0</v>
      </c>
      <c r="M12" s="109"/>
      <c r="S12" s="127">
        <f t="shared" si="0"/>
        <v>54</v>
      </c>
      <c r="T12">
        <f t="shared" si="1"/>
        <v>2</v>
      </c>
      <c r="U12" t="b">
        <f>LOOKUP($C12,Table3[Sample Name],Table3[Positive])</f>
        <v>1</v>
      </c>
      <c r="V12" t="b">
        <f>LOOKUP($C12,Table3[Sample Name],Table3[Disseminated])</f>
        <v>0</v>
      </c>
      <c r="W12">
        <f t="shared" si="2"/>
        <v>50</v>
      </c>
      <c r="AL12" s="134">
        <v>5</v>
      </c>
      <c r="AM12" s="127">
        <v>4</v>
      </c>
      <c r="AN12" s="43">
        <v>50</v>
      </c>
      <c r="AO12" s="43"/>
      <c r="AP12" s="128"/>
      <c r="AQ12">
        <f t="shared" si="12"/>
        <v>2</v>
      </c>
      <c r="AR12">
        <f t="shared" si="13"/>
        <v>54</v>
      </c>
      <c r="AT12" s="127">
        <f t="shared" si="3"/>
        <v>4</v>
      </c>
      <c r="AU12" s="43">
        <f t="shared" si="4"/>
        <v>50</v>
      </c>
      <c r="AV12" s="43" t="str">
        <f t="shared" si="5"/>
        <v/>
      </c>
      <c r="AW12" s="128" t="str">
        <f t="shared" si="6"/>
        <v/>
      </c>
      <c r="AX12" s="153">
        <f t="shared" si="14"/>
        <v>54</v>
      </c>
      <c r="AY12" s="127">
        <f t="shared" si="7"/>
        <v>0</v>
      </c>
      <c r="AZ12" s="43">
        <f t="shared" si="8"/>
        <v>4</v>
      </c>
      <c r="BA12" s="43">
        <f t="shared" si="9"/>
        <v>50</v>
      </c>
      <c r="BB12" s="43" t="str">
        <f t="shared" si="10"/>
        <v/>
      </c>
      <c r="BC12" s="128" t="str">
        <f t="shared" si="11"/>
        <v/>
      </c>
      <c r="BD12" s="153">
        <f t="shared" si="15"/>
        <v>54</v>
      </c>
      <c r="BF12">
        <f t="shared" si="16"/>
        <v>0</v>
      </c>
    </row>
    <row r="13" spans="3:58" x14ac:dyDescent="0.25">
      <c r="C13" s="44">
        <v>6</v>
      </c>
      <c r="D13" s="149"/>
      <c r="E13" s="149"/>
      <c r="F13">
        <v>23</v>
      </c>
      <c r="M13" s="109"/>
      <c r="S13" s="127">
        <f t="shared" si="0"/>
        <v>23</v>
      </c>
      <c r="T13">
        <f t="shared" si="1"/>
        <v>1</v>
      </c>
      <c r="U13" t="b">
        <f>LOOKUP($C13,Table3[Sample Name],Table3[Positive])</f>
        <v>1</v>
      </c>
      <c r="V13" t="b">
        <f>LOOKUP($C13,Table3[Sample Name],Table3[Disseminated])</f>
        <v>0</v>
      </c>
      <c r="W13">
        <f t="shared" si="2"/>
        <v>23</v>
      </c>
      <c r="AL13" s="134">
        <v>6</v>
      </c>
      <c r="AM13" s="127">
        <v>23</v>
      </c>
      <c r="AN13" s="43"/>
      <c r="AO13" s="43"/>
      <c r="AP13" s="128"/>
      <c r="AQ13">
        <f t="shared" si="12"/>
        <v>1</v>
      </c>
      <c r="AR13">
        <f t="shared" si="13"/>
        <v>23</v>
      </c>
      <c r="AT13" s="127">
        <f t="shared" si="3"/>
        <v>23</v>
      </c>
      <c r="AU13" s="43" t="str">
        <f t="shared" si="4"/>
        <v/>
      </c>
      <c r="AV13" s="43" t="str">
        <f t="shared" si="5"/>
        <v/>
      </c>
      <c r="AW13" s="128" t="str">
        <f t="shared" si="6"/>
        <v/>
      </c>
      <c r="AX13" s="153">
        <f t="shared" si="14"/>
        <v>23</v>
      </c>
      <c r="AY13" s="127">
        <f t="shared" si="7"/>
        <v>23</v>
      </c>
      <c r="AZ13" s="43" t="str">
        <f t="shared" si="8"/>
        <v/>
      </c>
      <c r="BA13" s="43" t="str">
        <f t="shared" si="9"/>
        <v/>
      </c>
      <c r="BB13" s="43" t="str">
        <f t="shared" si="10"/>
        <v/>
      </c>
      <c r="BC13" s="128" t="str">
        <f t="shared" si="11"/>
        <v/>
      </c>
      <c r="BD13" s="153">
        <f t="shared" si="15"/>
        <v>23</v>
      </c>
      <c r="BF13">
        <f t="shared" si="16"/>
        <v>0</v>
      </c>
    </row>
    <row r="14" spans="3:58" x14ac:dyDescent="0.25">
      <c r="C14" s="44">
        <v>7</v>
      </c>
      <c r="D14" s="149"/>
      <c r="E14" s="149"/>
      <c r="F14">
        <v>21</v>
      </c>
      <c r="M14" s="109"/>
      <c r="S14" s="127">
        <f t="shared" si="0"/>
        <v>21</v>
      </c>
      <c r="T14">
        <f t="shared" si="1"/>
        <v>1</v>
      </c>
      <c r="U14" t="b">
        <f>LOOKUP($C14,Table3[Sample Name],Table3[Positive])</f>
        <v>1</v>
      </c>
      <c r="V14" t="b">
        <f>LOOKUP($C14,Table3[Sample Name],Table3[Disseminated])</f>
        <v>1</v>
      </c>
      <c r="W14">
        <f t="shared" si="2"/>
        <v>21</v>
      </c>
      <c r="AL14" s="134">
        <v>7</v>
      </c>
      <c r="AM14" s="127">
        <v>21</v>
      </c>
      <c r="AN14" s="43"/>
      <c r="AO14" s="43"/>
      <c r="AP14" s="128"/>
      <c r="AQ14">
        <f t="shared" si="12"/>
        <v>1</v>
      </c>
      <c r="AR14">
        <f t="shared" si="13"/>
        <v>21</v>
      </c>
      <c r="AT14" s="127">
        <f t="shared" si="3"/>
        <v>21</v>
      </c>
      <c r="AU14" s="43" t="str">
        <f t="shared" si="4"/>
        <v/>
      </c>
      <c r="AV14" s="43" t="str">
        <f t="shared" si="5"/>
        <v/>
      </c>
      <c r="AW14" s="128" t="str">
        <f t="shared" si="6"/>
        <v/>
      </c>
      <c r="AX14" s="153">
        <f t="shared" si="14"/>
        <v>21</v>
      </c>
      <c r="AY14" s="127">
        <f t="shared" si="7"/>
        <v>21</v>
      </c>
      <c r="AZ14" s="43" t="str">
        <f t="shared" si="8"/>
        <v/>
      </c>
      <c r="BA14" s="43" t="str">
        <f t="shared" si="9"/>
        <v/>
      </c>
      <c r="BB14" s="43" t="str">
        <f t="shared" si="10"/>
        <v/>
      </c>
      <c r="BC14" s="128" t="str">
        <f t="shared" si="11"/>
        <v/>
      </c>
      <c r="BD14" s="153">
        <f t="shared" si="15"/>
        <v>21</v>
      </c>
      <c r="BF14">
        <f t="shared" si="16"/>
        <v>0</v>
      </c>
    </row>
    <row r="15" spans="3:58" x14ac:dyDescent="0.25">
      <c r="C15" s="44">
        <v>8</v>
      </c>
      <c r="D15" s="149"/>
      <c r="E15" s="149"/>
      <c r="F15">
        <v>5</v>
      </c>
      <c r="I15">
        <v>29</v>
      </c>
      <c r="M15" s="109"/>
      <c r="S15" s="127">
        <f t="shared" si="0"/>
        <v>34</v>
      </c>
      <c r="T15">
        <f t="shared" si="1"/>
        <v>2</v>
      </c>
      <c r="U15" t="b">
        <f>LOOKUP($C15,Table3[Sample Name],Table3[Positive])</f>
        <v>0</v>
      </c>
      <c r="V15" t="str">
        <f>LOOKUP($C15,Table3[Sample Name],Table3[Disseminated])</f>
        <v>N/A</v>
      </c>
      <c r="W15">
        <f t="shared" si="2"/>
        <v>29</v>
      </c>
      <c r="AL15" s="134">
        <v>8</v>
      </c>
      <c r="AM15" s="127">
        <v>5</v>
      </c>
      <c r="AN15" s="43">
        <v>29</v>
      </c>
      <c r="AO15" s="43"/>
      <c r="AP15" s="128"/>
      <c r="AQ15">
        <f t="shared" si="12"/>
        <v>2</v>
      </c>
      <c r="AR15">
        <f t="shared" si="13"/>
        <v>34</v>
      </c>
      <c r="AT15" s="127">
        <f t="shared" si="3"/>
        <v>5</v>
      </c>
      <c r="AU15" s="43">
        <f t="shared" si="4"/>
        <v>29</v>
      </c>
      <c r="AV15" s="43" t="str">
        <f t="shared" si="5"/>
        <v/>
      </c>
      <c r="AW15" s="128" t="str">
        <f t="shared" si="6"/>
        <v/>
      </c>
      <c r="AX15" s="153">
        <f t="shared" si="14"/>
        <v>34</v>
      </c>
      <c r="AY15" s="127">
        <f t="shared" si="7"/>
        <v>5</v>
      </c>
      <c r="AZ15" s="43">
        <f t="shared" si="8"/>
        <v>29</v>
      </c>
      <c r="BA15" s="43" t="str">
        <f t="shared" si="9"/>
        <v/>
      </c>
      <c r="BB15" s="43" t="str">
        <f t="shared" si="10"/>
        <v/>
      </c>
      <c r="BC15" s="128" t="str">
        <f t="shared" si="11"/>
        <v/>
      </c>
      <c r="BD15" s="153">
        <f t="shared" si="15"/>
        <v>34</v>
      </c>
      <c r="BF15">
        <f t="shared" si="16"/>
        <v>0</v>
      </c>
    </row>
    <row r="16" spans="3:58" x14ac:dyDescent="0.25">
      <c r="C16" s="44">
        <v>9</v>
      </c>
      <c r="D16" s="149"/>
      <c r="E16" s="149"/>
      <c r="F16">
        <v>47</v>
      </c>
      <c r="M16" s="109"/>
      <c r="S16" s="127">
        <f t="shared" si="0"/>
        <v>47</v>
      </c>
      <c r="T16">
        <f t="shared" si="1"/>
        <v>1</v>
      </c>
      <c r="U16" t="b">
        <f>LOOKUP($C16,Table3[Sample Name],Table3[Positive])</f>
        <v>0</v>
      </c>
      <c r="V16" t="str">
        <f>LOOKUP($C16,Table3[Sample Name],Table3[Disseminated])</f>
        <v>N/A</v>
      </c>
      <c r="W16">
        <f t="shared" si="2"/>
        <v>47</v>
      </c>
      <c r="AL16" s="134">
        <v>9</v>
      </c>
      <c r="AM16" s="127">
        <v>47</v>
      </c>
      <c r="AN16" s="43"/>
      <c r="AO16" s="43"/>
      <c r="AP16" s="128"/>
      <c r="AQ16">
        <f t="shared" si="12"/>
        <v>1</v>
      </c>
      <c r="AR16">
        <f t="shared" si="13"/>
        <v>47</v>
      </c>
      <c r="AT16" s="127">
        <f t="shared" si="3"/>
        <v>47</v>
      </c>
      <c r="AU16" s="43" t="str">
        <f t="shared" si="4"/>
        <v/>
      </c>
      <c r="AV16" s="43" t="str">
        <f t="shared" si="5"/>
        <v/>
      </c>
      <c r="AW16" s="128" t="str">
        <f t="shared" si="6"/>
        <v/>
      </c>
      <c r="AX16" s="153">
        <f t="shared" si="14"/>
        <v>47</v>
      </c>
      <c r="AY16" s="127">
        <f t="shared" si="7"/>
        <v>47</v>
      </c>
      <c r="AZ16" s="43" t="str">
        <f t="shared" si="8"/>
        <v/>
      </c>
      <c r="BA16" s="43" t="str">
        <f t="shared" si="9"/>
        <v/>
      </c>
      <c r="BB16" s="43" t="str">
        <f t="shared" si="10"/>
        <v/>
      </c>
      <c r="BC16" s="128" t="str">
        <f t="shared" si="11"/>
        <v/>
      </c>
      <c r="BD16" s="153">
        <f t="shared" si="15"/>
        <v>47</v>
      </c>
      <c r="BF16">
        <f t="shared" si="16"/>
        <v>0</v>
      </c>
    </row>
    <row r="17" spans="3:58" x14ac:dyDescent="0.25">
      <c r="C17" s="44">
        <v>10</v>
      </c>
      <c r="D17" s="149"/>
      <c r="E17" s="149"/>
      <c r="F17">
        <v>0</v>
      </c>
      <c r="S17" s="127">
        <f t="shared" si="0"/>
        <v>0</v>
      </c>
      <c r="T17">
        <f t="shared" si="1"/>
        <v>0</v>
      </c>
      <c r="U17" t="b">
        <f>LOOKUP($C17,Table3[Sample Name],Table3[Positive])</f>
        <v>1</v>
      </c>
      <c r="V17" t="b">
        <f>LOOKUP($C17,Table3[Sample Name],Table3[Disseminated])</f>
        <v>0</v>
      </c>
      <c r="W17">
        <f t="shared" si="2"/>
        <v>0</v>
      </c>
      <c r="AL17" s="134">
        <v>10</v>
      </c>
      <c r="AM17" s="127">
        <v>0</v>
      </c>
      <c r="AN17" s="43"/>
      <c r="AO17" s="43"/>
      <c r="AP17" s="128"/>
      <c r="AQ17">
        <f t="shared" si="12"/>
        <v>0</v>
      </c>
      <c r="AR17">
        <f t="shared" si="13"/>
        <v>0</v>
      </c>
      <c r="AT17" s="127">
        <f t="shared" si="3"/>
        <v>0</v>
      </c>
      <c r="AU17" s="43" t="str">
        <f t="shared" si="4"/>
        <v/>
      </c>
      <c r="AV17" s="43" t="str">
        <f t="shared" si="5"/>
        <v/>
      </c>
      <c r="AW17" s="128" t="str">
        <f t="shared" si="6"/>
        <v/>
      </c>
      <c r="AX17" s="153">
        <f t="shared" si="14"/>
        <v>0</v>
      </c>
      <c r="AY17" s="127">
        <f t="shared" si="7"/>
        <v>0</v>
      </c>
      <c r="AZ17" s="43" t="str">
        <f t="shared" si="8"/>
        <v/>
      </c>
      <c r="BA17" s="43" t="str">
        <f t="shared" si="9"/>
        <v/>
      </c>
      <c r="BB17" s="43" t="str">
        <f t="shared" si="10"/>
        <v/>
      </c>
      <c r="BC17" s="128" t="str">
        <f t="shared" si="11"/>
        <v/>
      </c>
      <c r="BD17" s="153">
        <f t="shared" si="15"/>
        <v>0</v>
      </c>
      <c r="BF17">
        <f t="shared" si="16"/>
        <v>0</v>
      </c>
    </row>
    <row r="18" spans="3:58" x14ac:dyDescent="0.25">
      <c r="C18" s="44">
        <v>11</v>
      </c>
      <c r="D18" s="149"/>
      <c r="E18" s="149"/>
      <c r="S18" s="127">
        <f t="shared" si="0"/>
        <v>0</v>
      </c>
      <c r="T18">
        <f t="shared" si="1"/>
        <v>0</v>
      </c>
      <c r="U18" t="b">
        <f>LOOKUP($C18,Table3[Sample Name],Table3[Positive])</f>
        <v>1</v>
      </c>
      <c r="V18" t="b">
        <f>LOOKUP($C18,Table3[Sample Name],Table3[Disseminated])</f>
        <v>1</v>
      </c>
      <c r="W18">
        <f t="shared" si="2"/>
        <v>0</v>
      </c>
      <c r="AL18" s="134">
        <v>11</v>
      </c>
      <c r="AM18" s="127">
        <v>0</v>
      </c>
      <c r="AN18" s="43"/>
      <c r="AO18" s="43"/>
      <c r="AP18" s="128"/>
      <c r="AQ18">
        <f t="shared" si="12"/>
        <v>0</v>
      </c>
      <c r="AR18">
        <f t="shared" si="13"/>
        <v>0</v>
      </c>
      <c r="AT18" s="127">
        <f t="shared" si="3"/>
        <v>0</v>
      </c>
      <c r="AU18" s="43" t="str">
        <f t="shared" si="4"/>
        <v/>
      </c>
      <c r="AV18" s="43" t="str">
        <f t="shared" si="5"/>
        <v/>
      </c>
      <c r="AW18" s="128" t="str">
        <f t="shared" si="6"/>
        <v/>
      </c>
      <c r="AX18" s="153">
        <f t="shared" si="14"/>
        <v>0</v>
      </c>
      <c r="AY18" s="127" t="str">
        <f t="shared" si="7"/>
        <v/>
      </c>
      <c r="AZ18" s="43" t="str">
        <f t="shared" si="8"/>
        <v/>
      </c>
      <c r="BA18" s="43" t="str">
        <f t="shared" si="9"/>
        <v/>
      </c>
      <c r="BB18" s="43" t="str">
        <f t="shared" si="10"/>
        <v/>
      </c>
      <c r="BC18" s="128" t="str">
        <f t="shared" si="11"/>
        <v/>
      </c>
      <c r="BD18" s="153">
        <f t="shared" si="15"/>
        <v>0</v>
      </c>
      <c r="BF18">
        <f t="shared" si="16"/>
        <v>0</v>
      </c>
    </row>
    <row r="19" spans="3:58" x14ac:dyDescent="0.25">
      <c r="C19" s="44">
        <v>12</v>
      </c>
      <c r="D19" s="149"/>
      <c r="E19" s="149"/>
      <c r="F19">
        <v>0</v>
      </c>
      <c r="S19" s="127">
        <f t="shared" si="0"/>
        <v>0</v>
      </c>
      <c r="T19">
        <f t="shared" si="1"/>
        <v>0</v>
      </c>
      <c r="U19" t="b">
        <f>LOOKUP($C19,Table3[Sample Name],Table3[Positive])</f>
        <v>1</v>
      </c>
      <c r="V19" t="b">
        <f>LOOKUP($C19,Table3[Sample Name],Table3[Disseminated])</f>
        <v>0</v>
      </c>
      <c r="W19">
        <f t="shared" si="2"/>
        <v>0</v>
      </c>
      <c r="AL19" s="134">
        <v>12</v>
      </c>
      <c r="AM19" s="127">
        <v>0</v>
      </c>
      <c r="AN19" s="43"/>
      <c r="AO19" s="43"/>
      <c r="AP19" s="128"/>
      <c r="AQ19">
        <f t="shared" si="12"/>
        <v>0</v>
      </c>
      <c r="AR19">
        <f t="shared" si="13"/>
        <v>0</v>
      </c>
      <c r="AT19" s="127">
        <f t="shared" si="3"/>
        <v>0</v>
      </c>
      <c r="AU19" s="43" t="str">
        <f t="shared" si="4"/>
        <v/>
      </c>
      <c r="AV19" s="43" t="str">
        <f t="shared" si="5"/>
        <v/>
      </c>
      <c r="AW19" s="128" t="str">
        <f t="shared" si="6"/>
        <v/>
      </c>
      <c r="AX19" s="153">
        <f t="shared" si="14"/>
        <v>0</v>
      </c>
      <c r="AY19" s="127">
        <f t="shared" si="7"/>
        <v>0</v>
      </c>
      <c r="AZ19" s="43" t="str">
        <f t="shared" si="8"/>
        <v/>
      </c>
      <c r="BA19" s="43" t="str">
        <f t="shared" si="9"/>
        <v/>
      </c>
      <c r="BB19" s="43" t="str">
        <f t="shared" si="10"/>
        <v/>
      </c>
      <c r="BC19" s="128" t="str">
        <f t="shared" si="11"/>
        <v/>
      </c>
      <c r="BD19" s="153">
        <f t="shared" si="15"/>
        <v>0</v>
      </c>
      <c r="BF19">
        <f t="shared" si="16"/>
        <v>0</v>
      </c>
    </row>
    <row r="20" spans="3:58" x14ac:dyDescent="0.25">
      <c r="C20" s="44">
        <v>13</v>
      </c>
      <c r="D20" s="149"/>
      <c r="E20" s="149"/>
      <c r="F20">
        <v>10</v>
      </c>
      <c r="I20">
        <v>38</v>
      </c>
      <c r="K20">
        <v>35</v>
      </c>
      <c r="L20">
        <v>15</v>
      </c>
      <c r="S20" s="127">
        <f t="shared" si="0"/>
        <v>98</v>
      </c>
      <c r="T20">
        <f t="shared" si="1"/>
        <v>4</v>
      </c>
      <c r="U20" t="b">
        <f>LOOKUP($C20,Table3[Sample Name],Table3[Positive])</f>
        <v>0</v>
      </c>
      <c r="V20" t="str">
        <f>LOOKUP($C20,Table3[Sample Name],Table3[Disseminated])</f>
        <v>N/A</v>
      </c>
      <c r="W20">
        <f t="shared" si="2"/>
        <v>38</v>
      </c>
      <c r="AL20" s="134">
        <v>13</v>
      </c>
      <c r="AM20" s="127">
        <v>10</v>
      </c>
      <c r="AN20" s="43">
        <v>38</v>
      </c>
      <c r="AO20" s="43">
        <v>35</v>
      </c>
      <c r="AP20" s="128">
        <v>15</v>
      </c>
      <c r="AQ20">
        <f t="shared" si="12"/>
        <v>4</v>
      </c>
      <c r="AR20">
        <f t="shared" si="13"/>
        <v>98</v>
      </c>
      <c r="AT20" s="127">
        <f t="shared" si="3"/>
        <v>10</v>
      </c>
      <c r="AU20" s="43">
        <f t="shared" si="4"/>
        <v>15</v>
      </c>
      <c r="AV20" s="43">
        <f t="shared" si="5"/>
        <v>35</v>
      </c>
      <c r="AW20" s="128">
        <f t="shared" si="6"/>
        <v>38</v>
      </c>
      <c r="AX20" s="153">
        <f t="shared" si="14"/>
        <v>98</v>
      </c>
      <c r="AY20" s="127">
        <f t="shared" si="7"/>
        <v>10</v>
      </c>
      <c r="AZ20" s="43">
        <f t="shared" si="8"/>
        <v>15</v>
      </c>
      <c r="BA20" s="43">
        <f t="shared" si="9"/>
        <v>35</v>
      </c>
      <c r="BB20" s="43">
        <f t="shared" si="10"/>
        <v>38</v>
      </c>
      <c r="BC20" s="128" t="str">
        <f t="shared" si="11"/>
        <v/>
      </c>
      <c r="BD20" s="153">
        <f t="shared" si="15"/>
        <v>98</v>
      </c>
      <c r="BF20">
        <f t="shared" si="16"/>
        <v>0</v>
      </c>
    </row>
    <row r="21" spans="3:58" x14ac:dyDescent="0.25">
      <c r="C21" s="44">
        <v>14</v>
      </c>
      <c r="D21" s="149"/>
      <c r="E21" s="149"/>
      <c r="F21">
        <v>71</v>
      </c>
      <c r="S21" s="127">
        <f t="shared" si="0"/>
        <v>71</v>
      </c>
      <c r="T21">
        <f t="shared" si="1"/>
        <v>1</v>
      </c>
      <c r="U21" t="b">
        <f>LOOKUP($C21,Table3[Sample Name],Table3[Positive])</f>
        <v>1</v>
      </c>
      <c r="V21" t="b">
        <f>LOOKUP($C21,Table3[Sample Name],Table3[Disseminated])</f>
        <v>1</v>
      </c>
      <c r="W21">
        <f t="shared" si="2"/>
        <v>71</v>
      </c>
      <c r="AL21" s="134">
        <v>14</v>
      </c>
      <c r="AM21" s="127">
        <v>71</v>
      </c>
      <c r="AN21" s="43"/>
      <c r="AO21" s="43"/>
      <c r="AP21" s="128"/>
      <c r="AQ21">
        <f t="shared" si="12"/>
        <v>1</v>
      </c>
      <c r="AR21">
        <f t="shared" si="13"/>
        <v>71</v>
      </c>
      <c r="AT21" s="127">
        <f t="shared" si="3"/>
        <v>71</v>
      </c>
      <c r="AU21" s="43" t="str">
        <f t="shared" si="4"/>
        <v/>
      </c>
      <c r="AV21" s="43" t="str">
        <f t="shared" si="5"/>
        <v/>
      </c>
      <c r="AW21" s="128" t="str">
        <f t="shared" si="6"/>
        <v/>
      </c>
      <c r="AX21" s="153">
        <f t="shared" si="14"/>
        <v>71</v>
      </c>
      <c r="AY21" s="127">
        <f t="shared" si="7"/>
        <v>71</v>
      </c>
      <c r="AZ21" s="43" t="str">
        <f t="shared" si="8"/>
        <v/>
      </c>
      <c r="BA21" s="43" t="str">
        <f t="shared" si="9"/>
        <v/>
      </c>
      <c r="BB21" s="43" t="str">
        <f t="shared" si="10"/>
        <v/>
      </c>
      <c r="BC21" s="128" t="str">
        <f t="shared" si="11"/>
        <v/>
      </c>
      <c r="BD21" s="153">
        <f t="shared" si="15"/>
        <v>71</v>
      </c>
      <c r="BF21">
        <f t="shared" si="16"/>
        <v>0</v>
      </c>
    </row>
    <row r="22" spans="3:58" x14ac:dyDescent="0.25">
      <c r="C22" s="44">
        <v>15</v>
      </c>
      <c r="D22" s="149"/>
      <c r="E22" s="149"/>
      <c r="F22">
        <v>21</v>
      </c>
      <c r="K22">
        <v>0</v>
      </c>
      <c r="S22" s="127">
        <f t="shared" si="0"/>
        <v>21</v>
      </c>
      <c r="T22">
        <f t="shared" si="1"/>
        <v>1</v>
      </c>
      <c r="U22" t="b">
        <f>LOOKUP($C22,Table3[Sample Name],Table3[Positive])</f>
        <v>1</v>
      </c>
      <c r="V22" t="b">
        <f>LOOKUP($C22,Table3[Sample Name],Table3[Disseminated])</f>
        <v>1</v>
      </c>
      <c r="W22">
        <f t="shared" si="2"/>
        <v>21</v>
      </c>
      <c r="AL22" s="134">
        <v>15</v>
      </c>
      <c r="AM22" s="127">
        <v>21</v>
      </c>
      <c r="AN22" s="43"/>
      <c r="AO22" s="43"/>
      <c r="AP22" s="128"/>
      <c r="AQ22">
        <f t="shared" si="12"/>
        <v>1</v>
      </c>
      <c r="AR22">
        <f t="shared" si="13"/>
        <v>21</v>
      </c>
      <c r="AT22" s="127">
        <f t="shared" si="3"/>
        <v>21</v>
      </c>
      <c r="AU22" s="43" t="str">
        <f t="shared" si="4"/>
        <v/>
      </c>
      <c r="AV22" s="43" t="str">
        <f t="shared" si="5"/>
        <v/>
      </c>
      <c r="AW22" s="128" t="str">
        <f t="shared" si="6"/>
        <v/>
      </c>
      <c r="AX22" s="153">
        <f t="shared" si="14"/>
        <v>21</v>
      </c>
      <c r="AY22" s="127">
        <f t="shared" si="7"/>
        <v>0</v>
      </c>
      <c r="AZ22" s="43">
        <f t="shared" si="8"/>
        <v>21</v>
      </c>
      <c r="BA22" s="43" t="str">
        <f t="shared" si="9"/>
        <v/>
      </c>
      <c r="BB22" s="43" t="str">
        <f t="shared" si="10"/>
        <v/>
      </c>
      <c r="BC22" s="128" t="str">
        <f t="shared" si="11"/>
        <v/>
      </c>
      <c r="BD22" s="153">
        <f t="shared" si="15"/>
        <v>21</v>
      </c>
      <c r="BF22">
        <f t="shared" si="16"/>
        <v>0</v>
      </c>
    </row>
    <row r="23" spans="3:58" x14ac:dyDescent="0.25">
      <c r="C23" s="44">
        <v>16</v>
      </c>
      <c r="D23" s="149"/>
      <c r="E23" s="149"/>
      <c r="F23">
        <v>0</v>
      </c>
      <c r="K23">
        <v>21</v>
      </c>
      <c r="S23" s="127">
        <f t="shared" si="0"/>
        <v>21</v>
      </c>
      <c r="T23">
        <f t="shared" si="1"/>
        <v>1</v>
      </c>
      <c r="U23" t="b">
        <f>LOOKUP($C23,Table3[Sample Name],Table3[Positive])</f>
        <v>1</v>
      </c>
      <c r="V23" t="b">
        <f>LOOKUP($C23,Table3[Sample Name],Table3[Disseminated])</f>
        <v>1</v>
      </c>
      <c r="W23">
        <f t="shared" si="2"/>
        <v>21</v>
      </c>
      <c r="AL23" s="134">
        <v>16</v>
      </c>
      <c r="AM23" s="127">
        <v>21</v>
      </c>
      <c r="AN23" s="43"/>
      <c r="AO23" s="43"/>
      <c r="AP23" s="128"/>
      <c r="AQ23">
        <f t="shared" si="12"/>
        <v>1</v>
      </c>
      <c r="AR23">
        <f t="shared" si="13"/>
        <v>21</v>
      </c>
      <c r="AT23" s="127">
        <f t="shared" si="3"/>
        <v>21</v>
      </c>
      <c r="AU23" s="43" t="str">
        <f t="shared" si="4"/>
        <v/>
      </c>
      <c r="AV23" s="43" t="str">
        <f t="shared" si="5"/>
        <v/>
      </c>
      <c r="AW23" s="128" t="str">
        <f t="shared" si="6"/>
        <v/>
      </c>
      <c r="AX23" s="153">
        <f t="shared" si="14"/>
        <v>21</v>
      </c>
      <c r="AY23" s="127">
        <f t="shared" si="7"/>
        <v>0</v>
      </c>
      <c r="AZ23" s="43">
        <f t="shared" si="8"/>
        <v>21</v>
      </c>
      <c r="BA23" s="43" t="str">
        <f t="shared" si="9"/>
        <v/>
      </c>
      <c r="BB23" s="43" t="str">
        <f t="shared" si="10"/>
        <v/>
      </c>
      <c r="BC23" s="128" t="str">
        <f t="shared" si="11"/>
        <v/>
      </c>
      <c r="BD23" s="153">
        <f t="shared" si="15"/>
        <v>21</v>
      </c>
      <c r="BF23">
        <f t="shared" si="16"/>
        <v>0</v>
      </c>
    </row>
    <row r="24" spans="3:58" x14ac:dyDescent="0.25">
      <c r="C24" s="44">
        <v>17</v>
      </c>
      <c r="D24" s="149"/>
      <c r="E24" s="149"/>
      <c r="F24">
        <v>0</v>
      </c>
      <c r="S24" s="127">
        <f t="shared" si="0"/>
        <v>0</v>
      </c>
      <c r="T24">
        <f t="shared" si="1"/>
        <v>0</v>
      </c>
      <c r="U24" t="b">
        <f>LOOKUP($C24,Table3[Sample Name],Table3[Positive])</f>
        <v>1</v>
      </c>
      <c r="V24" t="b">
        <f>LOOKUP($C24,Table3[Sample Name],Table3[Disseminated])</f>
        <v>0</v>
      </c>
      <c r="W24">
        <f t="shared" si="2"/>
        <v>0</v>
      </c>
      <c r="AL24" s="134">
        <v>17</v>
      </c>
      <c r="AM24" s="127">
        <v>0</v>
      </c>
      <c r="AN24" s="43"/>
      <c r="AO24" s="43"/>
      <c r="AP24" s="128"/>
      <c r="AQ24">
        <f t="shared" si="12"/>
        <v>0</v>
      </c>
      <c r="AR24">
        <f t="shared" si="13"/>
        <v>0</v>
      </c>
      <c r="AT24" s="127">
        <f t="shared" si="3"/>
        <v>0</v>
      </c>
      <c r="AU24" s="43" t="str">
        <f t="shared" si="4"/>
        <v/>
      </c>
      <c r="AV24" s="43" t="str">
        <f t="shared" si="5"/>
        <v/>
      </c>
      <c r="AW24" s="128" t="str">
        <f t="shared" si="6"/>
        <v/>
      </c>
      <c r="AX24" s="153">
        <f t="shared" si="14"/>
        <v>0</v>
      </c>
      <c r="AY24" s="127">
        <f t="shared" si="7"/>
        <v>0</v>
      </c>
      <c r="AZ24" s="43" t="str">
        <f t="shared" si="8"/>
        <v/>
      </c>
      <c r="BA24" s="43" t="str">
        <f t="shared" si="9"/>
        <v/>
      </c>
      <c r="BB24" s="43" t="str">
        <f t="shared" si="10"/>
        <v/>
      </c>
      <c r="BC24" s="128" t="str">
        <f t="shared" si="11"/>
        <v/>
      </c>
      <c r="BD24" s="153">
        <f t="shared" si="15"/>
        <v>0</v>
      </c>
      <c r="BF24">
        <f t="shared" si="16"/>
        <v>0</v>
      </c>
    </row>
    <row r="25" spans="3:58" x14ac:dyDescent="0.25">
      <c r="C25" s="44">
        <v>18</v>
      </c>
      <c r="D25" s="149"/>
      <c r="E25" s="149"/>
      <c r="F25">
        <v>0</v>
      </c>
      <c r="K25">
        <v>0</v>
      </c>
      <c r="S25" s="127">
        <f t="shared" si="0"/>
        <v>0</v>
      </c>
      <c r="T25">
        <f t="shared" si="1"/>
        <v>0</v>
      </c>
      <c r="U25" t="b">
        <f>LOOKUP($C25,Table3[Sample Name],Table3[Positive])</f>
        <v>1</v>
      </c>
      <c r="V25" t="b">
        <f>LOOKUP($C25,Table3[Sample Name],Table3[Disseminated])</f>
        <v>1</v>
      </c>
      <c r="W25">
        <f t="shared" si="2"/>
        <v>0</v>
      </c>
      <c r="AL25" s="134">
        <v>18</v>
      </c>
      <c r="AM25" s="127">
        <v>0</v>
      </c>
      <c r="AN25" s="43"/>
      <c r="AO25" s="43"/>
      <c r="AP25" s="128"/>
      <c r="AQ25">
        <f t="shared" si="12"/>
        <v>0</v>
      </c>
      <c r="AR25">
        <f t="shared" si="13"/>
        <v>0</v>
      </c>
      <c r="AT25" s="127">
        <f t="shared" si="3"/>
        <v>0</v>
      </c>
      <c r="AU25" s="43" t="str">
        <f t="shared" si="4"/>
        <v/>
      </c>
      <c r="AV25" s="43" t="str">
        <f t="shared" si="5"/>
        <v/>
      </c>
      <c r="AW25" s="128" t="str">
        <f t="shared" si="6"/>
        <v/>
      </c>
      <c r="AX25" s="153">
        <f t="shared" si="14"/>
        <v>0</v>
      </c>
      <c r="AY25" s="127">
        <f t="shared" si="7"/>
        <v>0</v>
      </c>
      <c r="AZ25" s="43">
        <f t="shared" si="8"/>
        <v>0</v>
      </c>
      <c r="BA25" s="43" t="str">
        <f t="shared" si="9"/>
        <v/>
      </c>
      <c r="BB25" s="43" t="str">
        <f t="shared" si="10"/>
        <v/>
      </c>
      <c r="BC25" s="128" t="str">
        <f t="shared" si="11"/>
        <v/>
      </c>
      <c r="BD25" s="153">
        <f t="shared" si="15"/>
        <v>0</v>
      </c>
      <c r="BF25">
        <f t="shared" si="16"/>
        <v>0</v>
      </c>
    </row>
    <row r="26" spans="3:58" x14ac:dyDescent="0.25">
      <c r="C26" s="44">
        <v>19</v>
      </c>
      <c r="D26" s="149"/>
      <c r="E26" s="149"/>
      <c r="F26">
        <v>15</v>
      </c>
      <c r="I26">
        <v>15</v>
      </c>
      <c r="K26">
        <v>35</v>
      </c>
      <c r="L26">
        <v>12</v>
      </c>
      <c r="S26" s="127">
        <f t="shared" si="0"/>
        <v>77</v>
      </c>
      <c r="T26">
        <f t="shared" si="1"/>
        <v>4</v>
      </c>
      <c r="U26" t="b">
        <f>LOOKUP($C26,Table3[Sample Name],Table3[Positive])</f>
        <v>0</v>
      </c>
      <c r="V26" t="str">
        <f>LOOKUP($C26,Table3[Sample Name],Table3[Disseminated])</f>
        <v>N/A</v>
      </c>
      <c r="W26">
        <f t="shared" si="2"/>
        <v>35</v>
      </c>
      <c r="AL26" s="134">
        <v>19</v>
      </c>
      <c r="AM26" s="127">
        <v>15</v>
      </c>
      <c r="AN26" s="43">
        <v>15</v>
      </c>
      <c r="AO26" s="43">
        <v>35</v>
      </c>
      <c r="AP26" s="128">
        <v>12</v>
      </c>
      <c r="AQ26">
        <f t="shared" si="12"/>
        <v>4</v>
      </c>
      <c r="AR26">
        <f t="shared" si="13"/>
        <v>77</v>
      </c>
      <c r="AT26" s="127">
        <f t="shared" si="3"/>
        <v>12</v>
      </c>
      <c r="AU26" s="43">
        <f t="shared" si="4"/>
        <v>15</v>
      </c>
      <c r="AV26" s="43">
        <f t="shared" si="5"/>
        <v>15</v>
      </c>
      <c r="AW26" s="128">
        <f t="shared" si="6"/>
        <v>35</v>
      </c>
      <c r="AX26" s="153">
        <f t="shared" si="14"/>
        <v>77</v>
      </c>
      <c r="AY26" s="127">
        <f t="shared" si="7"/>
        <v>12</v>
      </c>
      <c r="AZ26" s="43">
        <f t="shared" si="8"/>
        <v>15</v>
      </c>
      <c r="BA26" s="43">
        <f t="shared" si="9"/>
        <v>15</v>
      </c>
      <c r="BB26" s="43">
        <f t="shared" si="10"/>
        <v>35</v>
      </c>
      <c r="BC26" s="128" t="str">
        <f t="shared" si="11"/>
        <v/>
      </c>
      <c r="BD26" s="153">
        <f t="shared" si="15"/>
        <v>77</v>
      </c>
      <c r="BF26">
        <f t="shared" si="16"/>
        <v>0</v>
      </c>
    </row>
    <row r="27" spans="3:58" x14ac:dyDescent="0.25">
      <c r="C27" s="44">
        <v>20</v>
      </c>
      <c r="D27" s="149"/>
      <c r="E27" s="149"/>
      <c r="F27">
        <v>16</v>
      </c>
      <c r="S27" s="127">
        <f t="shared" si="0"/>
        <v>16</v>
      </c>
      <c r="T27">
        <f t="shared" si="1"/>
        <v>1</v>
      </c>
      <c r="U27" t="b">
        <f>LOOKUP($C27,Table3[Sample Name],Table3[Positive])</f>
        <v>1</v>
      </c>
      <c r="V27" t="str">
        <f>LOOKUP($C27,Table3[Sample Name],Table3[Disseminated])</f>
        <v>N/A</v>
      </c>
      <c r="W27">
        <f t="shared" si="2"/>
        <v>16</v>
      </c>
      <c r="AL27" s="134">
        <v>20</v>
      </c>
      <c r="AM27" s="127">
        <v>16</v>
      </c>
      <c r="AN27" s="43"/>
      <c r="AO27" s="43"/>
      <c r="AP27" s="128"/>
      <c r="AQ27">
        <f t="shared" si="12"/>
        <v>1</v>
      </c>
      <c r="AR27">
        <f t="shared" si="13"/>
        <v>16</v>
      </c>
      <c r="AT27" s="127">
        <f t="shared" si="3"/>
        <v>16</v>
      </c>
      <c r="AU27" s="43" t="str">
        <f t="shared" si="4"/>
        <v/>
      </c>
      <c r="AV27" s="43" t="str">
        <f t="shared" si="5"/>
        <v/>
      </c>
      <c r="AW27" s="128" t="str">
        <f t="shared" si="6"/>
        <v/>
      </c>
      <c r="AX27" s="153">
        <f t="shared" si="14"/>
        <v>16</v>
      </c>
      <c r="AY27" s="127">
        <f t="shared" si="7"/>
        <v>16</v>
      </c>
      <c r="AZ27" s="43" t="str">
        <f t="shared" si="8"/>
        <v/>
      </c>
      <c r="BA27" s="43" t="str">
        <f t="shared" si="9"/>
        <v/>
      </c>
      <c r="BB27" s="43" t="str">
        <f t="shared" si="10"/>
        <v/>
      </c>
      <c r="BC27" s="128" t="str">
        <f t="shared" si="11"/>
        <v/>
      </c>
      <c r="BD27" s="153">
        <f t="shared" si="15"/>
        <v>16</v>
      </c>
      <c r="BF27">
        <f t="shared" si="16"/>
        <v>0</v>
      </c>
    </row>
    <row r="28" spans="3:58" x14ac:dyDescent="0.25">
      <c r="C28" s="44">
        <v>21</v>
      </c>
      <c r="D28" s="149"/>
      <c r="E28" s="149"/>
      <c r="F28">
        <v>0</v>
      </c>
      <c r="K28">
        <v>0</v>
      </c>
      <c r="S28" s="127">
        <f t="shared" si="0"/>
        <v>0</v>
      </c>
      <c r="T28">
        <f t="shared" si="1"/>
        <v>0</v>
      </c>
      <c r="U28" t="b">
        <f>LOOKUP($C28,Table3[Sample Name],Table3[Positive])</f>
        <v>1</v>
      </c>
      <c r="V28" t="b">
        <f>LOOKUP($C28,Table3[Sample Name],Table3[Disseminated])</f>
        <v>1</v>
      </c>
      <c r="W28">
        <f t="shared" si="2"/>
        <v>0</v>
      </c>
      <c r="AL28" s="134">
        <v>21</v>
      </c>
      <c r="AM28" s="127">
        <v>0</v>
      </c>
      <c r="AN28" s="43"/>
      <c r="AO28" s="43"/>
      <c r="AP28" s="128"/>
      <c r="AQ28">
        <f t="shared" si="12"/>
        <v>0</v>
      </c>
      <c r="AR28">
        <f t="shared" si="13"/>
        <v>0</v>
      </c>
      <c r="AT28" s="127">
        <f t="shared" si="3"/>
        <v>0</v>
      </c>
      <c r="AU28" s="43" t="str">
        <f t="shared" si="4"/>
        <v/>
      </c>
      <c r="AV28" s="43" t="str">
        <f t="shared" si="5"/>
        <v/>
      </c>
      <c r="AW28" s="128" t="str">
        <f t="shared" si="6"/>
        <v/>
      </c>
      <c r="AX28" s="153">
        <f t="shared" si="14"/>
        <v>0</v>
      </c>
      <c r="AY28" s="127">
        <f t="shared" si="7"/>
        <v>0</v>
      </c>
      <c r="AZ28" s="43">
        <f t="shared" si="8"/>
        <v>0</v>
      </c>
      <c r="BA28" s="43" t="str">
        <f t="shared" si="9"/>
        <v/>
      </c>
      <c r="BB28" s="43" t="str">
        <f t="shared" si="10"/>
        <v/>
      </c>
      <c r="BC28" s="128" t="str">
        <f t="shared" si="11"/>
        <v/>
      </c>
      <c r="BD28" s="153">
        <f t="shared" si="15"/>
        <v>0</v>
      </c>
      <c r="BF28">
        <f t="shared" si="16"/>
        <v>0</v>
      </c>
    </row>
    <row r="29" spans="3:58" x14ac:dyDescent="0.25">
      <c r="C29" s="44">
        <v>22</v>
      </c>
      <c r="D29" s="149"/>
      <c r="E29" s="149"/>
      <c r="S29" s="127">
        <f t="shared" si="0"/>
        <v>0</v>
      </c>
      <c r="T29">
        <f t="shared" si="1"/>
        <v>0</v>
      </c>
      <c r="U29" t="b">
        <f>LOOKUP($C29,Table3[Sample Name],Table3[Positive])</f>
        <v>1</v>
      </c>
      <c r="V29" t="b">
        <f>LOOKUP($C29,Table3[Sample Name],Table3[Disseminated])</f>
        <v>0</v>
      </c>
      <c r="W29">
        <f t="shared" si="2"/>
        <v>0</v>
      </c>
      <c r="AL29" s="134">
        <v>22</v>
      </c>
      <c r="AM29" s="127">
        <v>0</v>
      </c>
      <c r="AN29" s="43"/>
      <c r="AO29" s="43"/>
      <c r="AP29" s="128"/>
      <c r="AQ29">
        <f t="shared" si="12"/>
        <v>0</v>
      </c>
      <c r="AR29">
        <f t="shared" si="13"/>
        <v>0</v>
      </c>
      <c r="AT29" s="127">
        <f t="shared" si="3"/>
        <v>0</v>
      </c>
      <c r="AU29" s="43" t="str">
        <f t="shared" si="4"/>
        <v/>
      </c>
      <c r="AV29" s="43" t="str">
        <f t="shared" si="5"/>
        <v/>
      </c>
      <c r="AW29" s="128" t="str">
        <f t="shared" si="6"/>
        <v/>
      </c>
      <c r="AX29" s="153">
        <f t="shared" si="14"/>
        <v>0</v>
      </c>
      <c r="AY29" s="127" t="str">
        <f t="shared" si="7"/>
        <v/>
      </c>
      <c r="AZ29" s="43" t="str">
        <f t="shared" si="8"/>
        <v/>
      </c>
      <c r="BA29" s="43" t="str">
        <f t="shared" si="9"/>
        <v/>
      </c>
      <c r="BB29" s="43" t="str">
        <f t="shared" si="10"/>
        <v/>
      </c>
      <c r="BC29" s="128" t="str">
        <f t="shared" si="11"/>
        <v/>
      </c>
      <c r="BD29" s="153">
        <f t="shared" si="15"/>
        <v>0</v>
      </c>
      <c r="BF29">
        <f t="shared" si="16"/>
        <v>0</v>
      </c>
    </row>
    <row r="30" spans="3:58" x14ac:dyDescent="0.25">
      <c r="C30" s="44">
        <v>23</v>
      </c>
      <c r="D30" s="149"/>
      <c r="E30" s="149"/>
      <c r="F30">
        <v>56</v>
      </c>
      <c r="I30">
        <v>1</v>
      </c>
      <c r="S30" s="127">
        <f t="shared" si="0"/>
        <v>57</v>
      </c>
      <c r="T30">
        <f t="shared" si="1"/>
        <v>2</v>
      </c>
      <c r="U30" t="b">
        <f>LOOKUP($C30,Table3[Sample Name],Table3[Positive])</f>
        <v>1</v>
      </c>
      <c r="V30" t="b">
        <f>LOOKUP($C30,Table3[Sample Name],Table3[Disseminated])</f>
        <v>1</v>
      </c>
      <c r="W30">
        <f t="shared" si="2"/>
        <v>56</v>
      </c>
      <c r="AL30" s="134">
        <v>23</v>
      </c>
      <c r="AM30" s="127">
        <v>56</v>
      </c>
      <c r="AN30" s="43">
        <v>1</v>
      </c>
      <c r="AO30" s="43"/>
      <c r="AP30" s="128"/>
      <c r="AQ30">
        <f t="shared" si="12"/>
        <v>2</v>
      </c>
      <c r="AR30">
        <f t="shared" si="13"/>
        <v>57</v>
      </c>
      <c r="AT30" s="127">
        <f t="shared" si="3"/>
        <v>1</v>
      </c>
      <c r="AU30" s="43">
        <f t="shared" si="4"/>
        <v>56</v>
      </c>
      <c r="AV30" s="43" t="str">
        <f t="shared" si="5"/>
        <v/>
      </c>
      <c r="AW30" s="128" t="str">
        <f t="shared" si="6"/>
        <v/>
      </c>
      <c r="AX30" s="153">
        <f t="shared" si="14"/>
        <v>57</v>
      </c>
      <c r="AY30" s="127">
        <f t="shared" si="7"/>
        <v>1</v>
      </c>
      <c r="AZ30" s="43">
        <f t="shared" si="8"/>
        <v>56</v>
      </c>
      <c r="BA30" s="43" t="str">
        <f t="shared" si="9"/>
        <v/>
      </c>
      <c r="BB30" s="43" t="str">
        <f t="shared" si="10"/>
        <v/>
      </c>
      <c r="BC30" s="128" t="str">
        <f t="shared" si="11"/>
        <v/>
      </c>
      <c r="BD30" s="153">
        <f t="shared" si="15"/>
        <v>57</v>
      </c>
      <c r="BF30">
        <f t="shared" si="16"/>
        <v>0</v>
      </c>
    </row>
    <row r="31" spans="3:58" x14ac:dyDescent="0.25">
      <c r="C31" s="44">
        <v>24</v>
      </c>
      <c r="D31" s="149"/>
      <c r="E31" s="149"/>
      <c r="F31">
        <v>16</v>
      </c>
      <c r="I31">
        <v>5</v>
      </c>
      <c r="K31">
        <v>7</v>
      </c>
      <c r="S31" s="127">
        <f t="shared" si="0"/>
        <v>28</v>
      </c>
      <c r="T31">
        <f t="shared" si="1"/>
        <v>3</v>
      </c>
      <c r="U31" t="b">
        <f>LOOKUP($C31,Table3[Sample Name],Table3[Positive])</f>
        <v>0</v>
      </c>
      <c r="V31" t="str">
        <f>LOOKUP($C31,Table3[Sample Name],Table3[Disseminated])</f>
        <v>N/A</v>
      </c>
      <c r="W31">
        <f t="shared" si="2"/>
        <v>16</v>
      </c>
      <c r="AL31" s="134">
        <v>24</v>
      </c>
      <c r="AM31" s="127">
        <v>16</v>
      </c>
      <c r="AN31" s="43">
        <v>5</v>
      </c>
      <c r="AO31" s="43">
        <v>7</v>
      </c>
      <c r="AP31" s="128"/>
      <c r="AQ31">
        <f t="shared" si="12"/>
        <v>3</v>
      </c>
      <c r="AR31">
        <f t="shared" si="13"/>
        <v>28</v>
      </c>
      <c r="AT31" s="127">
        <f t="shared" si="3"/>
        <v>5</v>
      </c>
      <c r="AU31" s="320">
        <f t="shared" si="4"/>
        <v>7</v>
      </c>
      <c r="AV31" s="43">
        <f t="shared" si="5"/>
        <v>16</v>
      </c>
      <c r="AW31" s="128" t="str">
        <f t="shared" si="6"/>
        <v/>
      </c>
      <c r="AX31" s="153">
        <f t="shared" si="14"/>
        <v>28</v>
      </c>
      <c r="AY31" s="127">
        <f t="shared" si="7"/>
        <v>5</v>
      </c>
      <c r="AZ31" s="43">
        <f t="shared" si="8"/>
        <v>7</v>
      </c>
      <c r="BA31" s="43">
        <f t="shared" si="9"/>
        <v>16</v>
      </c>
      <c r="BB31" s="43" t="str">
        <f t="shared" si="10"/>
        <v/>
      </c>
      <c r="BC31" s="128" t="str">
        <f t="shared" si="11"/>
        <v/>
      </c>
      <c r="BD31" s="153">
        <f t="shared" si="15"/>
        <v>28</v>
      </c>
      <c r="BF31">
        <f t="shared" si="16"/>
        <v>0</v>
      </c>
    </row>
    <row r="32" spans="3:58" x14ac:dyDescent="0.25">
      <c r="C32" s="44">
        <v>25</v>
      </c>
      <c r="D32" s="149"/>
      <c r="E32" s="149"/>
      <c r="K32">
        <v>0</v>
      </c>
      <c r="S32" s="127">
        <f t="shared" si="0"/>
        <v>0</v>
      </c>
      <c r="T32">
        <f t="shared" si="1"/>
        <v>0</v>
      </c>
      <c r="U32" t="b">
        <f>LOOKUP($C32,Table3[Sample Name],Table3[Positive])</f>
        <v>1</v>
      </c>
      <c r="V32" t="b">
        <f>LOOKUP($C32,Table3[Sample Name],Table3[Disseminated])</f>
        <v>1</v>
      </c>
      <c r="W32">
        <f t="shared" si="2"/>
        <v>0</v>
      </c>
      <c r="AL32" s="134">
        <v>25</v>
      </c>
      <c r="AM32" s="127">
        <v>0</v>
      </c>
      <c r="AN32" s="43"/>
      <c r="AO32" s="43"/>
      <c r="AP32" s="128"/>
      <c r="AQ32">
        <f t="shared" si="12"/>
        <v>0</v>
      </c>
      <c r="AR32">
        <f t="shared" si="13"/>
        <v>0</v>
      </c>
      <c r="AT32" s="127">
        <f t="shared" si="3"/>
        <v>0</v>
      </c>
      <c r="AU32" s="43" t="str">
        <f t="shared" si="4"/>
        <v/>
      </c>
      <c r="AV32" s="43" t="str">
        <f t="shared" si="5"/>
        <v/>
      </c>
      <c r="AW32" s="128" t="str">
        <f t="shared" si="6"/>
        <v/>
      </c>
      <c r="AX32" s="153">
        <f t="shared" si="14"/>
        <v>0</v>
      </c>
      <c r="AY32" s="127">
        <f t="shared" si="7"/>
        <v>0</v>
      </c>
      <c r="AZ32" s="43" t="str">
        <f t="shared" si="8"/>
        <v/>
      </c>
      <c r="BA32" s="43" t="str">
        <f t="shared" si="9"/>
        <v/>
      </c>
      <c r="BB32" s="43" t="str">
        <f t="shared" si="10"/>
        <v/>
      </c>
      <c r="BC32" s="128" t="str">
        <f t="shared" si="11"/>
        <v/>
      </c>
      <c r="BD32" s="153">
        <f t="shared" si="15"/>
        <v>0</v>
      </c>
      <c r="BF32">
        <f t="shared" si="16"/>
        <v>0</v>
      </c>
    </row>
    <row r="33" spans="3:58" x14ac:dyDescent="0.25">
      <c r="C33" s="44">
        <v>26</v>
      </c>
      <c r="D33" s="149"/>
      <c r="E33" s="149"/>
      <c r="F33">
        <v>51</v>
      </c>
      <c r="S33" s="127">
        <f t="shared" si="0"/>
        <v>51</v>
      </c>
      <c r="T33">
        <f t="shared" si="1"/>
        <v>1</v>
      </c>
      <c r="U33" t="b">
        <f>LOOKUP($C33,Table3[Sample Name],Table3[Positive])</f>
        <v>0</v>
      </c>
      <c r="V33" t="str">
        <f>LOOKUP($C33,Table3[Sample Name],Table3[Disseminated])</f>
        <v>N/A</v>
      </c>
      <c r="W33">
        <f t="shared" si="2"/>
        <v>51</v>
      </c>
      <c r="AL33" s="134">
        <v>26</v>
      </c>
      <c r="AM33" s="127">
        <v>51</v>
      </c>
      <c r="AN33" s="43"/>
      <c r="AO33" s="43"/>
      <c r="AP33" s="128"/>
      <c r="AQ33">
        <f t="shared" si="12"/>
        <v>1</v>
      </c>
      <c r="AR33">
        <f t="shared" si="13"/>
        <v>51</v>
      </c>
      <c r="AT33" s="127">
        <f t="shared" si="3"/>
        <v>51</v>
      </c>
      <c r="AU33" s="43" t="str">
        <f t="shared" si="4"/>
        <v/>
      </c>
      <c r="AV33" s="43" t="str">
        <f t="shared" si="5"/>
        <v/>
      </c>
      <c r="AW33" s="128" t="str">
        <f t="shared" si="6"/>
        <v/>
      </c>
      <c r="AX33" s="153">
        <f t="shared" si="14"/>
        <v>51</v>
      </c>
      <c r="AY33" s="127">
        <f t="shared" si="7"/>
        <v>51</v>
      </c>
      <c r="AZ33" s="43" t="str">
        <f t="shared" si="8"/>
        <v/>
      </c>
      <c r="BA33" s="43" t="str">
        <f t="shared" si="9"/>
        <v/>
      </c>
      <c r="BB33" s="43" t="str">
        <f t="shared" si="10"/>
        <v/>
      </c>
      <c r="BC33" s="128" t="str">
        <f t="shared" si="11"/>
        <v/>
      </c>
      <c r="BD33" s="153">
        <f t="shared" si="15"/>
        <v>51</v>
      </c>
      <c r="BF33">
        <f t="shared" si="16"/>
        <v>0</v>
      </c>
    </row>
    <row r="34" spans="3:58" x14ac:dyDescent="0.25">
      <c r="C34" s="44">
        <v>27</v>
      </c>
      <c r="D34" s="149"/>
      <c r="E34" s="149"/>
      <c r="F34">
        <v>10</v>
      </c>
      <c r="S34" s="127">
        <f t="shared" si="0"/>
        <v>10</v>
      </c>
      <c r="T34">
        <f t="shared" si="1"/>
        <v>1</v>
      </c>
      <c r="U34" t="b">
        <f>LOOKUP($C34,Table3[Sample Name],Table3[Positive])</f>
        <v>1</v>
      </c>
      <c r="V34" t="b">
        <f>LOOKUP($C34,Table3[Sample Name],Table3[Disseminated])</f>
        <v>1</v>
      </c>
      <c r="W34">
        <f t="shared" si="2"/>
        <v>10</v>
      </c>
      <c r="AL34" s="134">
        <v>27</v>
      </c>
      <c r="AM34" s="127">
        <v>10</v>
      </c>
      <c r="AN34" s="43"/>
      <c r="AO34" s="43"/>
      <c r="AP34" s="128"/>
      <c r="AQ34">
        <f t="shared" si="12"/>
        <v>1</v>
      </c>
      <c r="AR34">
        <f t="shared" si="13"/>
        <v>10</v>
      </c>
      <c r="AT34" s="127">
        <f t="shared" si="3"/>
        <v>10</v>
      </c>
      <c r="AU34" s="43" t="str">
        <f t="shared" si="4"/>
        <v/>
      </c>
      <c r="AV34" s="43" t="str">
        <f t="shared" si="5"/>
        <v/>
      </c>
      <c r="AW34" s="128" t="str">
        <f t="shared" si="6"/>
        <v/>
      </c>
      <c r="AX34" s="153">
        <f t="shared" si="14"/>
        <v>10</v>
      </c>
      <c r="AY34" s="127">
        <f t="shared" si="7"/>
        <v>10</v>
      </c>
      <c r="AZ34" s="43" t="str">
        <f t="shared" si="8"/>
        <v/>
      </c>
      <c r="BA34" s="43" t="str">
        <f t="shared" si="9"/>
        <v/>
      </c>
      <c r="BB34" s="43" t="str">
        <f t="shared" si="10"/>
        <v/>
      </c>
      <c r="BC34" s="128" t="str">
        <f t="shared" si="11"/>
        <v/>
      </c>
      <c r="BD34" s="153">
        <f t="shared" si="15"/>
        <v>10</v>
      </c>
      <c r="BF34">
        <f t="shared" si="16"/>
        <v>0</v>
      </c>
    </row>
    <row r="35" spans="3:58" x14ac:dyDescent="0.25">
      <c r="C35" s="44">
        <v>28</v>
      </c>
      <c r="D35" s="149"/>
      <c r="E35" s="149"/>
      <c r="F35">
        <v>20</v>
      </c>
      <c r="G35">
        <v>6</v>
      </c>
      <c r="S35" s="127">
        <f t="shared" si="0"/>
        <v>26</v>
      </c>
      <c r="T35">
        <f t="shared" si="1"/>
        <v>2</v>
      </c>
      <c r="U35" t="b">
        <f>LOOKUP($C35,Table3[Sample Name],Table3[Positive])</f>
        <v>1</v>
      </c>
      <c r="V35" t="b">
        <f>LOOKUP($C35,Table3[Sample Name],Table3[Disseminated])</f>
        <v>0</v>
      </c>
      <c r="W35">
        <f t="shared" si="2"/>
        <v>20</v>
      </c>
      <c r="AL35" s="134">
        <v>28</v>
      </c>
      <c r="AM35" s="127">
        <v>20</v>
      </c>
      <c r="AN35" s="43">
        <v>6</v>
      </c>
      <c r="AO35" s="43"/>
      <c r="AP35" s="128"/>
      <c r="AQ35">
        <f t="shared" si="12"/>
        <v>2</v>
      </c>
      <c r="AR35">
        <f t="shared" si="13"/>
        <v>26</v>
      </c>
      <c r="AT35" s="127">
        <f t="shared" si="3"/>
        <v>6</v>
      </c>
      <c r="AU35" s="43">
        <f t="shared" si="4"/>
        <v>20</v>
      </c>
      <c r="AV35" s="43" t="str">
        <f t="shared" si="5"/>
        <v/>
      </c>
      <c r="AW35" s="128" t="str">
        <f t="shared" si="6"/>
        <v/>
      </c>
      <c r="AX35" s="153">
        <f t="shared" si="14"/>
        <v>26</v>
      </c>
      <c r="AY35" s="127">
        <f t="shared" si="7"/>
        <v>6</v>
      </c>
      <c r="AZ35" s="43">
        <f t="shared" si="8"/>
        <v>20</v>
      </c>
      <c r="BA35" s="43" t="str">
        <f t="shared" si="9"/>
        <v/>
      </c>
      <c r="BB35" s="43" t="str">
        <f t="shared" si="10"/>
        <v/>
      </c>
      <c r="BC35" s="128" t="str">
        <f t="shared" si="11"/>
        <v/>
      </c>
      <c r="BD35" s="153">
        <f t="shared" si="15"/>
        <v>26</v>
      </c>
      <c r="BF35">
        <f t="shared" si="16"/>
        <v>0</v>
      </c>
    </row>
    <row r="36" spans="3:58" x14ac:dyDescent="0.25">
      <c r="C36" s="44">
        <v>29</v>
      </c>
      <c r="D36" s="149"/>
      <c r="E36" s="149"/>
      <c r="F36">
        <v>0</v>
      </c>
      <c r="S36" s="127">
        <f t="shared" si="0"/>
        <v>0</v>
      </c>
      <c r="T36">
        <f t="shared" si="1"/>
        <v>0</v>
      </c>
      <c r="U36" t="b">
        <f>LOOKUP($C36,Table3[Sample Name],Table3[Positive])</f>
        <v>1</v>
      </c>
      <c r="V36" t="b">
        <f>LOOKUP($C36,Table3[Sample Name],Table3[Disseminated])</f>
        <v>1</v>
      </c>
      <c r="W36">
        <f t="shared" si="2"/>
        <v>0</v>
      </c>
      <c r="AL36" s="134">
        <v>29</v>
      </c>
      <c r="AM36" s="127">
        <v>0</v>
      </c>
      <c r="AN36" s="43"/>
      <c r="AO36" s="43"/>
      <c r="AP36" s="128"/>
      <c r="AQ36">
        <f t="shared" si="12"/>
        <v>0</v>
      </c>
      <c r="AR36">
        <f t="shared" si="13"/>
        <v>0</v>
      </c>
      <c r="AT36" s="127">
        <f t="shared" si="3"/>
        <v>0</v>
      </c>
      <c r="AU36" s="43" t="str">
        <f t="shared" si="4"/>
        <v/>
      </c>
      <c r="AV36" s="43" t="str">
        <f t="shared" si="5"/>
        <v/>
      </c>
      <c r="AW36" s="128" t="str">
        <f t="shared" si="6"/>
        <v/>
      </c>
      <c r="AX36" s="153">
        <f t="shared" si="14"/>
        <v>0</v>
      </c>
      <c r="AY36" s="127">
        <f t="shared" si="7"/>
        <v>0</v>
      </c>
      <c r="AZ36" s="43" t="str">
        <f t="shared" si="8"/>
        <v/>
      </c>
      <c r="BA36" s="43" t="str">
        <f t="shared" si="9"/>
        <v/>
      </c>
      <c r="BB36" s="43" t="str">
        <f t="shared" si="10"/>
        <v/>
      </c>
      <c r="BC36" s="128" t="str">
        <f t="shared" si="11"/>
        <v/>
      </c>
      <c r="BD36" s="153">
        <f t="shared" si="15"/>
        <v>0</v>
      </c>
      <c r="BF36">
        <f t="shared" si="16"/>
        <v>0</v>
      </c>
    </row>
    <row r="37" spans="3:58" x14ac:dyDescent="0.25">
      <c r="C37" s="44">
        <v>30</v>
      </c>
      <c r="D37" s="149"/>
      <c r="E37" s="149"/>
      <c r="F37">
        <v>47</v>
      </c>
      <c r="K37">
        <v>0</v>
      </c>
      <c r="S37" s="127">
        <f t="shared" si="0"/>
        <v>47</v>
      </c>
      <c r="T37">
        <f t="shared" si="1"/>
        <v>1</v>
      </c>
      <c r="U37" t="b">
        <f>LOOKUP($C37,Table3[Sample Name],Table3[Positive])</f>
        <v>1</v>
      </c>
      <c r="V37" t="b">
        <f>LOOKUP($C37,Table3[Sample Name],Table3[Disseminated])</f>
        <v>1</v>
      </c>
      <c r="W37">
        <f t="shared" si="2"/>
        <v>47</v>
      </c>
      <c r="AL37" s="134">
        <v>30</v>
      </c>
      <c r="AM37" s="127">
        <v>47</v>
      </c>
      <c r="AN37" s="43"/>
      <c r="AO37" s="43"/>
      <c r="AP37" s="128"/>
      <c r="AQ37">
        <f t="shared" si="12"/>
        <v>1</v>
      </c>
      <c r="AR37">
        <f t="shared" si="13"/>
        <v>47</v>
      </c>
      <c r="AT37" s="127">
        <f t="shared" si="3"/>
        <v>47</v>
      </c>
      <c r="AU37" s="43" t="str">
        <f t="shared" si="4"/>
        <v/>
      </c>
      <c r="AV37" s="43" t="str">
        <f t="shared" si="5"/>
        <v/>
      </c>
      <c r="AW37" s="128" t="str">
        <f t="shared" si="6"/>
        <v/>
      </c>
      <c r="AX37" s="153">
        <f t="shared" si="14"/>
        <v>47</v>
      </c>
      <c r="AY37" s="127">
        <f t="shared" si="7"/>
        <v>0</v>
      </c>
      <c r="AZ37" s="43">
        <f t="shared" si="8"/>
        <v>47</v>
      </c>
      <c r="BA37" s="43" t="str">
        <f t="shared" si="9"/>
        <v/>
      </c>
      <c r="BB37" s="43" t="str">
        <f t="shared" si="10"/>
        <v/>
      </c>
      <c r="BC37" s="128" t="str">
        <f t="shared" si="11"/>
        <v/>
      </c>
      <c r="BD37" s="153">
        <f t="shared" si="15"/>
        <v>47</v>
      </c>
      <c r="BF37">
        <f t="shared" si="16"/>
        <v>0</v>
      </c>
    </row>
    <row r="38" spans="3:58" x14ac:dyDescent="0.25">
      <c r="C38" s="44">
        <v>31</v>
      </c>
      <c r="D38" s="149"/>
      <c r="E38" s="149"/>
      <c r="F38">
        <v>25</v>
      </c>
      <c r="S38" s="127">
        <f t="shared" si="0"/>
        <v>25</v>
      </c>
      <c r="T38">
        <f t="shared" si="1"/>
        <v>1</v>
      </c>
      <c r="U38" t="b">
        <f>LOOKUP($C38,Table3[Sample Name],Table3[Positive])</f>
        <v>0</v>
      </c>
      <c r="V38" t="str">
        <f>LOOKUP($C38,Table3[Sample Name],Table3[Disseminated])</f>
        <v>N/A</v>
      </c>
      <c r="W38">
        <f t="shared" si="2"/>
        <v>25</v>
      </c>
      <c r="AL38" s="134">
        <v>31</v>
      </c>
      <c r="AM38" s="127">
        <v>25</v>
      </c>
      <c r="AN38" s="43"/>
      <c r="AO38" s="43"/>
      <c r="AP38" s="128"/>
      <c r="AQ38">
        <f t="shared" si="12"/>
        <v>1</v>
      </c>
      <c r="AR38">
        <f t="shared" si="13"/>
        <v>25</v>
      </c>
      <c r="AT38" s="127">
        <f t="shared" si="3"/>
        <v>25</v>
      </c>
      <c r="AU38" s="43" t="str">
        <f t="shared" si="4"/>
        <v/>
      </c>
      <c r="AV38" s="43" t="str">
        <f t="shared" si="5"/>
        <v/>
      </c>
      <c r="AW38" s="128" t="str">
        <f t="shared" si="6"/>
        <v/>
      </c>
      <c r="AX38" s="153">
        <f t="shared" si="14"/>
        <v>25</v>
      </c>
      <c r="AY38" s="127">
        <f t="shared" si="7"/>
        <v>25</v>
      </c>
      <c r="AZ38" s="43" t="str">
        <f t="shared" si="8"/>
        <v/>
      </c>
      <c r="BA38" s="43" t="str">
        <f t="shared" si="9"/>
        <v/>
      </c>
      <c r="BB38" s="43" t="str">
        <f t="shared" si="10"/>
        <v/>
      </c>
      <c r="BC38" s="128" t="str">
        <f t="shared" si="11"/>
        <v/>
      </c>
      <c r="BD38" s="153">
        <f t="shared" si="15"/>
        <v>25</v>
      </c>
      <c r="BF38">
        <f t="shared" si="16"/>
        <v>0</v>
      </c>
    </row>
    <row r="39" spans="3:58" x14ac:dyDescent="0.25">
      <c r="C39" s="44">
        <v>32</v>
      </c>
      <c r="D39" s="149"/>
      <c r="E39" s="149"/>
      <c r="F39">
        <v>0</v>
      </c>
      <c r="G39">
        <v>33</v>
      </c>
      <c r="S39" s="127">
        <f t="shared" si="0"/>
        <v>33</v>
      </c>
      <c r="T39">
        <f t="shared" si="1"/>
        <v>1</v>
      </c>
      <c r="U39" t="b">
        <f>LOOKUP($C39,Table3[Sample Name],Table3[Positive])</f>
        <v>0</v>
      </c>
      <c r="V39" t="str">
        <f>LOOKUP($C39,Table3[Sample Name],Table3[Disseminated])</f>
        <v>N/A</v>
      </c>
      <c r="W39">
        <f t="shared" si="2"/>
        <v>33</v>
      </c>
      <c r="AL39" s="134">
        <v>32</v>
      </c>
      <c r="AM39" s="127">
        <v>33</v>
      </c>
      <c r="AN39" s="43"/>
      <c r="AO39" s="43"/>
      <c r="AP39" s="128"/>
      <c r="AQ39">
        <f t="shared" si="12"/>
        <v>1</v>
      </c>
      <c r="AR39">
        <f t="shared" si="13"/>
        <v>33</v>
      </c>
      <c r="AT39" s="127">
        <f t="shared" si="3"/>
        <v>33</v>
      </c>
      <c r="AU39" s="43" t="str">
        <f t="shared" si="4"/>
        <v/>
      </c>
      <c r="AV39" s="43" t="str">
        <f t="shared" si="5"/>
        <v/>
      </c>
      <c r="AW39" s="128" t="str">
        <f t="shared" si="6"/>
        <v/>
      </c>
      <c r="AX39" s="153">
        <f t="shared" si="14"/>
        <v>33</v>
      </c>
      <c r="AY39" s="127">
        <f t="shared" si="7"/>
        <v>0</v>
      </c>
      <c r="AZ39" s="43">
        <f t="shared" si="8"/>
        <v>33</v>
      </c>
      <c r="BA39" s="43" t="str">
        <f t="shared" si="9"/>
        <v/>
      </c>
      <c r="BB39" s="43" t="str">
        <f t="shared" si="10"/>
        <v/>
      </c>
      <c r="BC39" s="128" t="str">
        <f t="shared" si="11"/>
        <v/>
      </c>
      <c r="BD39" s="153">
        <f t="shared" si="15"/>
        <v>33</v>
      </c>
      <c r="BF39">
        <f t="shared" si="16"/>
        <v>0</v>
      </c>
    </row>
    <row r="40" spans="3:58" x14ac:dyDescent="0.25">
      <c r="C40" s="44">
        <v>33</v>
      </c>
      <c r="D40" s="149"/>
      <c r="E40" s="149"/>
      <c r="S40" s="127">
        <f t="shared" ref="S40:S71" si="17">SUM(D40:R40)</f>
        <v>0</v>
      </c>
      <c r="T40">
        <f t="shared" ref="T40:T71" si="18">COUNTIF(D40:R40,"&gt;"&amp;0)</f>
        <v>0</v>
      </c>
      <c r="U40" t="b">
        <f>LOOKUP($C40,Table3[Sample Name],Table3[Positive])</f>
        <v>1</v>
      </c>
      <c r="V40" t="b">
        <f>LOOKUP($C40,Table3[Sample Name],Table3[Disseminated])</f>
        <v>0</v>
      </c>
      <c r="W40">
        <f t="shared" ref="W40:W71" si="19">IFERROR(LARGE(D40:R40,1),0)</f>
        <v>0</v>
      </c>
      <c r="AL40" s="134">
        <v>33</v>
      </c>
      <c r="AM40" s="127">
        <v>0</v>
      </c>
      <c r="AN40" s="43"/>
      <c r="AO40" s="43"/>
      <c r="AP40" s="128"/>
      <c r="AQ40">
        <f t="shared" si="12"/>
        <v>0</v>
      </c>
      <c r="AR40">
        <f t="shared" si="13"/>
        <v>0</v>
      </c>
      <c r="AT40" s="127">
        <f t="shared" ref="AT40:AT71" si="20">IFERROR(SMALL($AM40:$AP40,COLUMN(A:A)),"")</f>
        <v>0</v>
      </c>
      <c r="AU40" s="43" t="str">
        <f t="shared" ref="AU40:AU71" si="21">IFERROR(SMALL($AM40:$AP40,COLUMN(B:B)),"")</f>
        <v/>
      </c>
      <c r="AV40" s="43" t="str">
        <f t="shared" ref="AV40:AV71" si="22">IFERROR(SMALL($AM40:$AP40,COLUMN(C:C)),"")</f>
        <v/>
      </c>
      <c r="AW40" s="128" t="str">
        <f t="shared" ref="AW40:AW71" si="23">IFERROR(SMALL($AM40:$AP40,COLUMN(D:D)),"")</f>
        <v/>
      </c>
      <c r="AX40" s="153">
        <f t="shared" si="14"/>
        <v>0</v>
      </c>
      <c r="AY40" s="127" t="str">
        <f t="shared" ref="AY40:AY71" si="24">IFERROR(SMALL($D40:$R40,COLUMN(A:A)),"")</f>
        <v/>
      </c>
      <c r="AZ40" s="43" t="str">
        <f t="shared" ref="AZ40:AZ71" si="25">IFERROR(SMALL($D40:$R40,COLUMN(B:B)),"")</f>
        <v/>
      </c>
      <c r="BA40" s="43" t="str">
        <f t="shared" ref="BA40:BA71" si="26">IFERROR(SMALL($D40:$R40,COLUMN(C:C)),"")</f>
        <v/>
      </c>
      <c r="BB40" s="43" t="str">
        <f t="shared" ref="BB40:BB71" si="27">IFERROR(SMALL($D40:$R40,COLUMN(D:D)),"")</f>
        <v/>
      </c>
      <c r="BC40" s="128" t="str">
        <f t="shared" ref="BC40:BC71" si="28">IFERROR(SMALL($D40:$R40,COLUMN(E:E)),"")</f>
        <v/>
      </c>
      <c r="BD40" s="153">
        <f t="shared" si="15"/>
        <v>0</v>
      </c>
      <c r="BF40">
        <f t="shared" si="16"/>
        <v>0</v>
      </c>
    </row>
    <row r="41" spans="3:58" x14ac:dyDescent="0.25">
      <c r="C41" s="44">
        <v>34</v>
      </c>
      <c r="D41" s="149"/>
      <c r="E41" s="149"/>
      <c r="S41" s="127">
        <f t="shared" si="17"/>
        <v>0</v>
      </c>
      <c r="T41">
        <f t="shared" si="18"/>
        <v>0</v>
      </c>
      <c r="U41" t="b">
        <f>LOOKUP($C41,Table3[Sample Name],Table3[Positive])</f>
        <v>1</v>
      </c>
      <c r="V41" t="b">
        <f>LOOKUP($C41,Table3[Sample Name],Table3[Disseminated])</f>
        <v>1</v>
      </c>
      <c r="W41">
        <f t="shared" si="19"/>
        <v>0</v>
      </c>
      <c r="AL41" s="134">
        <v>34</v>
      </c>
      <c r="AM41" s="127">
        <v>0</v>
      </c>
      <c r="AN41" s="43"/>
      <c r="AO41" s="43"/>
      <c r="AP41" s="128"/>
      <c r="AQ41">
        <f t="shared" si="12"/>
        <v>0</v>
      </c>
      <c r="AR41">
        <f t="shared" si="13"/>
        <v>0</v>
      </c>
      <c r="AT41" s="127">
        <f t="shared" si="20"/>
        <v>0</v>
      </c>
      <c r="AU41" s="43" t="str">
        <f t="shared" si="21"/>
        <v/>
      </c>
      <c r="AV41" s="43" t="str">
        <f t="shared" si="22"/>
        <v/>
      </c>
      <c r="AW41" s="128" t="str">
        <f t="shared" si="23"/>
        <v/>
      </c>
      <c r="AX41" s="153">
        <f t="shared" si="14"/>
        <v>0</v>
      </c>
      <c r="AY41" s="127" t="str">
        <f t="shared" si="24"/>
        <v/>
      </c>
      <c r="AZ41" s="43" t="str">
        <f t="shared" si="25"/>
        <v/>
      </c>
      <c r="BA41" s="43" t="str">
        <f t="shared" si="26"/>
        <v/>
      </c>
      <c r="BB41" s="43" t="str">
        <f t="shared" si="27"/>
        <v/>
      </c>
      <c r="BC41" s="128" t="str">
        <f t="shared" si="28"/>
        <v/>
      </c>
      <c r="BD41" s="153">
        <f t="shared" si="15"/>
        <v>0</v>
      </c>
      <c r="BF41">
        <f t="shared" si="16"/>
        <v>0</v>
      </c>
    </row>
    <row r="42" spans="3:58" x14ac:dyDescent="0.25">
      <c r="C42" s="44">
        <v>35</v>
      </c>
      <c r="D42" s="149"/>
      <c r="E42" s="149">
        <v>50</v>
      </c>
      <c r="S42" s="127">
        <f t="shared" si="17"/>
        <v>50</v>
      </c>
      <c r="T42">
        <f t="shared" si="18"/>
        <v>1</v>
      </c>
      <c r="U42" t="b">
        <f>LOOKUP($C42,Table3[Sample Name],Table3[Positive])</f>
        <v>1</v>
      </c>
      <c r="V42" t="b">
        <f>LOOKUP($C42,Table3[Sample Name],Table3[Disseminated])</f>
        <v>0</v>
      </c>
      <c r="W42">
        <f t="shared" si="19"/>
        <v>50</v>
      </c>
      <c r="AL42" s="134">
        <v>35</v>
      </c>
      <c r="AM42" s="127">
        <v>50</v>
      </c>
      <c r="AN42" s="43"/>
      <c r="AO42" s="43"/>
      <c r="AP42" s="128"/>
      <c r="AQ42">
        <f t="shared" si="12"/>
        <v>1</v>
      </c>
      <c r="AR42">
        <f t="shared" si="13"/>
        <v>50</v>
      </c>
      <c r="AT42" s="127">
        <f t="shared" si="20"/>
        <v>50</v>
      </c>
      <c r="AU42" s="43" t="str">
        <f t="shared" si="21"/>
        <v/>
      </c>
      <c r="AV42" s="43" t="str">
        <f t="shared" si="22"/>
        <v/>
      </c>
      <c r="AW42" s="128" t="str">
        <f t="shared" si="23"/>
        <v/>
      </c>
      <c r="AX42" s="153">
        <f t="shared" si="14"/>
        <v>50</v>
      </c>
      <c r="AY42" s="127">
        <f t="shared" si="24"/>
        <v>50</v>
      </c>
      <c r="AZ42" s="43" t="str">
        <f t="shared" si="25"/>
        <v/>
      </c>
      <c r="BA42" s="43" t="str">
        <f t="shared" si="26"/>
        <v/>
      </c>
      <c r="BB42" s="43" t="str">
        <f t="shared" si="27"/>
        <v/>
      </c>
      <c r="BC42" s="128" t="str">
        <f t="shared" si="28"/>
        <v/>
      </c>
      <c r="BD42" s="153">
        <f t="shared" si="15"/>
        <v>50</v>
      </c>
      <c r="BF42">
        <f t="shared" si="16"/>
        <v>0</v>
      </c>
    </row>
    <row r="43" spans="3:58" x14ac:dyDescent="0.25">
      <c r="C43" s="44">
        <v>36</v>
      </c>
      <c r="D43" s="149"/>
      <c r="E43" s="149"/>
      <c r="S43" s="127">
        <f t="shared" si="17"/>
        <v>0</v>
      </c>
      <c r="T43">
        <f t="shared" si="18"/>
        <v>0</v>
      </c>
      <c r="U43" t="b">
        <f>LOOKUP($C43,Table3[Sample Name],Table3[Positive])</f>
        <v>1</v>
      </c>
      <c r="V43" t="b">
        <f>LOOKUP($C43,Table3[Sample Name],Table3[Disseminated])</f>
        <v>1</v>
      </c>
      <c r="W43">
        <f t="shared" si="19"/>
        <v>0</v>
      </c>
      <c r="AL43" s="134">
        <v>36</v>
      </c>
      <c r="AM43" s="127">
        <v>0</v>
      </c>
      <c r="AN43" s="43"/>
      <c r="AO43" s="43"/>
      <c r="AP43" s="128"/>
      <c r="AQ43">
        <f t="shared" si="12"/>
        <v>0</v>
      </c>
      <c r="AR43">
        <f t="shared" si="13"/>
        <v>0</v>
      </c>
      <c r="AT43" s="127">
        <f t="shared" si="20"/>
        <v>0</v>
      </c>
      <c r="AU43" s="43" t="str">
        <f t="shared" si="21"/>
        <v/>
      </c>
      <c r="AV43" s="43" t="str">
        <f t="shared" si="22"/>
        <v/>
      </c>
      <c r="AW43" s="128" t="str">
        <f t="shared" si="23"/>
        <v/>
      </c>
      <c r="AX43" s="153">
        <f t="shared" si="14"/>
        <v>0</v>
      </c>
      <c r="AY43" s="127" t="str">
        <f t="shared" si="24"/>
        <v/>
      </c>
      <c r="AZ43" s="43" t="str">
        <f t="shared" si="25"/>
        <v/>
      </c>
      <c r="BA43" s="43" t="str">
        <f t="shared" si="26"/>
        <v/>
      </c>
      <c r="BB43" s="43" t="str">
        <f t="shared" si="27"/>
        <v/>
      </c>
      <c r="BC43" s="128" t="str">
        <f t="shared" si="28"/>
        <v/>
      </c>
      <c r="BD43" s="153">
        <f t="shared" si="15"/>
        <v>0</v>
      </c>
      <c r="BF43">
        <f t="shared" si="16"/>
        <v>0</v>
      </c>
    </row>
    <row r="44" spans="3:58" x14ac:dyDescent="0.25">
      <c r="C44" s="44">
        <v>37</v>
      </c>
      <c r="D44" s="149"/>
      <c r="E44" s="149"/>
      <c r="F44">
        <v>34</v>
      </c>
      <c r="I44">
        <v>7</v>
      </c>
      <c r="S44" s="127">
        <f t="shared" si="17"/>
        <v>41</v>
      </c>
      <c r="T44">
        <f t="shared" si="18"/>
        <v>2</v>
      </c>
      <c r="U44" t="b">
        <f>LOOKUP($C44,Table3[Sample Name],Table3[Positive])</f>
        <v>1</v>
      </c>
      <c r="V44" t="b">
        <f>LOOKUP($C44,Table3[Sample Name],Table3[Disseminated])</f>
        <v>1</v>
      </c>
      <c r="W44">
        <f t="shared" si="19"/>
        <v>34</v>
      </c>
      <c r="AL44" s="134">
        <v>37</v>
      </c>
      <c r="AM44" s="127">
        <v>34</v>
      </c>
      <c r="AN44" s="43">
        <v>7</v>
      </c>
      <c r="AO44" s="43"/>
      <c r="AP44" s="128"/>
      <c r="AQ44">
        <f t="shared" si="12"/>
        <v>2</v>
      </c>
      <c r="AR44">
        <f t="shared" si="13"/>
        <v>41</v>
      </c>
      <c r="AT44" s="127">
        <f t="shared" si="20"/>
        <v>7</v>
      </c>
      <c r="AU44" s="43">
        <f t="shared" si="21"/>
        <v>34</v>
      </c>
      <c r="AV44" s="43" t="str">
        <f t="shared" si="22"/>
        <v/>
      </c>
      <c r="AW44" s="128" t="str">
        <f t="shared" si="23"/>
        <v/>
      </c>
      <c r="AX44" s="153">
        <f t="shared" si="14"/>
        <v>41</v>
      </c>
      <c r="AY44" s="127">
        <f t="shared" si="24"/>
        <v>7</v>
      </c>
      <c r="AZ44" s="43">
        <f t="shared" si="25"/>
        <v>34</v>
      </c>
      <c r="BA44" s="43" t="str">
        <f t="shared" si="26"/>
        <v/>
      </c>
      <c r="BB44" s="43" t="str">
        <f t="shared" si="27"/>
        <v/>
      </c>
      <c r="BC44" s="128" t="str">
        <f t="shared" si="28"/>
        <v/>
      </c>
      <c r="BD44" s="153">
        <f t="shared" si="15"/>
        <v>41</v>
      </c>
      <c r="BF44">
        <f t="shared" si="16"/>
        <v>0</v>
      </c>
    </row>
    <row r="45" spans="3:58" x14ac:dyDescent="0.25">
      <c r="C45" s="44">
        <v>38</v>
      </c>
      <c r="D45" s="149"/>
      <c r="E45" s="149"/>
      <c r="F45">
        <v>49</v>
      </c>
      <c r="G45">
        <v>7</v>
      </c>
      <c r="S45" s="127">
        <f t="shared" si="17"/>
        <v>56</v>
      </c>
      <c r="T45">
        <f t="shared" si="18"/>
        <v>2</v>
      </c>
      <c r="U45" t="b">
        <f>LOOKUP($C45,Table3[Sample Name],Table3[Positive])</f>
        <v>1</v>
      </c>
      <c r="V45" t="b">
        <f>LOOKUP($C45,Table3[Sample Name],Table3[Disseminated])</f>
        <v>1</v>
      </c>
      <c r="W45">
        <f t="shared" si="19"/>
        <v>49</v>
      </c>
      <c r="AL45" s="134">
        <v>38</v>
      </c>
      <c r="AM45" s="127">
        <v>49</v>
      </c>
      <c r="AN45" s="43">
        <v>7</v>
      </c>
      <c r="AO45" s="43"/>
      <c r="AP45" s="128"/>
      <c r="AQ45">
        <f t="shared" si="12"/>
        <v>2</v>
      </c>
      <c r="AR45">
        <f t="shared" si="13"/>
        <v>56</v>
      </c>
      <c r="AT45" s="127">
        <f t="shared" si="20"/>
        <v>7</v>
      </c>
      <c r="AU45" s="43">
        <f t="shared" si="21"/>
        <v>49</v>
      </c>
      <c r="AV45" s="43" t="str">
        <f t="shared" si="22"/>
        <v/>
      </c>
      <c r="AW45" s="128" t="str">
        <f t="shared" si="23"/>
        <v/>
      </c>
      <c r="AX45" s="153">
        <f t="shared" si="14"/>
        <v>56</v>
      </c>
      <c r="AY45" s="127">
        <f t="shared" si="24"/>
        <v>7</v>
      </c>
      <c r="AZ45" s="43">
        <f t="shared" si="25"/>
        <v>49</v>
      </c>
      <c r="BA45" s="43" t="str">
        <f t="shared" si="26"/>
        <v/>
      </c>
      <c r="BB45" s="43" t="str">
        <f t="shared" si="27"/>
        <v/>
      </c>
      <c r="BC45" s="128" t="str">
        <f t="shared" si="28"/>
        <v/>
      </c>
      <c r="BD45" s="153">
        <f t="shared" si="15"/>
        <v>56</v>
      </c>
      <c r="BF45">
        <f t="shared" si="16"/>
        <v>0</v>
      </c>
    </row>
    <row r="46" spans="3:58" x14ac:dyDescent="0.25">
      <c r="C46" s="44">
        <v>39</v>
      </c>
      <c r="D46" s="149"/>
      <c r="E46" s="149"/>
      <c r="F46">
        <v>0</v>
      </c>
      <c r="S46" s="127">
        <f t="shared" si="17"/>
        <v>0</v>
      </c>
      <c r="T46">
        <f t="shared" si="18"/>
        <v>0</v>
      </c>
      <c r="U46" t="b">
        <f>LOOKUP($C46,Table3[Sample Name],Table3[Positive])</f>
        <v>1</v>
      </c>
      <c r="V46" t="b">
        <f>LOOKUP($C46,Table3[Sample Name],Table3[Disseminated])</f>
        <v>1</v>
      </c>
      <c r="W46">
        <f t="shared" si="19"/>
        <v>0</v>
      </c>
      <c r="AL46" s="134">
        <v>39</v>
      </c>
      <c r="AM46" s="127">
        <v>0</v>
      </c>
      <c r="AN46" s="43"/>
      <c r="AO46" s="43"/>
      <c r="AP46" s="128"/>
      <c r="AQ46">
        <f t="shared" si="12"/>
        <v>0</v>
      </c>
      <c r="AR46">
        <f t="shared" si="13"/>
        <v>0</v>
      </c>
      <c r="AT46" s="127">
        <f t="shared" si="20"/>
        <v>0</v>
      </c>
      <c r="AU46" s="43" t="str">
        <f t="shared" si="21"/>
        <v/>
      </c>
      <c r="AV46" s="43" t="str">
        <f t="shared" si="22"/>
        <v/>
      </c>
      <c r="AW46" s="128" t="str">
        <f t="shared" si="23"/>
        <v/>
      </c>
      <c r="AX46" s="153">
        <f t="shared" si="14"/>
        <v>0</v>
      </c>
      <c r="AY46" s="127">
        <f t="shared" si="24"/>
        <v>0</v>
      </c>
      <c r="AZ46" s="43" t="str">
        <f t="shared" si="25"/>
        <v/>
      </c>
      <c r="BA46" s="43" t="str">
        <f t="shared" si="26"/>
        <v/>
      </c>
      <c r="BB46" s="43" t="str">
        <f t="shared" si="27"/>
        <v/>
      </c>
      <c r="BC46" s="128" t="str">
        <f t="shared" si="28"/>
        <v/>
      </c>
      <c r="BD46" s="153">
        <f t="shared" si="15"/>
        <v>0</v>
      </c>
      <c r="BF46">
        <f t="shared" si="16"/>
        <v>0</v>
      </c>
    </row>
    <row r="47" spans="3:58" x14ac:dyDescent="0.25">
      <c r="C47" s="44">
        <v>40</v>
      </c>
      <c r="D47" s="149"/>
      <c r="E47" s="149"/>
      <c r="F47">
        <v>0</v>
      </c>
      <c r="S47" s="127">
        <f t="shared" si="17"/>
        <v>0</v>
      </c>
      <c r="T47">
        <f t="shared" si="18"/>
        <v>0</v>
      </c>
      <c r="U47" t="b">
        <f>LOOKUP($C47,Table3[Sample Name],Table3[Positive])</f>
        <v>1</v>
      </c>
      <c r="V47" t="b">
        <f>LOOKUP($C47,Table3[Sample Name],Table3[Disseminated])</f>
        <v>1</v>
      </c>
      <c r="W47">
        <f t="shared" si="19"/>
        <v>0</v>
      </c>
      <c r="AL47" s="134">
        <v>40</v>
      </c>
      <c r="AM47" s="127">
        <v>0</v>
      </c>
      <c r="AN47" s="43"/>
      <c r="AO47" s="43"/>
      <c r="AP47" s="128"/>
      <c r="AQ47">
        <f t="shared" si="12"/>
        <v>0</v>
      </c>
      <c r="AR47">
        <f t="shared" si="13"/>
        <v>0</v>
      </c>
      <c r="AT47" s="127">
        <f t="shared" si="20"/>
        <v>0</v>
      </c>
      <c r="AU47" s="43" t="str">
        <f t="shared" si="21"/>
        <v/>
      </c>
      <c r="AV47" s="43" t="str">
        <f t="shared" si="22"/>
        <v/>
      </c>
      <c r="AW47" s="128" t="str">
        <f t="shared" si="23"/>
        <v/>
      </c>
      <c r="AX47" s="153">
        <f t="shared" si="14"/>
        <v>0</v>
      </c>
      <c r="AY47" s="127">
        <f t="shared" si="24"/>
        <v>0</v>
      </c>
      <c r="AZ47" s="43" t="str">
        <f t="shared" si="25"/>
        <v/>
      </c>
      <c r="BA47" s="43" t="str">
        <f t="shared" si="26"/>
        <v/>
      </c>
      <c r="BB47" s="43" t="str">
        <f t="shared" si="27"/>
        <v/>
      </c>
      <c r="BC47" s="128" t="str">
        <f t="shared" si="28"/>
        <v/>
      </c>
      <c r="BD47" s="153">
        <f t="shared" si="15"/>
        <v>0</v>
      </c>
      <c r="BF47">
        <f t="shared" si="16"/>
        <v>0</v>
      </c>
    </row>
    <row r="48" spans="3:58" x14ac:dyDescent="0.25">
      <c r="C48" s="44">
        <v>41</v>
      </c>
      <c r="D48" s="149"/>
      <c r="E48" s="149"/>
      <c r="F48">
        <v>46</v>
      </c>
      <c r="I48">
        <v>3</v>
      </c>
      <c r="S48" s="127">
        <f t="shared" si="17"/>
        <v>49</v>
      </c>
      <c r="T48">
        <f t="shared" si="18"/>
        <v>2</v>
      </c>
      <c r="U48" t="b">
        <f>LOOKUP($C48,Table3[Sample Name],Table3[Positive])</f>
        <v>1</v>
      </c>
      <c r="V48" t="b">
        <f>LOOKUP($C48,Table3[Sample Name],Table3[Disseminated])</f>
        <v>1</v>
      </c>
      <c r="W48">
        <f t="shared" si="19"/>
        <v>46</v>
      </c>
      <c r="AL48" s="134">
        <v>41</v>
      </c>
      <c r="AM48" s="127">
        <v>46</v>
      </c>
      <c r="AN48" s="43">
        <v>3</v>
      </c>
      <c r="AO48" s="43"/>
      <c r="AP48" s="128"/>
      <c r="AQ48">
        <f t="shared" si="12"/>
        <v>2</v>
      </c>
      <c r="AR48">
        <f t="shared" si="13"/>
        <v>49</v>
      </c>
      <c r="AT48" s="127">
        <f t="shared" si="20"/>
        <v>3</v>
      </c>
      <c r="AU48" s="43">
        <f t="shared" si="21"/>
        <v>46</v>
      </c>
      <c r="AV48" s="43" t="str">
        <f t="shared" si="22"/>
        <v/>
      </c>
      <c r="AW48" s="128" t="str">
        <f t="shared" si="23"/>
        <v/>
      </c>
      <c r="AX48" s="153">
        <f t="shared" si="14"/>
        <v>49</v>
      </c>
      <c r="AY48" s="127">
        <f t="shared" si="24"/>
        <v>3</v>
      </c>
      <c r="AZ48" s="43">
        <f t="shared" si="25"/>
        <v>46</v>
      </c>
      <c r="BA48" s="43" t="str">
        <f t="shared" si="26"/>
        <v/>
      </c>
      <c r="BB48" s="43" t="str">
        <f t="shared" si="27"/>
        <v/>
      </c>
      <c r="BC48" s="128" t="str">
        <f t="shared" si="28"/>
        <v/>
      </c>
      <c r="BD48" s="153">
        <f t="shared" si="15"/>
        <v>49</v>
      </c>
      <c r="BF48">
        <f t="shared" si="16"/>
        <v>0</v>
      </c>
    </row>
    <row r="49" spans="3:58" x14ac:dyDescent="0.25">
      <c r="C49" s="44">
        <v>42</v>
      </c>
      <c r="D49" s="149"/>
      <c r="E49" s="149"/>
      <c r="F49">
        <v>12</v>
      </c>
      <c r="I49">
        <v>4</v>
      </c>
      <c r="K49">
        <v>4</v>
      </c>
      <c r="S49" s="127">
        <f t="shared" si="17"/>
        <v>20</v>
      </c>
      <c r="T49">
        <f t="shared" si="18"/>
        <v>3</v>
      </c>
      <c r="U49" t="b">
        <f>LOOKUP($C49,Table3[Sample Name],Table3[Positive])</f>
        <v>1</v>
      </c>
      <c r="V49" t="str">
        <f>LOOKUP($C49,Table3[Sample Name],Table3[Disseminated])</f>
        <v>N/A</v>
      </c>
      <c r="W49">
        <f t="shared" si="19"/>
        <v>12</v>
      </c>
      <c r="AL49" s="134">
        <v>42</v>
      </c>
      <c r="AM49" s="127">
        <v>12</v>
      </c>
      <c r="AN49" s="43">
        <v>4</v>
      </c>
      <c r="AO49" s="43">
        <v>4</v>
      </c>
      <c r="AP49" s="128"/>
      <c r="AQ49">
        <f t="shared" si="12"/>
        <v>3</v>
      </c>
      <c r="AR49">
        <f t="shared" si="13"/>
        <v>20</v>
      </c>
      <c r="AT49" s="127">
        <f t="shared" si="20"/>
        <v>4</v>
      </c>
      <c r="AU49" s="43">
        <f t="shared" si="21"/>
        <v>4</v>
      </c>
      <c r="AV49" s="43">
        <f t="shared" si="22"/>
        <v>12</v>
      </c>
      <c r="AW49" s="128" t="str">
        <f t="shared" si="23"/>
        <v/>
      </c>
      <c r="AX49" s="153">
        <f t="shared" si="14"/>
        <v>20</v>
      </c>
      <c r="AY49" s="127">
        <f t="shared" si="24"/>
        <v>4</v>
      </c>
      <c r="AZ49" s="43">
        <f t="shared" si="25"/>
        <v>4</v>
      </c>
      <c r="BA49" s="43">
        <f t="shared" si="26"/>
        <v>12</v>
      </c>
      <c r="BB49" s="43" t="str">
        <f t="shared" si="27"/>
        <v/>
      </c>
      <c r="BC49" s="128" t="str">
        <f t="shared" si="28"/>
        <v/>
      </c>
      <c r="BD49" s="153">
        <f t="shared" si="15"/>
        <v>20</v>
      </c>
      <c r="BF49">
        <f t="shared" si="16"/>
        <v>0</v>
      </c>
    </row>
    <row r="50" spans="3:58" x14ac:dyDescent="0.25">
      <c r="C50" s="44">
        <v>43</v>
      </c>
      <c r="D50" s="149"/>
      <c r="E50" s="149"/>
      <c r="F50">
        <v>37</v>
      </c>
      <c r="S50" s="127">
        <f t="shared" si="17"/>
        <v>37</v>
      </c>
      <c r="T50">
        <f t="shared" si="18"/>
        <v>1</v>
      </c>
      <c r="U50" t="b">
        <f>LOOKUP($C50,Table3[Sample Name],Table3[Positive])</f>
        <v>0</v>
      </c>
      <c r="V50" t="str">
        <f>LOOKUP($C50,Table3[Sample Name],Table3[Disseminated])</f>
        <v>N/A</v>
      </c>
      <c r="W50">
        <f t="shared" si="19"/>
        <v>37</v>
      </c>
      <c r="AL50" s="134">
        <v>43</v>
      </c>
      <c r="AM50" s="127">
        <v>37</v>
      </c>
      <c r="AN50" s="43"/>
      <c r="AO50" s="43"/>
      <c r="AP50" s="128"/>
      <c r="AQ50">
        <f t="shared" si="12"/>
        <v>1</v>
      </c>
      <c r="AR50">
        <f t="shared" si="13"/>
        <v>37</v>
      </c>
      <c r="AT50" s="127">
        <f t="shared" si="20"/>
        <v>37</v>
      </c>
      <c r="AU50" s="43" t="str">
        <f t="shared" si="21"/>
        <v/>
      </c>
      <c r="AV50" s="43" t="str">
        <f t="shared" si="22"/>
        <v/>
      </c>
      <c r="AW50" s="128" t="str">
        <f t="shared" si="23"/>
        <v/>
      </c>
      <c r="AX50" s="153">
        <f t="shared" si="14"/>
        <v>37</v>
      </c>
      <c r="AY50" s="127">
        <f t="shared" si="24"/>
        <v>37</v>
      </c>
      <c r="AZ50" s="43" t="str">
        <f t="shared" si="25"/>
        <v/>
      </c>
      <c r="BA50" s="43" t="str">
        <f t="shared" si="26"/>
        <v/>
      </c>
      <c r="BB50" s="43" t="str">
        <f t="shared" si="27"/>
        <v/>
      </c>
      <c r="BC50" s="128" t="str">
        <f t="shared" si="28"/>
        <v/>
      </c>
      <c r="BD50" s="153">
        <f t="shared" si="15"/>
        <v>37</v>
      </c>
      <c r="BF50">
        <f t="shared" si="16"/>
        <v>0</v>
      </c>
    </row>
    <row r="51" spans="3:58" x14ac:dyDescent="0.25">
      <c r="C51" s="44">
        <v>44</v>
      </c>
      <c r="D51" s="149"/>
      <c r="E51" s="149"/>
      <c r="F51">
        <v>12</v>
      </c>
      <c r="I51">
        <v>3</v>
      </c>
      <c r="S51" s="127">
        <f t="shared" si="17"/>
        <v>15</v>
      </c>
      <c r="T51">
        <f t="shared" si="18"/>
        <v>2</v>
      </c>
      <c r="U51" t="b">
        <f>LOOKUP($C51,Table3[Sample Name],Table3[Positive])</f>
        <v>1</v>
      </c>
      <c r="V51" t="b">
        <f>LOOKUP($C51,Table3[Sample Name],Table3[Disseminated])</f>
        <v>1</v>
      </c>
      <c r="W51">
        <f t="shared" si="19"/>
        <v>12</v>
      </c>
      <c r="AL51" s="134">
        <v>44</v>
      </c>
      <c r="AM51" s="127">
        <v>12</v>
      </c>
      <c r="AN51" s="43">
        <v>3</v>
      </c>
      <c r="AO51" s="43"/>
      <c r="AP51" s="128"/>
      <c r="AQ51">
        <f t="shared" si="12"/>
        <v>2</v>
      </c>
      <c r="AR51">
        <f t="shared" si="13"/>
        <v>15</v>
      </c>
      <c r="AT51" s="127">
        <f t="shared" si="20"/>
        <v>3</v>
      </c>
      <c r="AU51" s="43">
        <f t="shared" si="21"/>
        <v>12</v>
      </c>
      <c r="AV51" s="43" t="str">
        <f t="shared" si="22"/>
        <v/>
      </c>
      <c r="AW51" s="128" t="str">
        <f t="shared" si="23"/>
        <v/>
      </c>
      <c r="AX51" s="153">
        <f t="shared" si="14"/>
        <v>15</v>
      </c>
      <c r="AY51" s="127">
        <f t="shared" si="24"/>
        <v>3</v>
      </c>
      <c r="AZ51" s="43">
        <f t="shared" si="25"/>
        <v>12</v>
      </c>
      <c r="BA51" s="43" t="str">
        <f t="shared" si="26"/>
        <v/>
      </c>
      <c r="BB51" s="43" t="str">
        <f t="shared" si="27"/>
        <v/>
      </c>
      <c r="BC51" s="128" t="str">
        <f t="shared" si="28"/>
        <v/>
      </c>
      <c r="BD51" s="153">
        <f t="shared" si="15"/>
        <v>15</v>
      </c>
      <c r="BF51">
        <f t="shared" si="16"/>
        <v>0</v>
      </c>
    </row>
    <row r="52" spans="3:58" x14ac:dyDescent="0.25">
      <c r="C52" s="44">
        <v>45</v>
      </c>
      <c r="D52" s="149"/>
      <c r="E52" s="149"/>
      <c r="S52" s="127">
        <f t="shared" si="17"/>
        <v>0</v>
      </c>
      <c r="T52">
        <f t="shared" si="18"/>
        <v>0</v>
      </c>
      <c r="U52" t="b">
        <f>LOOKUP($C52,Table3[Sample Name],Table3[Positive])</f>
        <v>1</v>
      </c>
      <c r="V52" t="b">
        <f>LOOKUP($C52,Table3[Sample Name],Table3[Disseminated])</f>
        <v>1</v>
      </c>
      <c r="W52">
        <f t="shared" si="19"/>
        <v>0</v>
      </c>
      <c r="AL52" s="134">
        <v>45</v>
      </c>
      <c r="AM52" s="127">
        <v>0</v>
      </c>
      <c r="AN52" s="43"/>
      <c r="AO52" s="43"/>
      <c r="AP52" s="128"/>
      <c r="AQ52">
        <f t="shared" si="12"/>
        <v>0</v>
      </c>
      <c r="AR52">
        <f t="shared" si="13"/>
        <v>0</v>
      </c>
      <c r="AT52" s="127">
        <f t="shared" si="20"/>
        <v>0</v>
      </c>
      <c r="AU52" s="43" t="str">
        <f t="shared" si="21"/>
        <v/>
      </c>
      <c r="AV52" s="43" t="str">
        <f t="shared" si="22"/>
        <v/>
      </c>
      <c r="AW52" s="128" t="str">
        <f t="shared" si="23"/>
        <v/>
      </c>
      <c r="AX52" s="153">
        <f t="shared" si="14"/>
        <v>0</v>
      </c>
      <c r="AY52" s="127" t="str">
        <f t="shared" si="24"/>
        <v/>
      </c>
      <c r="AZ52" s="43" t="str">
        <f t="shared" si="25"/>
        <v/>
      </c>
      <c r="BA52" s="43" t="str">
        <f t="shared" si="26"/>
        <v/>
      </c>
      <c r="BB52" s="43" t="str">
        <f t="shared" si="27"/>
        <v/>
      </c>
      <c r="BC52" s="128" t="str">
        <f t="shared" si="28"/>
        <v/>
      </c>
      <c r="BD52" s="153">
        <f t="shared" si="15"/>
        <v>0</v>
      </c>
      <c r="BF52">
        <f t="shared" si="16"/>
        <v>0</v>
      </c>
    </row>
    <row r="53" spans="3:58" x14ac:dyDescent="0.25">
      <c r="C53" s="44">
        <v>46</v>
      </c>
      <c r="D53" s="149"/>
      <c r="E53" s="149"/>
      <c r="F53">
        <v>2</v>
      </c>
      <c r="S53" s="127">
        <f t="shared" si="17"/>
        <v>2</v>
      </c>
      <c r="T53">
        <f t="shared" si="18"/>
        <v>1</v>
      </c>
      <c r="U53" t="b">
        <f>LOOKUP($C53,Table3[Sample Name],Table3[Positive])</f>
        <v>0</v>
      </c>
      <c r="V53" t="str">
        <f>LOOKUP($C53,Table3[Sample Name],Table3[Disseminated])</f>
        <v>N/A</v>
      </c>
      <c r="W53">
        <f t="shared" si="19"/>
        <v>2</v>
      </c>
      <c r="AL53" s="134">
        <v>46</v>
      </c>
      <c r="AM53" s="127">
        <v>2</v>
      </c>
      <c r="AN53" s="43"/>
      <c r="AO53" s="43"/>
      <c r="AP53" s="128"/>
      <c r="AQ53">
        <f t="shared" si="12"/>
        <v>1</v>
      </c>
      <c r="AR53">
        <f t="shared" si="13"/>
        <v>2</v>
      </c>
      <c r="AT53" s="127">
        <f t="shared" si="20"/>
        <v>2</v>
      </c>
      <c r="AU53" s="43" t="str">
        <f t="shared" si="21"/>
        <v/>
      </c>
      <c r="AV53" s="43" t="str">
        <f t="shared" si="22"/>
        <v/>
      </c>
      <c r="AW53" s="128" t="str">
        <f t="shared" si="23"/>
        <v/>
      </c>
      <c r="AX53" s="153">
        <f t="shared" si="14"/>
        <v>2</v>
      </c>
      <c r="AY53" s="127">
        <f t="shared" si="24"/>
        <v>2</v>
      </c>
      <c r="AZ53" s="43" t="str">
        <f t="shared" si="25"/>
        <v/>
      </c>
      <c r="BA53" s="43" t="str">
        <f t="shared" si="26"/>
        <v/>
      </c>
      <c r="BB53" s="43" t="str">
        <f t="shared" si="27"/>
        <v/>
      </c>
      <c r="BC53" s="128" t="str">
        <f t="shared" si="28"/>
        <v/>
      </c>
      <c r="BD53" s="153">
        <f t="shared" si="15"/>
        <v>2</v>
      </c>
      <c r="BF53">
        <f t="shared" si="16"/>
        <v>0</v>
      </c>
    </row>
    <row r="54" spans="3:58" x14ac:dyDescent="0.25">
      <c r="C54" s="44">
        <v>47</v>
      </c>
      <c r="D54" s="149"/>
      <c r="E54" s="149"/>
      <c r="F54">
        <v>0</v>
      </c>
      <c r="S54" s="127">
        <f t="shared" si="17"/>
        <v>0</v>
      </c>
      <c r="T54">
        <f t="shared" si="18"/>
        <v>0</v>
      </c>
      <c r="U54" t="b">
        <f>LOOKUP($C54,Table3[Sample Name],Table3[Positive])</f>
        <v>0</v>
      </c>
      <c r="V54" t="str">
        <f>LOOKUP($C54,Table3[Sample Name],Table3[Disseminated])</f>
        <v>N/A</v>
      </c>
      <c r="W54">
        <f t="shared" si="19"/>
        <v>0</v>
      </c>
      <c r="AL54" s="134">
        <v>47</v>
      </c>
      <c r="AM54" s="127">
        <v>0</v>
      </c>
      <c r="AN54" s="43"/>
      <c r="AO54" s="43"/>
      <c r="AP54" s="128"/>
      <c r="AQ54">
        <f t="shared" si="12"/>
        <v>0</v>
      </c>
      <c r="AR54">
        <f t="shared" si="13"/>
        <v>0</v>
      </c>
      <c r="AT54" s="127">
        <f t="shared" si="20"/>
        <v>0</v>
      </c>
      <c r="AU54" s="43" t="str">
        <f t="shared" si="21"/>
        <v/>
      </c>
      <c r="AV54" s="43" t="str">
        <f t="shared" si="22"/>
        <v/>
      </c>
      <c r="AW54" s="128" t="str">
        <f t="shared" si="23"/>
        <v/>
      </c>
      <c r="AX54" s="153">
        <f t="shared" si="14"/>
        <v>0</v>
      </c>
      <c r="AY54" s="127">
        <f t="shared" si="24"/>
        <v>0</v>
      </c>
      <c r="AZ54" s="43" t="str">
        <f t="shared" si="25"/>
        <v/>
      </c>
      <c r="BA54" s="43" t="str">
        <f t="shared" si="26"/>
        <v/>
      </c>
      <c r="BB54" s="43" t="str">
        <f t="shared" si="27"/>
        <v/>
      </c>
      <c r="BC54" s="128" t="str">
        <f t="shared" si="28"/>
        <v/>
      </c>
      <c r="BD54" s="153">
        <f t="shared" si="15"/>
        <v>0</v>
      </c>
      <c r="BF54">
        <f t="shared" si="16"/>
        <v>0</v>
      </c>
    </row>
    <row r="55" spans="3:58" x14ac:dyDescent="0.25">
      <c r="C55" s="44">
        <v>48</v>
      </c>
      <c r="D55" s="149"/>
      <c r="E55" s="149"/>
      <c r="H55">
        <v>7</v>
      </c>
      <c r="S55" s="127">
        <f t="shared" si="17"/>
        <v>7</v>
      </c>
      <c r="T55">
        <f t="shared" si="18"/>
        <v>1</v>
      </c>
      <c r="U55" t="b">
        <f>LOOKUP($C55,Table3[Sample Name],Table3[Positive])</f>
        <v>1</v>
      </c>
      <c r="V55" t="b">
        <f>LOOKUP($C55,Table3[Sample Name],Table3[Disseminated])</f>
        <v>1</v>
      </c>
      <c r="W55">
        <f t="shared" si="19"/>
        <v>7</v>
      </c>
      <c r="AL55" s="134">
        <v>48</v>
      </c>
      <c r="AM55" s="127">
        <v>7</v>
      </c>
      <c r="AN55" s="43"/>
      <c r="AO55" s="43"/>
      <c r="AP55" s="128"/>
      <c r="AQ55">
        <f t="shared" si="12"/>
        <v>1</v>
      </c>
      <c r="AR55">
        <f t="shared" si="13"/>
        <v>7</v>
      </c>
      <c r="AT55" s="127">
        <f t="shared" si="20"/>
        <v>7</v>
      </c>
      <c r="AU55" s="43" t="str">
        <f t="shared" si="21"/>
        <v/>
      </c>
      <c r="AV55" s="43" t="str">
        <f t="shared" si="22"/>
        <v/>
      </c>
      <c r="AW55" s="128" t="str">
        <f t="shared" si="23"/>
        <v/>
      </c>
      <c r="AX55" s="153">
        <f t="shared" si="14"/>
        <v>7</v>
      </c>
      <c r="AY55" s="127">
        <f t="shared" si="24"/>
        <v>7</v>
      </c>
      <c r="AZ55" s="43" t="str">
        <f t="shared" si="25"/>
        <v/>
      </c>
      <c r="BA55" s="43" t="str">
        <f t="shared" si="26"/>
        <v/>
      </c>
      <c r="BB55" s="43" t="str">
        <f t="shared" si="27"/>
        <v/>
      </c>
      <c r="BC55" s="128" t="str">
        <f t="shared" si="28"/>
        <v/>
      </c>
      <c r="BD55" s="153">
        <f t="shared" si="15"/>
        <v>7</v>
      </c>
      <c r="BF55">
        <f t="shared" si="16"/>
        <v>0</v>
      </c>
    </row>
    <row r="56" spans="3:58" x14ac:dyDescent="0.25">
      <c r="C56" s="44">
        <v>49</v>
      </c>
      <c r="D56" s="149"/>
      <c r="E56" s="149"/>
      <c r="F56">
        <v>41</v>
      </c>
      <c r="K56">
        <v>2</v>
      </c>
      <c r="S56" s="127">
        <f t="shared" si="17"/>
        <v>43</v>
      </c>
      <c r="T56">
        <f t="shared" si="18"/>
        <v>2</v>
      </c>
      <c r="U56" t="b">
        <f>LOOKUP($C56,Table3[Sample Name],Table3[Positive])</f>
        <v>1</v>
      </c>
      <c r="V56" t="str">
        <f>LOOKUP($C56,Table3[Sample Name],Table3[Disseminated])</f>
        <v>N/A</v>
      </c>
      <c r="W56">
        <f t="shared" si="19"/>
        <v>41</v>
      </c>
      <c r="AL56" s="134">
        <v>49</v>
      </c>
      <c r="AM56" s="127">
        <v>41</v>
      </c>
      <c r="AN56" s="43">
        <v>2</v>
      </c>
      <c r="AO56" s="43"/>
      <c r="AP56" s="128"/>
      <c r="AQ56">
        <f t="shared" si="12"/>
        <v>2</v>
      </c>
      <c r="AR56">
        <f t="shared" si="13"/>
        <v>43</v>
      </c>
      <c r="AT56" s="321">
        <f t="shared" si="20"/>
        <v>2</v>
      </c>
      <c r="AU56" s="43">
        <f t="shared" si="21"/>
        <v>41</v>
      </c>
      <c r="AV56" s="43" t="str">
        <f t="shared" si="22"/>
        <v/>
      </c>
      <c r="AW56" s="128" t="str">
        <f t="shared" si="23"/>
        <v/>
      </c>
      <c r="AX56" s="153">
        <f t="shared" si="14"/>
        <v>43</v>
      </c>
      <c r="AY56" s="127">
        <f t="shared" si="24"/>
        <v>2</v>
      </c>
      <c r="AZ56" s="43">
        <f t="shared" si="25"/>
        <v>41</v>
      </c>
      <c r="BA56" s="43" t="str">
        <f t="shared" si="26"/>
        <v/>
      </c>
      <c r="BB56" s="43" t="str">
        <f t="shared" si="27"/>
        <v/>
      </c>
      <c r="BC56" s="128" t="str">
        <f t="shared" si="28"/>
        <v/>
      </c>
      <c r="BD56" s="153">
        <f t="shared" si="15"/>
        <v>43</v>
      </c>
      <c r="BF56">
        <f t="shared" si="16"/>
        <v>0</v>
      </c>
    </row>
    <row r="57" spans="3:58" x14ac:dyDescent="0.25">
      <c r="C57" s="44">
        <v>50</v>
      </c>
      <c r="D57" s="149"/>
      <c r="E57" s="149"/>
      <c r="F57">
        <v>0</v>
      </c>
      <c r="K57">
        <v>0</v>
      </c>
      <c r="L57">
        <v>8</v>
      </c>
      <c r="S57" s="127">
        <f t="shared" si="17"/>
        <v>8</v>
      </c>
      <c r="T57">
        <f t="shared" si="18"/>
        <v>1</v>
      </c>
      <c r="U57" t="b">
        <f>LOOKUP($C57,Table3[Sample Name],Table3[Positive])</f>
        <v>1</v>
      </c>
      <c r="V57" t="b">
        <f>LOOKUP($C57,Table3[Sample Name],Table3[Disseminated])</f>
        <v>1</v>
      </c>
      <c r="W57">
        <f t="shared" si="19"/>
        <v>8</v>
      </c>
      <c r="AL57" s="134">
        <v>50</v>
      </c>
      <c r="AM57" s="127">
        <v>8</v>
      </c>
      <c r="AN57" s="43"/>
      <c r="AO57" s="43"/>
      <c r="AP57" s="128"/>
      <c r="AQ57">
        <f t="shared" si="12"/>
        <v>1</v>
      </c>
      <c r="AR57">
        <f t="shared" si="13"/>
        <v>8</v>
      </c>
      <c r="AT57" s="127">
        <f t="shared" si="20"/>
        <v>8</v>
      </c>
      <c r="AU57" s="43" t="str">
        <f t="shared" si="21"/>
        <v/>
      </c>
      <c r="AV57" s="43" t="str">
        <f t="shared" si="22"/>
        <v/>
      </c>
      <c r="AW57" s="128" t="str">
        <f t="shared" si="23"/>
        <v/>
      </c>
      <c r="AX57" s="153">
        <f t="shared" si="14"/>
        <v>8</v>
      </c>
      <c r="AY57" s="127">
        <f t="shared" si="24"/>
        <v>0</v>
      </c>
      <c r="AZ57" s="43">
        <f t="shared" si="25"/>
        <v>0</v>
      </c>
      <c r="BA57" s="43">
        <f t="shared" si="26"/>
        <v>8</v>
      </c>
      <c r="BB57" s="43" t="str">
        <f t="shared" si="27"/>
        <v/>
      </c>
      <c r="BC57" s="128" t="str">
        <f t="shared" si="28"/>
        <v/>
      </c>
      <c r="BD57" s="153">
        <f t="shared" si="15"/>
        <v>8</v>
      </c>
      <c r="BF57">
        <f t="shared" si="16"/>
        <v>0</v>
      </c>
    </row>
    <row r="58" spans="3:58" x14ac:dyDescent="0.25">
      <c r="C58" s="44">
        <v>51</v>
      </c>
      <c r="D58" s="149"/>
      <c r="E58" s="149"/>
      <c r="F58">
        <v>0</v>
      </c>
      <c r="S58" s="127">
        <f t="shared" si="17"/>
        <v>0</v>
      </c>
      <c r="T58">
        <f t="shared" si="18"/>
        <v>0</v>
      </c>
      <c r="U58" t="b">
        <f>LOOKUP($C58,Table3[Sample Name],Table3[Positive])</f>
        <v>1</v>
      </c>
      <c r="V58" t="b">
        <f>LOOKUP($C58,Table3[Sample Name],Table3[Disseminated])</f>
        <v>1</v>
      </c>
      <c r="W58">
        <f t="shared" si="19"/>
        <v>0</v>
      </c>
      <c r="AL58" s="134">
        <v>51</v>
      </c>
      <c r="AM58" s="127">
        <v>0</v>
      </c>
      <c r="AN58" s="43"/>
      <c r="AO58" s="43"/>
      <c r="AP58" s="128"/>
      <c r="AQ58">
        <f t="shared" si="12"/>
        <v>0</v>
      </c>
      <c r="AR58">
        <f t="shared" si="13"/>
        <v>0</v>
      </c>
      <c r="AT58" s="127">
        <f t="shared" si="20"/>
        <v>0</v>
      </c>
      <c r="AU58" s="43" t="str">
        <f t="shared" si="21"/>
        <v/>
      </c>
      <c r="AV58" s="43" t="str">
        <f t="shared" si="22"/>
        <v/>
      </c>
      <c r="AW58" s="128" t="str">
        <f t="shared" si="23"/>
        <v/>
      </c>
      <c r="AX58" s="153">
        <f t="shared" si="14"/>
        <v>0</v>
      </c>
      <c r="AY58" s="127">
        <f t="shared" si="24"/>
        <v>0</v>
      </c>
      <c r="AZ58" s="43" t="str">
        <f t="shared" si="25"/>
        <v/>
      </c>
      <c r="BA58" s="43" t="str">
        <f t="shared" si="26"/>
        <v/>
      </c>
      <c r="BB58" s="43" t="str">
        <f t="shared" si="27"/>
        <v/>
      </c>
      <c r="BC58" s="128" t="str">
        <f t="shared" si="28"/>
        <v/>
      </c>
      <c r="BD58" s="153">
        <f t="shared" si="15"/>
        <v>0</v>
      </c>
      <c r="BF58">
        <f t="shared" si="16"/>
        <v>0</v>
      </c>
    </row>
    <row r="59" spans="3:58" x14ac:dyDescent="0.25">
      <c r="C59" s="44">
        <v>52</v>
      </c>
      <c r="D59" s="149"/>
      <c r="E59" s="149"/>
      <c r="F59">
        <v>2</v>
      </c>
      <c r="S59" s="127">
        <f t="shared" si="17"/>
        <v>2</v>
      </c>
      <c r="T59">
        <f t="shared" si="18"/>
        <v>1</v>
      </c>
      <c r="U59" t="b">
        <f>LOOKUP($C59,Table3[Sample Name],Table3[Positive])</f>
        <v>1</v>
      </c>
      <c r="V59" t="b">
        <f>LOOKUP($C59,Table3[Sample Name],Table3[Disseminated])</f>
        <v>1</v>
      </c>
      <c r="W59">
        <f t="shared" si="19"/>
        <v>2</v>
      </c>
      <c r="AL59" s="134">
        <v>52</v>
      </c>
      <c r="AM59" s="127">
        <v>2</v>
      </c>
      <c r="AN59" s="43"/>
      <c r="AO59" s="43"/>
      <c r="AP59" s="128"/>
      <c r="AQ59">
        <f t="shared" si="12"/>
        <v>1</v>
      </c>
      <c r="AR59">
        <f t="shared" si="13"/>
        <v>2</v>
      </c>
      <c r="AT59" s="127">
        <f t="shared" si="20"/>
        <v>2</v>
      </c>
      <c r="AU59" s="43" t="str">
        <f t="shared" si="21"/>
        <v/>
      </c>
      <c r="AV59" s="43" t="str">
        <f t="shared" si="22"/>
        <v/>
      </c>
      <c r="AW59" s="128" t="str">
        <f t="shared" si="23"/>
        <v/>
      </c>
      <c r="AX59" s="153">
        <f t="shared" si="14"/>
        <v>2</v>
      </c>
      <c r="AY59" s="127">
        <f t="shared" si="24"/>
        <v>2</v>
      </c>
      <c r="AZ59" s="43" t="str">
        <f t="shared" si="25"/>
        <v/>
      </c>
      <c r="BA59" s="43" t="str">
        <f t="shared" si="26"/>
        <v/>
      </c>
      <c r="BB59" s="43" t="str">
        <f t="shared" si="27"/>
        <v/>
      </c>
      <c r="BC59" s="128" t="str">
        <f t="shared" si="28"/>
        <v/>
      </c>
      <c r="BD59" s="153">
        <f t="shared" si="15"/>
        <v>2</v>
      </c>
      <c r="BF59">
        <f t="shared" si="16"/>
        <v>0</v>
      </c>
    </row>
    <row r="60" spans="3:58" x14ac:dyDescent="0.25">
      <c r="C60" s="44">
        <v>53</v>
      </c>
      <c r="D60" s="149"/>
      <c r="E60" s="149"/>
      <c r="F60">
        <v>0</v>
      </c>
      <c r="S60" s="127">
        <f t="shared" si="17"/>
        <v>0</v>
      </c>
      <c r="T60">
        <f t="shared" si="18"/>
        <v>0</v>
      </c>
      <c r="U60" t="b">
        <f>LOOKUP($C60,Table3[Sample Name],Table3[Positive])</f>
        <v>1</v>
      </c>
      <c r="V60" t="b">
        <f>LOOKUP($C60,Table3[Sample Name],Table3[Disseminated])</f>
        <v>1</v>
      </c>
      <c r="W60">
        <f t="shared" si="19"/>
        <v>0</v>
      </c>
      <c r="AL60" s="134">
        <v>53</v>
      </c>
      <c r="AM60" s="127">
        <v>0</v>
      </c>
      <c r="AN60" s="43"/>
      <c r="AO60" s="43"/>
      <c r="AP60" s="128"/>
      <c r="AQ60">
        <f t="shared" si="12"/>
        <v>0</v>
      </c>
      <c r="AR60">
        <f t="shared" si="13"/>
        <v>0</v>
      </c>
      <c r="AT60" s="127">
        <f t="shared" si="20"/>
        <v>0</v>
      </c>
      <c r="AU60" s="43" t="str">
        <f t="shared" si="21"/>
        <v/>
      </c>
      <c r="AV60" s="43" t="str">
        <f t="shared" si="22"/>
        <v/>
      </c>
      <c r="AW60" s="128" t="str">
        <f t="shared" si="23"/>
        <v/>
      </c>
      <c r="AX60" s="153">
        <f t="shared" si="14"/>
        <v>0</v>
      </c>
      <c r="AY60" s="127">
        <f t="shared" si="24"/>
        <v>0</v>
      </c>
      <c r="AZ60" s="43" t="str">
        <f t="shared" si="25"/>
        <v/>
      </c>
      <c r="BA60" s="43" t="str">
        <f t="shared" si="26"/>
        <v/>
      </c>
      <c r="BB60" s="43" t="str">
        <f t="shared" si="27"/>
        <v/>
      </c>
      <c r="BC60" s="128" t="str">
        <f t="shared" si="28"/>
        <v/>
      </c>
      <c r="BD60" s="153">
        <f t="shared" si="15"/>
        <v>0</v>
      </c>
      <c r="BF60">
        <f t="shared" si="16"/>
        <v>0</v>
      </c>
    </row>
    <row r="61" spans="3:58" x14ac:dyDescent="0.25">
      <c r="C61" s="44">
        <v>54</v>
      </c>
      <c r="D61" s="149"/>
      <c r="E61" s="149"/>
      <c r="F61">
        <v>0</v>
      </c>
      <c r="I61">
        <v>63</v>
      </c>
      <c r="S61" s="127">
        <f t="shared" si="17"/>
        <v>63</v>
      </c>
      <c r="T61">
        <f t="shared" si="18"/>
        <v>1</v>
      </c>
      <c r="U61" t="b">
        <f>LOOKUP($C61,Table3[Sample Name],Table3[Positive])</f>
        <v>1</v>
      </c>
      <c r="V61" t="b">
        <f>LOOKUP($C61,Table3[Sample Name],Table3[Disseminated])</f>
        <v>1</v>
      </c>
      <c r="W61">
        <f t="shared" si="19"/>
        <v>63</v>
      </c>
      <c r="AL61" s="134">
        <v>54</v>
      </c>
      <c r="AM61" s="127">
        <v>63</v>
      </c>
      <c r="AN61" s="43"/>
      <c r="AO61" s="43"/>
      <c r="AP61" s="128"/>
      <c r="AQ61">
        <f t="shared" si="12"/>
        <v>1</v>
      </c>
      <c r="AR61">
        <f t="shared" si="13"/>
        <v>63</v>
      </c>
      <c r="AT61" s="127">
        <f t="shared" si="20"/>
        <v>63</v>
      </c>
      <c r="AU61" s="43" t="str">
        <f t="shared" si="21"/>
        <v/>
      </c>
      <c r="AV61" s="43" t="str">
        <f t="shared" si="22"/>
        <v/>
      </c>
      <c r="AW61" s="128" t="str">
        <f t="shared" si="23"/>
        <v/>
      </c>
      <c r="AX61" s="153">
        <f t="shared" si="14"/>
        <v>63</v>
      </c>
      <c r="AY61" s="127">
        <f t="shared" si="24"/>
        <v>0</v>
      </c>
      <c r="AZ61" s="43">
        <f t="shared" si="25"/>
        <v>63</v>
      </c>
      <c r="BA61" s="43" t="str">
        <f t="shared" si="26"/>
        <v/>
      </c>
      <c r="BB61" s="43" t="str">
        <f t="shared" si="27"/>
        <v/>
      </c>
      <c r="BC61" s="128" t="str">
        <f t="shared" si="28"/>
        <v/>
      </c>
      <c r="BD61" s="153">
        <f t="shared" si="15"/>
        <v>63</v>
      </c>
      <c r="BF61">
        <f t="shared" si="16"/>
        <v>0</v>
      </c>
    </row>
    <row r="62" spans="3:58" x14ac:dyDescent="0.25">
      <c r="C62" s="44">
        <v>55</v>
      </c>
      <c r="D62" s="149"/>
      <c r="E62" s="149"/>
      <c r="J62">
        <v>1</v>
      </c>
      <c r="S62" s="127">
        <f t="shared" si="17"/>
        <v>1</v>
      </c>
      <c r="T62">
        <f t="shared" si="18"/>
        <v>1</v>
      </c>
      <c r="U62" t="b">
        <f>LOOKUP($C62,Table3[Sample Name],Table3[Positive])</f>
        <v>0</v>
      </c>
      <c r="V62" t="str">
        <f>LOOKUP($C62,Table3[Sample Name],Table3[Disseminated])</f>
        <v>N/A</v>
      </c>
      <c r="W62">
        <f t="shared" si="19"/>
        <v>1</v>
      </c>
      <c r="AL62" s="134">
        <v>55</v>
      </c>
      <c r="AM62" s="127">
        <v>1</v>
      </c>
      <c r="AN62" s="43"/>
      <c r="AO62" s="43"/>
      <c r="AP62" s="128"/>
      <c r="AQ62">
        <f t="shared" si="12"/>
        <v>1</v>
      </c>
      <c r="AR62">
        <f t="shared" si="13"/>
        <v>1</v>
      </c>
      <c r="AT62" s="127">
        <f t="shared" si="20"/>
        <v>1</v>
      </c>
      <c r="AU62" s="43" t="str">
        <f t="shared" si="21"/>
        <v/>
      </c>
      <c r="AV62" s="43" t="str">
        <f t="shared" si="22"/>
        <v/>
      </c>
      <c r="AW62" s="128" t="str">
        <f t="shared" si="23"/>
        <v/>
      </c>
      <c r="AX62" s="153">
        <f t="shared" si="14"/>
        <v>1</v>
      </c>
      <c r="AY62" s="127">
        <f t="shared" si="24"/>
        <v>1</v>
      </c>
      <c r="AZ62" s="43" t="str">
        <f t="shared" si="25"/>
        <v/>
      </c>
      <c r="BA62" s="43" t="str">
        <f t="shared" si="26"/>
        <v/>
      </c>
      <c r="BB62" s="43" t="str">
        <f t="shared" si="27"/>
        <v/>
      </c>
      <c r="BC62" s="128" t="str">
        <f t="shared" si="28"/>
        <v/>
      </c>
      <c r="BD62" s="153">
        <f t="shared" si="15"/>
        <v>1</v>
      </c>
      <c r="BF62">
        <f t="shared" si="16"/>
        <v>0</v>
      </c>
    </row>
    <row r="63" spans="3:58" x14ac:dyDescent="0.25">
      <c r="C63" s="44">
        <v>56</v>
      </c>
      <c r="D63" s="149"/>
      <c r="E63" s="149"/>
      <c r="K63">
        <v>30</v>
      </c>
      <c r="S63" s="127">
        <f t="shared" si="17"/>
        <v>30</v>
      </c>
      <c r="T63">
        <f t="shared" si="18"/>
        <v>1</v>
      </c>
      <c r="U63" t="b">
        <f>LOOKUP($C63,Table3[Sample Name],Table3[Positive])</f>
        <v>1</v>
      </c>
      <c r="V63" t="str">
        <f>LOOKUP($C63,Table3[Sample Name],Table3[Disseminated])</f>
        <v>N/A</v>
      </c>
      <c r="W63">
        <f t="shared" si="19"/>
        <v>30</v>
      </c>
      <c r="AL63" s="134">
        <v>56</v>
      </c>
      <c r="AM63" s="127">
        <v>30</v>
      </c>
      <c r="AN63" s="43"/>
      <c r="AO63" s="43"/>
      <c r="AP63" s="128"/>
      <c r="AQ63">
        <f t="shared" si="12"/>
        <v>1</v>
      </c>
      <c r="AR63">
        <f t="shared" si="13"/>
        <v>30</v>
      </c>
      <c r="AT63" s="127">
        <f t="shared" si="20"/>
        <v>30</v>
      </c>
      <c r="AU63" s="43" t="str">
        <f t="shared" si="21"/>
        <v/>
      </c>
      <c r="AV63" s="43" t="str">
        <f t="shared" si="22"/>
        <v/>
      </c>
      <c r="AW63" s="128" t="str">
        <f t="shared" si="23"/>
        <v/>
      </c>
      <c r="AX63" s="153">
        <f t="shared" si="14"/>
        <v>30</v>
      </c>
      <c r="AY63" s="127">
        <f t="shared" si="24"/>
        <v>30</v>
      </c>
      <c r="AZ63" s="43" t="str">
        <f t="shared" si="25"/>
        <v/>
      </c>
      <c r="BA63" s="43" t="str">
        <f t="shared" si="26"/>
        <v/>
      </c>
      <c r="BB63" s="43" t="str">
        <f t="shared" si="27"/>
        <v/>
      </c>
      <c r="BC63" s="128" t="str">
        <f t="shared" si="28"/>
        <v/>
      </c>
      <c r="BD63" s="153">
        <f t="shared" si="15"/>
        <v>30</v>
      </c>
      <c r="BF63">
        <f t="shared" si="16"/>
        <v>0</v>
      </c>
    </row>
    <row r="64" spans="3:58" x14ac:dyDescent="0.25">
      <c r="C64" s="44">
        <v>57</v>
      </c>
      <c r="D64" s="149"/>
      <c r="E64" s="149"/>
      <c r="F64">
        <v>37</v>
      </c>
      <c r="S64" s="127">
        <f t="shared" si="17"/>
        <v>37</v>
      </c>
      <c r="T64">
        <f t="shared" si="18"/>
        <v>1</v>
      </c>
      <c r="U64" t="b">
        <f>LOOKUP($C64,Table3[Sample Name],Table3[Positive])</f>
        <v>0</v>
      </c>
      <c r="V64" t="str">
        <f>LOOKUP($C64,Table3[Sample Name],Table3[Disseminated])</f>
        <v>N/A</v>
      </c>
      <c r="W64">
        <f t="shared" si="19"/>
        <v>37</v>
      </c>
      <c r="AL64" s="134">
        <v>57</v>
      </c>
      <c r="AM64" s="127">
        <v>37</v>
      </c>
      <c r="AN64" s="43"/>
      <c r="AO64" s="43"/>
      <c r="AP64" s="128"/>
      <c r="AQ64">
        <f t="shared" si="12"/>
        <v>1</v>
      </c>
      <c r="AR64">
        <f t="shared" si="13"/>
        <v>37</v>
      </c>
      <c r="AT64" s="127">
        <f t="shared" si="20"/>
        <v>37</v>
      </c>
      <c r="AU64" s="43" t="str">
        <f t="shared" si="21"/>
        <v/>
      </c>
      <c r="AV64" s="43" t="str">
        <f t="shared" si="22"/>
        <v/>
      </c>
      <c r="AW64" s="128" t="str">
        <f t="shared" si="23"/>
        <v/>
      </c>
      <c r="AX64" s="153">
        <f t="shared" si="14"/>
        <v>37</v>
      </c>
      <c r="AY64" s="127">
        <f t="shared" si="24"/>
        <v>37</v>
      </c>
      <c r="AZ64" s="43" t="str">
        <f t="shared" si="25"/>
        <v/>
      </c>
      <c r="BA64" s="43" t="str">
        <f t="shared" si="26"/>
        <v/>
      </c>
      <c r="BB64" s="43" t="str">
        <f t="shared" si="27"/>
        <v/>
      </c>
      <c r="BC64" s="128" t="str">
        <f t="shared" si="28"/>
        <v/>
      </c>
      <c r="BD64" s="153">
        <f t="shared" si="15"/>
        <v>37</v>
      </c>
      <c r="BF64">
        <f t="shared" si="16"/>
        <v>0</v>
      </c>
    </row>
    <row r="65" spans="3:58" x14ac:dyDescent="0.25">
      <c r="C65" s="44">
        <v>58</v>
      </c>
      <c r="D65" s="149"/>
      <c r="E65" s="149"/>
      <c r="J65">
        <v>38</v>
      </c>
      <c r="K65">
        <v>3</v>
      </c>
      <c r="S65" s="127">
        <f t="shared" si="17"/>
        <v>41</v>
      </c>
      <c r="T65">
        <f t="shared" si="18"/>
        <v>2</v>
      </c>
      <c r="U65" t="b">
        <f>LOOKUP($C65,Table3[Sample Name],Table3[Positive])</f>
        <v>0</v>
      </c>
      <c r="V65" t="str">
        <f>LOOKUP($C65,Table3[Sample Name],Table3[Disseminated])</f>
        <v>N/A</v>
      </c>
      <c r="W65">
        <f t="shared" si="19"/>
        <v>38</v>
      </c>
      <c r="AL65" s="134">
        <v>58</v>
      </c>
      <c r="AM65" s="127">
        <v>38</v>
      </c>
      <c r="AN65" s="43">
        <v>3</v>
      </c>
      <c r="AO65" s="43"/>
      <c r="AP65" s="128"/>
      <c r="AQ65">
        <f t="shared" si="12"/>
        <v>2</v>
      </c>
      <c r="AR65">
        <f t="shared" si="13"/>
        <v>41</v>
      </c>
      <c r="AT65" s="127">
        <f t="shared" si="20"/>
        <v>3</v>
      </c>
      <c r="AU65" s="43">
        <f t="shared" si="21"/>
        <v>38</v>
      </c>
      <c r="AV65" s="43" t="str">
        <f t="shared" si="22"/>
        <v/>
      </c>
      <c r="AW65" s="128" t="str">
        <f t="shared" si="23"/>
        <v/>
      </c>
      <c r="AX65" s="153">
        <f t="shared" si="14"/>
        <v>41</v>
      </c>
      <c r="AY65" s="127">
        <f t="shared" si="24"/>
        <v>3</v>
      </c>
      <c r="AZ65" s="43">
        <f t="shared" si="25"/>
        <v>38</v>
      </c>
      <c r="BA65" s="43" t="str">
        <f t="shared" si="26"/>
        <v/>
      </c>
      <c r="BB65" s="43" t="str">
        <f t="shared" si="27"/>
        <v/>
      </c>
      <c r="BC65" s="128" t="str">
        <f t="shared" si="28"/>
        <v/>
      </c>
      <c r="BD65" s="153">
        <f t="shared" si="15"/>
        <v>41</v>
      </c>
      <c r="BF65">
        <f t="shared" si="16"/>
        <v>0</v>
      </c>
    </row>
    <row r="66" spans="3:58" x14ac:dyDescent="0.25">
      <c r="C66" s="44">
        <v>59</v>
      </c>
      <c r="D66" s="149"/>
      <c r="E66" s="149"/>
      <c r="S66" s="127">
        <f t="shared" si="17"/>
        <v>0</v>
      </c>
      <c r="T66">
        <f t="shared" si="18"/>
        <v>0</v>
      </c>
      <c r="U66" t="b">
        <f>LOOKUP($C66,Table3[Sample Name],Table3[Positive])</f>
        <v>1</v>
      </c>
      <c r="V66" t="b">
        <f>LOOKUP($C66,Table3[Sample Name],Table3[Disseminated])</f>
        <v>1</v>
      </c>
      <c r="W66">
        <f t="shared" si="19"/>
        <v>0</v>
      </c>
      <c r="AL66" s="134">
        <v>59</v>
      </c>
      <c r="AM66" s="127">
        <v>0</v>
      </c>
      <c r="AN66" s="43"/>
      <c r="AO66" s="43"/>
      <c r="AP66" s="128"/>
      <c r="AQ66">
        <f t="shared" si="12"/>
        <v>0</v>
      </c>
      <c r="AR66">
        <f t="shared" si="13"/>
        <v>0</v>
      </c>
      <c r="AT66" s="127">
        <f t="shared" si="20"/>
        <v>0</v>
      </c>
      <c r="AU66" s="43" t="str">
        <f t="shared" si="21"/>
        <v/>
      </c>
      <c r="AV66" s="43" t="str">
        <f t="shared" si="22"/>
        <v/>
      </c>
      <c r="AW66" s="128" t="str">
        <f t="shared" si="23"/>
        <v/>
      </c>
      <c r="AX66" s="153">
        <f t="shared" si="14"/>
        <v>0</v>
      </c>
      <c r="AY66" s="127" t="str">
        <f t="shared" si="24"/>
        <v/>
      </c>
      <c r="AZ66" s="43" t="str">
        <f t="shared" si="25"/>
        <v/>
      </c>
      <c r="BA66" s="43" t="str">
        <f t="shared" si="26"/>
        <v/>
      </c>
      <c r="BB66" s="43" t="str">
        <f t="shared" si="27"/>
        <v/>
      </c>
      <c r="BC66" s="128" t="str">
        <f t="shared" si="28"/>
        <v/>
      </c>
      <c r="BD66" s="153">
        <f t="shared" si="15"/>
        <v>0</v>
      </c>
      <c r="BF66">
        <f t="shared" si="16"/>
        <v>0</v>
      </c>
    </row>
    <row r="67" spans="3:58" x14ac:dyDescent="0.25">
      <c r="C67" s="44">
        <v>60</v>
      </c>
      <c r="D67" s="149"/>
      <c r="E67" s="149"/>
      <c r="F67">
        <v>52</v>
      </c>
      <c r="S67" s="127">
        <f t="shared" si="17"/>
        <v>52</v>
      </c>
      <c r="T67">
        <f t="shared" si="18"/>
        <v>1</v>
      </c>
      <c r="U67" t="b">
        <f>LOOKUP($C67,Table3[Sample Name],Table3[Positive])</f>
        <v>0</v>
      </c>
      <c r="V67" t="str">
        <f>LOOKUP($C67,Table3[Sample Name],Table3[Disseminated])</f>
        <v>N/A</v>
      </c>
      <c r="W67">
        <f t="shared" si="19"/>
        <v>52</v>
      </c>
      <c r="AL67" s="134">
        <v>60</v>
      </c>
      <c r="AM67" s="127">
        <v>52</v>
      </c>
      <c r="AN67" s="43"/>
      <c r="AO67" s="43"/>
      <c r="AP67" s="128"/>
      <c r="AQ67">
        <f t="shared" si="12"/>
        <v>1</v>
      </c>
      <c r="AR67">
        <f t="shared" si="13"/>
        <v>52</v>
      </c>
      <c r="AT67" s="127">
        <f t="shared" si="20"/>
        <v>52</v>
      </c>
      <c r="AU67" s="43" t="str">
        <f t="shared" si="21"/>
        <v/>
      </c>
      <c r="AV67" s="43" t="str">
        <f t="shared" si="22"/>
        <v/>
      </c>
      <c r="AW67" s="128" t="str">
        <f t="shared" si="23"/>
        <v/>
      </c>
      <c r="AX67" s="153">
        <f t="shared" si="14"/>
        <v>52</v>
      </c>
      <c r="AY67" s="127">
        <f t="shared" si="24"/>
        <v>52</v>
      </c>
      <c r="AZ67" s="43" t="str">
        <f t="shared" si="25"/>
        <v/>
      </c>
      <c r="BA67" s="43" t="str">
        <f t="shared" si="26"/>
        <v/>
      </c>
      <c r="BB67" s="43" t="str">
        <f t="shared" si="27"/>
        <v/>
      </c>
      <c r="BC67" s="128" t="str">
        <f t="shared" si="28"/>
        <v/>
      </c>
      <c r="BD67" s="153">
        <f t="shared" si="15"/>
        <v>52</v>
      </c>
      <c r="BF67">
        <f t="shared" si="16"/>
        <v>0</v>
      </c>
    </row>
    <row r="68" spans="3:58" x14ac:dyDescent="0.25">
      <c r="C68" s="44">
        <v>61</v>
      </c>
      <c r="D68" s="149"/>
      <c r="E68" s="149"/>
      <c r="F68">
        <v>22</v>
      </c>
      <c r="K68">
        <v>1</v>
      </c>
      <c r="P68">
        <v>1</v>
      </c>
      <c r="Q68">
        <v>8</v>
      </c>
      <c r="S68" s="127">
        <f t="shared" si="17"/>
        <v>32</v>
      </c>
      <c r="T68">
        <f t="shared" si="18"/>
        <v>4</v>
      </c>
      <c r="U68" t="b">
        <f>LOOKUP($C68,Table3[Sample Name],Table3[Positive])</f>
        <v>1</v>
      </c>
      <c r="V68" t="b">
        <f>LOOKUP($C68,Table3[Sample Name],Table3[Disseminated])</f>
        <v>1</v>
      </c>
      <c r="W68">
        <f t="shared" si="19"/>
        <v>22</v>
      </c>
      <c r="AL68" s="134">
        <v>61</v>
      </c>
      <c r="AM68" s="127">
        <v>22</v>
      </c>
      <c r="AN68" s="43">
        <v>1</v>
      </c>
      <c r="AO68" s="43">
        <v>1</v>
      </c>
      <c r="AP68" s="128">
        <v>8</v>
      </c>
      <c r="AQ68">
        <f t="shared" si="12"/>
        <v>4</v>
      </c>
      <c r="AR68">
        <f t="shared" si="13"/>
        <v>32</v>
      </c>
      <c r="AT68" s="127">
        <f t="shared" si="20"/>
        <v>1</v>
      </c>
      <c r="AU68" s="43">
        <f t="shared" si="21"/>
        <v>1</v>
      </c>
      <c r="AV68" s="43">
        <f t="shared" si="22"/>
        <v>8</v>
      </c>
      <c r="AW68" s="128">
        <f t="shared" si="23"/>
        <v>22</v>
      </c>
      <c r="AX68" s="153">
        <f t="shared" si="14"/>
        <v>32</v>
      </c>
      <c r="AY68" s="127">
        <f t="shared" si="24"/>
        <v>1</v>
      </c>
      <c r="AZ68" s="43">
        <f t="shared" si="25"/>
        <v>1</v>
      </c>
      <c r="BA68" s="43">
        <f t="shared" si="26"/>
        <v>8</v>
      </c>
      <c r="BB68" s="43">
        <f t="shared" si="27"/>
        <v>22</v>
      </c>
      <c r="BC68" s="128" t="str">
        <f t="shared" si="28"/>
        <v/>
      </c>
      <c r="BD68" s="153">
        <f t="shared" si="15"/>
        <v>32</v>
      </c>
      <c r="BF68">
        <f t="shared" si="16"/>
        <v>0</v>
      </c>
    </row>
    <row r="69" spans="3:58" x14ac:dyDescent="0.25">
      <c r="C69" s="44">
        <v>62</v>
      </c>
      <c r="D69" s="149"/>
      <c r="E69" s="149"/>
      <c r="S69" s="127">
        <f t="shared" si="17"/>
        <v>0</v>
      </c>
      <c r="T69">
        <f t="shared" si="18"/>
        <v>0</v>
      </c>
      <c r="U69" t="b">
        <f>LOOKUP($C69,Table3[Sample Name],Table3[Positive])</f>
        <v>1</v>
      </c>
      <c r="V69" t="b">
        <f>LOOKUP($C69,Table3[Sample Name],Table3[Disseminated])</f>
        <v>1</v>
      </c>
      <c r="W69">
        <f t="shared" si="19"/>
        <v>0</v>
      </c>
      <c r="AL69" s="134">
        <v>62</v>
      </c>
      <c r="AM69" s="127">
        <v>0</v>
      </c>
      <c r="AN69" s="43"/>
      <c r="AO69" s="43"/>
      <c r="AP69" s="128"/>
      <c r="AQ69">
        <f t="shared" si="12"/>
        <v>0</v>
      </c>
      <c r="AR69">
        <f t="shared" si="13"/>
        <v>0</v>
      </c>
      <c r="AT69" s="127">
        <f t="shared" si="20"/>
        <v>0</v>
      </c>
      <c r="AU69" s="43" t="str">
        <f t="shared" si="21"/>
        <v/>
      </c>
      <c r="AV69" s="43" t="str">
        <f t="shared" si="22"/>
        <v/>
      </c>
      <c r="AW69" s="128" t="str">
        <f t="shared" si="23"/>
        <v/>
      </c>
      <c r="AX69" s="153">
        <f t="shared" si="14"/>
        <v>0</v>
      </c>
      <c r="AY69" s="127" t="str">
        <f t="shared" si="24"/>
        <v/>
      </c>
      <c r="AZ69" s="43" t="str">
        <f t="shared" si="25"/>
        <v/>
      </c>
      <c r="BA69" s="43" t="str">
        <f t="shared" si="26"/>
        <v/>
      </c>
      <c r="BB69" s="43" t="str">
        <f t="shared" si="27"/>
        <v/>
      </c>
      <c r="BC69" s="128" t="str">
        <f t="shared" si="28"/>
        <v/>
      </c>
      <c r="BD69" s="153">
        <f t="shared" si="15"/>
        <v>0</v>
      </c>
      <c r="BF69">
        <f t="shared" si="16"/>
        <v>0</v>
      </c>
    </row>
    <row r="70" spans="3:58" x14ac:dyDescent="0.25">
      <c r="C70" s="44">
        <v>63</v>
      </c>
      <c r="D70" s="149"/>
      <c r="E70" s="149"/>
      <c r="F70">
        <v>0</v>
      </c>
      <c r="K70">
        <v>0</v>
      </c>
      <c r="P70">
        <v>0</v>
      </c>
      <c r="S70" s="127">
        <f t="shared" si="17"/>
        <v>0</v>
      </c>
      <c r="T70">
        <f t="shared" si="18"/>
        <v>0</v>
      </c>
      <c r="U70" t="b">
        <f>LOOKUP($C70,Table3[Sample Name],Table3[Positive])</f>
        <v>1</v>
      </c>
      <c r="V70" t="b">
        <f>LOOKUP($C70,Table3[Sample Name],Table3[Disseminated])</f>
        <v>1</v>
      </c>
      <c r="W70">
        <f t="shared" si="19"/>
        <v>0</v>
      </c>
      <c r="AL70" s="134">
        <v>63</v>
      </c>
      <c r="AM70" s="127">
        <v>0</v>
      </c>
      <c r="AN70" s="43"/>
      <c r="AO70" s="43"/>
      <c r="AP70" s="128"/>
      <c r="AQ70">
        <f t="shared" si="12"/>
        <v>0</v>
      </c>
      <c r="AR70">
        <f t="shared" si="13"/>
        <v>0</v>
      </c>
      <c r="AT70" s="127">
        <f t="shared" si="20"/>
        <v>0</v>
      </c>
      <c r="AU70" s="43" t="str">
        <f t="shared" si="21"/>
        <v/>
      </c>
      <c r="AV70" s="43" t="str">
        <f t="shared" si="22"/>
        <v/>
      </c>
      <c r="AW70" s="128" t="str">
        <f t="shared" si="23"/>
        <v/>
      </c>
      <c r="AX70" s="153">
        <f t="shared" si="14"/>
        <v>0</v>
      </c>
      <c r="AY70" s="127">
        <f t="shared" si="24"/>
        <v>0</v>
      </c>
      <c r="AZ70" s="43">
        <f t="shared" si="25"/>
        <v>0</v>
      </c>
      <c r="BA70" s="43">
        <f t="shared" si="26"/>
        <v>0</v>
      </c>
      <c r="BB70" s="43" t="str">
        <f t="shared" si="27"/>
        <v/>
      </c>
      <c r="BC70" s="128" t="str">
        <f t="shared" si="28"/>
        <v/>
      </c>
      <c r="BD70" s="153">
        <f t="shared" si="15"/>
        <v>0</v>
      </c>
      <c r="BF70">
        <f t="shared" si="16"/>
        <v>0</v>
      </c>
    </row>
    <row r="71" spans="3:58" x14ac:dyDescent="0.25">
      <c r="C71" s="44">
        <v>64</v>
      </c>
      <c r="D71" s="149"/>
      <c r="E71" s="149"/>
      <c r="F71">
        <v>0</v>
      </c>
      <c r="K71">
        <v>1</v>
      </c>
      <c r="P71">
        <v>5</v>
      </c>
      <c r="Q71">
        <v>2</v>
      </c>
      <c r="S71" s="127">
        <f t="shared" si="17"/>
        <v>8</v>
      </c>
      <c r="T71">
        <f t="shared" si="18"/>
        <v>3</v>
      </c>
      <c r="U71" t="b">
        <f>LOOKUP($C71,Table3[Sample Name],Table3[Positive])</f>
        <v>1</v>
      </c>
      <c r="V71" t="b">
        <f>LOOKUP($C71,Table3[Sample Name],Table3[Disseminated])</f>
        <v>1</v>
      </c>
      <c r="W71">
        <f t="shared" si="19"/>
        <v>5</v>
      </c>
      <c r="AL71" s="134">
        <v>64</v>
      </c>
      <c r="AM71" s="127">
        <v>1</v>
      </c>
      <c r="AN71" s="43">
        <v>5</v>
      </c>
      <c r="AO71" s="43">
        <v>2</v>
      </c>
      <c r="AP71" s="128"/>
      <c r="AQ71">
        <f t="shared" si="12"/>
        <v>3</v>
      </c>
      <c r="AR71">
        <f t="shared" si="13"/>
        <v>8</v>
      </c>
      <c r="AT71" s="127">
        <f t="shared" si="20"/>
        <v>1</v>
      </c>
      <c r="AU71" s="43">
        <f t="shared" si="21"/>
        <v>2</v>
      </c>
      <c r="AV71" s="43">
        <f t="shared" si="22"/>
        <v>5</v>
      </c>
      <c r="AW71" s="128" t="str">
        <f t="shared" si="23"/>
        <v/>
      </c>
      <c r="AX71" s="153">
        <f t="shared" si="14"/>
        <v>8</v>
      </c>
      <c r="AY71" s="127">
        <f t="shared" si="24"/>
        <v>0</v>
      </c>
      <c r="AZ71" s="43">
        <f t="shared" si="25"/>
        <v>1</v>
      </c>
      <c r="BA71" s="43">
        <f t="shared" si="26"/>
        <v>2</v>
      </c>
      <c r="BB71" s="43">
        <f t="shared" si="27"/>
        <v>5</v>
      </c>
      <c r="BC71" s="128" t="str">
        <f t="shared" si="28"/>
        <v/>
      </c>
      <c r="BD71" s="153">
        <f t="shared" si="15"/>
        <v>8</v>
      </c>
      <c r="BF71">
        <f t="shared" si="16"/>
        <v>0</v>
      </c>
    </row>
    <row r="72" spans="3:58" x14ac:dyDescent="0.25">
      <c r="C72" s="44">
        <v>65</v>
      </c>
      <c r="D72" s="149"/>
      <c r="E72" s="149"/>
      <c r="F72">
        <v>3</v>
      </c>
      <c r="S72" s="127">
        <f t="shared" ref="S72:S103" si="29">SUM(D72:R72)</f>
        <v>3</v>
      </c>
      <c r="T72">
        <f t="shared" ref="T72:T103" si="30">COUNTIF(D72:R72,"&gt;"&amp;0)</f>
        <v>1</v>
      </c>
      <c r="U72" t="b">
        <f>LOOKUP($C72,Table3[Sample Name],Table3[Positive])</f>
        <v>1</v>
      </c>
      <c r="V72" t="b">
        <f>LOOKUP($C72,Table3[Sample Name],Table3[Disseminated])</f>
        <v>1</v>
      </c>
      <c r="W72">
        <f t="shared" ref="W72:W103" si="31">IFERROR(LARGE(D72:R72,1),0)</f>
        <v>3</v>
      </c>
      <c r="AL72" s="134">
        <v>65</v>
      </c>
      <c r="AM72" s="127">
        <v>3</v>
      </c>
      <c r="AN72" s="43"/>
      <c r="AO72" s="43"/>
      <c r="AP72" s="128"/>
      <c r="AQ72">
        <f t="shared" si="12"/>
        <v>1</v>
      </c>
      <c r="AR72">
        <f t="shared" si="13"/>
        <v>3</v>
      </c>
      <c r="AT72" s="127">
        <f t="shared" ref="AT72:AT103" si="32">IFERROR(SMALL($AM72:$AP72,COLUMN(A:A)),"")</f>
        <v>3</v>
      </c>
      <c r="AU72" s="43" t="str">
        <f t="shared" ref="AU72:AU103" si="33">IFERROR(SMALL($AM72:$AP72,COLUMN(B:B)),"")</f>
        <v/>
      </c>
      <c r="AV72" s="43" t="str">
        <f t="shared" ref="AV72:AV103" si="34">IFERROR(SMALL($AM72:$AP72,COLUMN(C:C)),"")</f>
        <v/>
      </c>
      <c r="AW72" s="128" t="str">
        <f t="shared" ref="AW72:AW103" si="35">IFERROR(SMALL($AM72:$AP72,COLUMN(D:D)),"")</f>
        <v/>
      </c>
      <c r="AX72" s="153">
        <f t="shared" si="14"/>
        <v>3</v>
      </c>
      <c r="AY72" s="127">
        <f t="shared" ref="AY72:AY103" si="36">IFERROR(SMALL($D72:$R72,COLUMN(A:A)),"")</f>
        <v>3</v>
      </c>
      <c r="AZ72" s="43" t="str">
        <f t="shared" ref="AZ72:AZ103" si="37">IFERROR(SMALL($D72:$R72,COLUMN(B:B)),"")</f>
        <v/>
      </c>
      <c r="BA72" s="43" t="str">
        <f t="shared" ref="BA72:BA103" si="38">IFERROR(SMALL($D72:$R72,COLUMN(C:C)),"")</f>
        <v/>
      </c>
      <c r="BB72" s="43" t="str">
        <f t="shared" ref="BB72:BB103" si="39">IFERROR(SMALL($D72:$R72,COLUMN(D:D)),"")</f>
        <v/>
      </c>
      <c r="BC72" s="128" t="str">
        <f t="shared" ref="BC72:BC103" si="40">IFERROR(SMALL($D72:$R72,COLUMN(E:E)),"")</f>
        <v/>
      </c>
      <c r="BD72" s="153">
        <f t="shared" si="15"/>
        <v>3</v>
      </c>
      <c r="BF72">
        <f t="shared" si="16"/>
        <v>0</v>
      </c>
    </row>
    <row r="73" spans="3:58" x14ac:dyDescent="0.25">
      <c r="C73" s="44">
        <v>66</v>
      </c>
      <c r="D73" s="149"/>
      <c r="E73" s="149"/>
      <c r="I73">
        <v>15</v>
      </c>
      <c r="K73">
        <v>21</v>
      </c>
      <c r="S73" s="127">
        <f t="shared" si="29"/>
        <v>36</v>
      </c>
      <c r="T73">
        <f t="shared" si="30"/>
        <v>2</v>
      </c>
      <c r="U73" t="b">
        <f>LOOKUP($C73,Table3[Sample Name],Table3[Positive])</f>
        <v>0</v>
      </c>
      <c r="V73" t="str">
        <f>LOOKUP($C73,Table3[Sample Name],Table3[Disseminated])</f>
        <v>N/A</v>
      </c>
      <c r="W73">
        <f t="shared" si="31"/>
        <v>21</v>
      </c>
      <c r="AL73" s="134">
        <v>66</v>
      </c>
      <c r="AM73" s="127">
        <v>15</v>
      </c>
      <c r="AN73" s="43">
        <v>21</v>
      </c>
      <c r="AO73" s="43"/>
      <c r="AP73" s="128"/>
      <c r="AQ73">
        <f t="shared" ref="AQ73:AQ127" si="41">COUNTIF(AM73:AP73,"&gt;"&amp;0)</f>
        <v>2</v>
      </c>
      <c r="AR73">
        <f t="shared" ref="AR73:AR127" si="42">SUM(AM73:AP73)</f>
        <v>36</v>
      </c>
      <c r="AT73" s="127">
        <f t="shared" si="32"/>
        <v>15</v>
      </c>
      <c r="AU73" s="43">
        <f t="shared" si="33"/>
        <v>21</v>
      </c>
      <c r="AV73" s="43" t="str">
        <f t="shared" si="34"/>
        <v/>
      </c>
      <c r="AW73" s="128" t="str">
        <f t="shared" si="35"/>
        <v/>
      </c>
      <c r="AX73" s="153">
        <f t="shared" ref="AX73:AX127" si="43">SUM(AT73:AW73)</f>
        <v>36</v>
      </c>
      <c r="AY73" s="127">
        <f t="shared" si="36"/>
        <v>15</v>
      </c>
      <c r="AZ73" s="43">
        <f t="shared" si="37"/>
        <v>21</v>
      </c>
      <c r="BA73" s="43" t="str">
        <f t="shared" si="38"/>
        <v/>
      </c>
      <c r="BB73" s="43" t="str">
        <f t="shared" si="39"/>
        <v/>
      </c>
      <c r="BC73" s="128" t="str">
        <f t="shared" si="40"/>
        <v/>
      </c>
      <c r="BD73" s="153">
        <f t="shared" ref="BD73:BD127" si="44">SUM(AY73:BC73)</f>
        <v>36</v>
      </c>
      <c r="BF73">
        <f t="shared" ref="BF73:BF128" si="45">BD73-AX73</f>
        <v>0</v>
      </c>
    </row>
    <row r="74" spans="3:58" x14ac:dyDescent="0.25">
      <c r="C74" s="44">
        <v>67</v>
      </c>
      <c r="D74" s="149"/>
      <c r="E74" s="149"/>
      <c r="S74" s="127">
        <f t="shared" si="29"/>
        <v>0</v>
      </c>
      <c r="T74">
        <f t="shared" si="30"/>
        <v>0</v>
      </c>
      <c r="U74" t="b">
        <f>LOOKUP($C74,Table3[Sample Name],Table3[Positive])</f>
        <v>1</v>
      </c>
      <c r="V74" t="str">
        <f>LOOKUP($C74,Table3[Sample Name],Table3[Disseminated])</f>
        <v>N/A</v>
      </c>
      <c r="W74">
        <f t="shared" si="31"/>
        <v>0</v>
      </c>
      <c r="AL74" s="134">
        <v>67</v>
      </c>
      <c r="AM74" s="127">
        <v>0</v>
      </c>
      <c r="AN74" s="43"/>
      <c r="AO74" s="43"/>
      <c r="AP74" s="128"/>
      <c r="AQ74">
        <f t="shared" si="41"/>
        <v>0</v>
      </c>
      <c r="AR74">
        <f t="shared" si="42"/>
        <v>0</v>
      </c>
      <c r="AT74" s="127">
        <f t="shared" si="32"/>
        <v>0</v>
      </c>
      <c r="AU74" s="43" t="str">
        <f t="shared" si="33"/>
        <v/>
      </c>
      <c r="AV74" s="43" t="str">
        <f t="shared" si="34"/>
        <v/>
      </c>
      <c r="AW74" s="128" t="str">
        <f t="shared" si="35"/>
        <v/>
      </c>
      <c r="AX74" s="153">
        <f t="shared" si="43"/>
        <v>0</v>
      </c>
      <c r="AY74" s="127" t="str">
        <f t="shared" si="36"/>
        <v/>
      </c>
      <c r="AZ74" s="43" t="str">
        <f t="shared" si="37"/>
        <v/>
      </c>
      <c r="BA74" s="43" t="str">
        <f t="shared" si="38"/>
        <v/>
      </c>
      <c r="BB74" s="43" t="str">
        <f t="shared" si="39"/>
        <v/>
      </c>
      <c r="BC74" s="128" t="str">
        <f t="shared" si="40"/>
        <v/>
      </c>
      <c r="BD74" s="153">
        <f t="shared" si="44"/>
        <v>0</v>
      </c>
      <c r="BF74">
        <f t="shared" si="45"/>
        <v>0</v>
      </c>
    </row>
    <row r="75" spans="3:58" x14ac:dyDescent="0.25">
      <c r="C75" s="44">
        <v>68</v>
      </c>
      <c r="D75" s="149"/>
      <c r="E75" s="149"/>
      <c r="S75" s="127">
        <f t="shared" si="29"/>
        <v>0</v>
      </c>
      <c r="T75">
        <f t="shared" si="30"/>
        <v>0</v>
      </c>
      <c r="U75" t="b">
        <f>LOOKUP($C75,Table3[Sample Name],Table3[Positive])</f>
        <v>1</v>
      </c>
      <c r="V75" t="b">
        <f>LOOKUP($C75,Table3[Sample Name],Table3[Disseminated])</f>
        <v>0</v>
      </c>
      <c r="W75">
        <f t="shared" si="31"/>
        <v>0</v>
      </c>
      <c r="AL75" s="134">
        <v>68</v>
      </c>
      <c r="AM75" s="127">
        <v>0</v>
      </c>
      <c r="AN75" s="43"/>
      <c r="AO75" s="43"/>
      <c r="AP75" s="128"/>
      <c r="AQ75">
        <f t="shared" si="41"/>
        <v>0</v>
      </c>
      <c r="AR75">
        <f t="shared" si="42"/>
        <v>0</v>
      </c>
      <c r="AT75" s="127">
        <f t="shared" si="32"/>
        <v>0</v>
      </c>
      <c r="AU75" s="43" t="str">
        <f t="shared" si="33"/>
        <v/>
      </c>
      <c r="AV75" s="43" t="str">
        <f t="shared" si="34"/>
        <v/>
      </c>
      <c r="AW75" s="128" t="str">
        <f t="shared" si="35"/>
        <v/>
      </c>
      <c r="AX75" s="153">
        <f t="shared" si="43"/>
        <v>0</v>
      </c>
      <c r="AY75" s="127" t="str">
        <f t="shared" si="36"/>
        <v/>
      </c>
      <c r="AZ75" s="43" t="str">
        <f t="shared" si="37"/>
        <v/>
      </c>
      <c r="BA75" s="43" t="str">
        <f t="shared" si="38"/>
        <v/>
      </c>
      <c r="BB75" s="43" t="str">
        <f t="shared" si="39"/>
        <v/>
      </c>
      <c r="BC75" s="128" t="str">
        <f t="shared" si="40"/>
        <v/>
      </c>
      <c r="BD75" s="153">
        <f t="shared" si="44"/>
        <v>0</v>
      </c>
      <c r="BF75">
        <f t="shared" si="45"/>
        <v>0</v>
      </c>
    </row>
    <row r="76" spans="3:58" x14ac:dyDescent="0.25">
      <c r="C76" s="44">
        <v>69</v>
      </c>
      <c r="D76" s="149"/>
      <c r="E76" s="149"/>
      <c r="F76">
        <v>39</v>
      </c>
      <c r="K76">
        <v>1</v>
      </c>
      <c r="L76">
        <v>1</v>
      </c>
      <c r="S76" s="127">
        <f t="shared" si="29"/>
        <v>41</v>
      </c>
      <c r="T76">
        <f t="shared" si="30"/>
        <v>3</v>
      </c>
      <c r="U76" t="b">
        <f>LOOKUP($C76,Table3[Sample Name],Table3[Positive])</f>
        <v>0</v>
      </c>
      <c r="V76" t="str">
        <f>LOOKUP($C76,Table3[Sample Name],Table3[Disseminated])</f>
        <v>N/A</v>
      </c>
      <c r="W76">
        <f t="shared" si="31"/>
        <v>39</v>
      </c>
      <c r="AL76" s="134">
        <v>69</v>
      </c>
      <c r="AM76" s="127">
        <v>39</v>
      </c>
      <c r="AN76" s="43">
        <v>1</v>
      </c>
      <c r="AO76" s="43">
        <v>1</v>
      </c>
      <c r="AP76" s="128"/>
      <c r="AQ76">
        <f t="shared" si="41"/>
        <v>3</v>
      </c>
      <c r="AR76">
        <f t="shared" si="42"/>
        <v>41</v>
      </c>
      <c r="AT76" s="127">
        <f t="shared" si="32"/>
        <v>1</v>
      </c>
      <c r="AU76" s="43">
        <f t="shared" si="33"/>
        <v>1</v>
      </c>
      <c r="AV76" s="43">
        <f t="shared" si="34"/>
        <v>39</v>
      </c>
      <c r="AW76" s="128" t="str">
        <f t="shared" si="35"/>
        <v/>
      </c>
      <c r="AX76" s="153">
        <f t="shared" si="43"/>
        <v>41</v>
      </c>
      <c r="AY76" s="127">
        <f t="shared" si="36"/>
        <v>1</v>
      </c>
      <c r="AZ76" s="43">
        <f t="shared" si="37"/>
        <v>1</v>
      </c>
      <c r="BA76" s="43">
        <f t="shared" si="38"/>
        <v>39</v>
      </c>
      <c r="BB76" s="43" t="str">
        <f t="shared" si="39"/>
        <v/>
      </c>
      <c r="BC76" s="128" t="str">
        <f t="shared" si="40"/>
        <v/>
      </c>
      <c r="BD76" s="153">
        <f t="shared" si="44"/>
        <v>41</v>
      </c>
      <c r="BF76">
        <f t="shared" si="45"/>
        <v>0</v>
      </c>
    </row>
    <row r="77" spans="3:58" x14ac:dyDescent="0.25">
      <c r="C77" s="44">
        <v>70</v>
      </c>
      <c r="D77" s="149"/>
      <c r="E77" s="149"/>
      <c r="F77">
        <v>26</v>
      </c>
      <c r="J77">
        <v>1</v>
      </c>
      <c r="S77" s="127">
        <f t="shared" si="29"/>
        <v>27</v>
      </c>
      <c r="T77">
        <f t="shared" si="30"/>
        <v>2</v>
      </c>
      <c r="U77" t="b">
        <f>LOOKUP($C77,Table3[Sample Name],Table3[Positive])</f>
        <v>0</v>
      </c>
      <c r="V77" t="str">
        <f>LOOKUP($C77,Table3[Sample Name],Table3[Disseminated])</f>
        <v>N/A</v>
      </c>
      <c r="W77">
        <f t="shared" si="31"/>
        <v>26</v>
      </c>
      <c r="AL77" s="134">
        <v>70</v>
      </c>
      <c r="AM77" s="127">
        <v>26</v>
      </c>
      <c r="AN77" s="43">
        <v>1</v>
      </c>
      <c r="AO77" s="43"/>
      <c r="AP77" s="128"/>
      <c r="AQ77">
        <f t="shared" si="41"/>
        <v>2</v>
      </c>
      <c r="AR77">
        <f t="shared" si="42"/>
        <v>27</v>
      </c>
      <c r="AT77" s="127">
        <f t="shared" si="32"/>
        <v>1</v>
      </c>
      <c r="AU77" s="43">
        <f t="shared" si="33"/>
        <v>26</v>
      </c>
      <c r="AV77" s="43" t="str">
        <f t="shared" si="34"/>
        <v/>
      </c>
      <c r="AW77" s="128" t="str">
        <f t="shared" si="35"/>
        <v/>
      </c>
      <c r="AX77" s="153">
        <f t="shared" si="43"/>
        <v>27</v>
      </c>
      <c r="AY77" s="127">
        <f t="shared" si="36"/>
        <v>1</v>
      </c>
      <c r="AZ77" s="43">
        <f t="shared" si="37"/>
        <v>26</v>
      </c>
      <c r="BA77" s="43" t="str">
        <f t="shared" si="38"/>
        <v/>
      </c>
      <c r="BB77" s="43" t="str">
        <f t="shared" si="39"/>
        <v/>
      </c>
      <c r="BC77" s="128" t="str">
        <f t="shared" si="40"/>
        <v/>
      </c>
      <c r="BD77" s="153">
        <f t="shared" si="44"/>
        <v>27</v>
      </c>
      <c r="BF77">
        <f t="shared" si="45"/>
        <v>0</v>
      </c>
    </row>
    <row r="78" spans="3:58" x14ac:dyDescent="0.25">
      <c r="C78" s="44">
        <v>71</v>
      </c>
      <c r="D78" s="149"/>
      <c r="E78" s="149"/>
      <c r="F78">
        <v>18</v>
      </c>
      <c r="S78" s="127">
        <f t="shared" si="29"/>
        <v>18</v>
      </c>
      <c r="T78">
        <f t="shared" si="30"/>
        <v>1</v>
      </c>
      <c r="U78" t="b">
        <f>LOOKUP($C78,Table3[Sample Name],Table3[Positive])</f>
        <v>0</v>
      </c>
      <c r="V78" t="str">
        <f>LOOKUP($C78,Table3[Sample Name],Table3[Disseminated])</f>
        <v>N/A</v>
      </c>
      <c r="W78">
        <f t="shared" si="31"/>
        <v>18</v>
      </c>
      <c r="AL78" s="134">
        <v>71</v>
      </c>
      <c r="AM78" s="127">
        <v>18</v>
      </c>
      <c r="AN78" s="43"/>
      <c r="AO78" s="43"/>
      <c r="AP78" s="128"/>
      <c r="AQ78">
        <f t="shared" si="41"/>
        <v>1</v>
      </c>
      <c r="AR78">
        <f t="shared" si="42"/>
        <v>18</v>
      </c>
      <c r="AT78" s="127">
        <f t="shared" si="32"/>
        <v>18</v>
      </c>
      <c r="AU78" s="43" t="str">
        <f t="shared" si="33"/>
        <v/>
      </c>
      <c r="AV78" s="43" t="str">
        <f t="shared" si="34"/>
        <v/>
      </c>
      <c r="AW78" s="128" t="str">
        <f t="shared" si="35"/>
        <v/>
      </c>
      <c r="AX78" s="153">
        <f t="shared" si="43"/>
        <v>18</v>
      </c>
      <c r="AY78" s="127">
        <f t="shared" si="36"/>
        <v>18</v>
      </c>
      <c r="AZ78" s="43" t="str">
        <f t="shared" si="37"/>
        <v/>
      </c>
      <c r="BA78" s="43" t="str">
        <f t="shared" si="38"/>
        <v/>
      </c>
      <c r="BB78" s="43" t="str">
        <f t="shared" si="39"/>
        <v/>
      </c>
      <c r="BC78" s="128" t="str">
        <f t="shared" si="40"/>
        <v/>
      </c>
      <c r="BD78" s="153">
        <f t="shared" si="44"/>
        <v>18</v>
      </c>
      <c r="BF78">
        <f t="shared" si="45"/>
        <v>0</v>
      </c>
    </row>
    <row r="79" spans="3:58" x14ac:dyDescent="0.25">
      <c r="C79" s="44">
        <v>72</v>
      </c>
      <c r="D79" s="149"/>
      <c r="E79" s="149"/>
      <c r="S79" s="127">
        <f t="shared" si="29"/>
        <v>0</v>
      </c>
      <c r="T79">
        <f t="shared" si="30"/>
        <v>0</v>
      </c>
      <c r="U79" t="b">
        <f>LOOKUP($C79,Table3[Sample Name],Table3[Positive])</f>
        <v>0</v>
      </c>
      <c r="V79" t="str">
        <f>LOOKUP($C79,Table3[Sample Name],Table3[Disseminated])</f>
        <v>N/A</v>
      </c>
      <c r="W79">
        <f t="shared" si="31"/>
        <v>0</v>
      </c>
      <c r="AL79" s="134">
        <v>72</v>
      </c>
      <c r="AM79" s="127">
        <v>0</v>
      </c>
      <c r="AN79" s="43"/>
      <c r="AO79" s="43"/>
      <c r="AP79" s="128"/>
      <c r="AQ79">
        <f t="shared" si="41"/>
        <v>0</v>
      </c>
      <c r="AR79">
        <f t="shared" si="42"/>
        <v>0</v>
      </c>
      <c r="AT79" s="127">
        <f t="shared" si="32"/>
        <v>0</v>
      </c>
      <c r="AU79" s="43" t="str">
        <f t="shared" si="33"/>
        <v/>
      </c>
      <c r="AV79" s="43" t="str">
        <f t="shared" si="34"/>
        <v/>
      </c>
      <c r="AW79" s="128" t="str">
        <f t="shared" si="35"/>
        <v/>
      </c>
      <c r="AX79" s="153">
        <f t="shared" si="43"/>
        <v>0</v>
      </c>
      <c r="AY79" s="127" t="str">
        <f t="shared" si="36"/>
        <v/>
      </c>
      <c r="AZ79" s="43" t="str">
        <f t="shared" si="37"/>
        <v/>
      </c>
      <c r="BA79" s="43" t="str">
        <f t="shared" si="38"/>
        <v/>
      </c>
      <c r="BB79" s="43" t="str">
        <f t="shared" si="39"/>
        <v/>
      </c>
      <c r="BC79" s="128" t="str">
        <f t="shared" si="40"/>
        <v/>
      </c>
      <c r="BD79" s="153">
        <f t="shared" si="44"/>
        <v>0</v>
      </c>
      <c r="BF79">
        <f t="shared" si="45"/>
        <v>0</v>
      </c>
    </row>
    <row r="80" spans="3:58" x14ac:dyDescent="0.25">
      <c r="C80" s="44">
        <v>73</v>
      </c>
      <c r="D80" s="149"/>
      <c r="E80" s="149"/>
      <c r="F80">
        <v>0</v>
      </c>
      <c r="S80" s="127">
        <f t="shared" si="29"/>
        <v>0</v>
      </c>
      <c r="T80">
        <f t="shared" si="30"/>
        <v>0</v>
      </c>
      <c r="U80" t="b">
        <f>LOOKUP($C80,Table3[Sample Name],Table3[Positive])</f>
        <v>1</v>
      </c>
      <c r="V80" t="b">
        <f>LOOKUP($C80,Table3[Sample Name],Table3[Disseminated])</f>
        <v>1</v>
      </c>
      <c r="W80">
        <f t="shared" si="31"/>
        <v>0</v>
      </c>
      <c r="AL80" s="134">
        <v>73</v>
      </c>
      <c r="AM80" s="127">
        <v>0</v>
      </c>
      <c r="AN80" s="43"/>
      <c r="AO80" s="43"/>
      <c r="AP80" s="128"/>
      <c r="AQ80">
        <f t="shared" si="41"/>
        <v>0</v>
      </c>
      <c r="AR80">
        <f t="shared" si="42"/>
        <v>0</v>
      </c>
      <c r="AT80" s="127">
        <f t="shared" si="32"/>
        <v>0</v>
      </c>
      <c r="AU80" s="43" t="str">
        <f t="shared" si="33"/>
        <v/>
      </c>
      <c r="AV80" s="43" t="str">
        <f t="shared" si="34"/>
        <v/>
      </c>
      <c r="AW80" s="128" t="str">
        <f t="shared" si="35"/>
        <v/>
      </c>
      <c r="AX80" s="153">
        <f t="shared" si="43"/>
        <v>0</v>
      </c>
      <c r="AY80" s="127">
        <f t="shared" si="36"/>
        <v>0</v>
      </c>
      <c r="AZ80" s="43" t="str">
        <f t="shared" si="37"/>
        <v/>
      </c>
      <c r="BA80" s="43" t="str">
        <f t="shared" si="38"/>
        <v/>
      </c>
      <c r="BB80" s="43" t="str">
        <f t="shared" si="39"/>
        <v/>
      </c>
      <c r="BC80" s="128" t="str">
        <f t="shared" si="40"/>
        <v/>
      </c>
      <c r="BD80" s="153">
        <f t="shared" si="44"/>
        <v>0</v>
      </c>
      <c r="BF80">
        <f t="shared" si="45"/>
        <v>0</v>
      </c>
    </row>
    <row r="81" spans="3:58" x14ac:dyDescent="0.25">
      <c r="C81" s="44">
        <v>74</v>
      </c>
      <c r="D81" s="149"/>
      <c r="E81" s="149"/>
      <c r="F81">
        <v>20</v>
      </c>
      <c r="G81">
        <v>1</v>
      </c>
      <c r="S81" s="127">
        <f t="shared" si="29"/>
        <v>21</v>
      </c>
      <c r="T81">
        <f t="shared" si="30"/>
        <v>2</v>
      </c>
      <c r="U81" t="b">
        <f>LOOKUP($C81,Table3[Sample Name],Table3[Positive])</f>
        <v>1</v>
      </c>
      <c r="V81" t="b">
        <f>LOOKUP($C81,Table3[Sample Name],Table3[Disseminated])</f>
        <v>1</v>
      </c>
      <c r="W81">
        <f t="shared" si="31"/>
        <v>20</v>
      </c>
      <c r="AL81" s="134">
        <v>74</v>
      </c>
      <c r="AM81" s="127">
        <v>20</v>
      </c>
      <c r="AN81" s="43">
        <v>1</v>
      </c>
      <c r="AO81" s="43"/>
      <c r="AP81" s="128"/>
      <c r="AQ81">
        <f t="shared" si="41"/>
        <v>2</v>
      </c>
      <c r="AR81">
        <f t="shared" si="42"/>
        <v>21</v>
      </c>
      <c r="AT81" s="127">
        <f t="shared" si="32"/>
        <v>1</v>
      </c>
      <c r="AU81" s="43">
        <f t="shared" si="33"/>
        <v>20</v>
      </c>
      <c r="AV81" s="43" t="str">
        <f t="shared" si="34"/>
        <v/>
      </c>
      <c r="AW81" s="128" t="str">
        <f t="shared" si="35"/>
        <v/>
      </c>
      <c r="AX81" s="153">
        <f t="shared" si="43"/>
        <v>21</v>
      </c>
      <c r="AY81" s="127">
        <f t="shared" si="36"/>
        <v>1</v>
      </c>
      <c r="AZ81" s="43">
        <f t="shared" si="37"/>
        <v>20</v>
      </c>
      <c r="BA81" s="43" t="str">
        <f t="shared" si="38"/>
        <v/>
      </c>
      <c r="BB81" s="43" t="str">
        <f t="shared" si="39"/>
        <v/>
      </c>
      <c r="BC81" s="128" t="str">
        <f t="shared" si="40"/>
        <v/>
      </c>
      <c r="BD81" s="153">
        <f t="shared" si="44"/>
        <v>21</v>
      </c>
      <c r="BF81">
        <f t="shared" si="45"/>
        <v>0</v>
      </c>
    </row>
    <row r="82" spans="3:58" x14ac:dyDescent="0.25">
      <c r="C82" s="44">
        <v>75</v>
      </c>
      <c r="D82" s="149"/>
      <c r="E82" s="149"/>
      <c r="S82" s="127">
        <f t="shared" si="29"/>
        <v>0</v>
      </c>
      <c r="T82">
        <f t="shared" si="30"/>
        <v>0</v>
      </c>
      <c r="U82" t="b">
        <f>LOOKUP($C82,Table3[Sample Name],Table3[Positive])</f>
        <v>1</v>
      </c>
      <c r="V82" t="b">
        <f>LOOKUP($C82,Table3[Sample Name],Table3[Disseminated])</f>
        <v>0</v>
      </c>
      <c r="W82">
        <f t="shared" si="31"/>
        <v>0</v>
      </c>
      <c r="AL82" s="134">
        <v>75</v>
      </c>
      <c r="AM82" s="127">
        <v>0</v>
      </c>
      <c r="AN82" s="43"/>
      <c r="AO82" s="43"/>
      <c r="AP82" s="128"/>
      <c r="AQ82">
        <f t="shared" si="41"/>
        <v>0</v>
      </c>
      <c r="AR82">
        <f t="shared" si="42"/>
        <v>0</v>
      </c>
      <c r="AT82" s="127">
        <f t="shared" si="32"/>
        <v>0</v>
      </c>
      <c r="AU82" s="43" t="str">
        <f t="shared" si="33"/>
        <v/>
      </c>
      <c r="AV82" s="43" t="str">
        <f t="shared" si="34"/>
        <v/>
      </c>
      <c r="AW82" s="128" t="str">
        <f t="shared" si="35"/>
        <v/>
      </c>
      <c r="AX82" s="153">
        <f t="shared" si="43"/>
        <v>0</v>
      </c>
      <c r="AY82" s="127" t="str">
        <f t="shared" si="36"/>
        <v/>
      </c>
      <c r="AZ82" s="43" t="str">
        <f t="shared" si="37"/>
        <v/>
      </c>
      <c r="BA82" s="43" t="str">
        <f t="shared" si="38"/>
        <v/>
      </c>
      <c r="BB82" s="43" t="str">
        <f t="shared" si="39"/>
        <v/>
      </c>
      <c r="BC82" s="128" t="str">
        <f t="shared" si="40"/>
        <v/>
      </c>
      <c r="BD82" s="153">
        <f t="shared" si="44"/>
        <v>0</v>
      </c>
      <c r="BF82">
        <f t="shared" si="45"/>
        <v>0</v>
      </c>
    </row>
    <row r="83" spans="3:58" x14ac:dyDescent="0.25">
      <c r="C83" s="44">
        <v>76</v>
      </c>
      <c r="D83" s="149"/>
      <c r="E83" s="149"/>
      <c r="S83" s="127">
        <f t="shared" si="29"/>
        <v>0</v>
      </c>
      <c r="T83">
        <f t="shared" si="30"/>
        <v>0</v>
      </c>
      <c r="U83" t="b">
        <f>LOOKUP($C83,Table3[Sample Name],Table3[Positive])</f>
        <v>1</v>
      </c>
      <c r="V83" t="b">
        <f>LOOKUP($C83,Table3[Sample Name],Table3[Disseminated])</f>
        <v>0</v>
      </c>
      <c r="W83">
        <f t="shared" si="31"/>
        <v>0</v>
      </c>
      <c r="AL83" s="134">
        <v>76</v>
      </c>
      <c r="AM83" s="127">
        <v>0</v>
      </c>
      <c r="AN83" s="43"/>
      <c r="AO83" s="43"/>
      <c r="AP83" s="128"/>
      <c r="AQ83">
        <f t="shared" si="41"/>
        <v>0</v>
      </c>
      <c r="AR83">
        <f t="shared" si="42"/>
        <v>0</v>
      </c>
      <c r="AT83" s="127">
        <f t="shared" si="32"/>
        <v>0</v>
      </c>
      <c r="AU83" s="43" t="str">
        <f t="shared" si="33"/>
        <v/>
      </c>
      <c r="AV83" s="43" t="str">
        <f t="shared" si="34"/>
        <v/>
      </c>
      <c r="AW83" s="128" t="str">
        <f t="shared" si="35"/>
        <v/>
      </c>
      <c r="AX83" s="153">
        <f t="shared" si="43"/>
        <v>0</v>
      </c>
      <c r="AY83" s="127" t="str">
        <f t="shared" si="36"/>
        <v/>
      </c>
      <c r="AZ83" s="43" t="str">
        <f t="shared" si="37"/>
        <v/>
      </c>
      <c r="BA83" s="43" t="str">
        <f t="shared" si="38"/>
        <v/>
      </c>
      <c r="BB83" s="43" t="str">
        <f t="shared" si="39"/>
        <v/>
      </c>
      <c r="BC83" s="128" t="str">
        <f t="shared" si="40"/>
        <v/>
      </c>
      <c r="BD83" s="153">
        <f t="shared" si="44"/>
        <v>0</v>
      </c>
      <c r="BF83">
        <f t="shared" si="45"/>
        <v>0</v>
      </c>
    </row>
    <row r="84" spans="3:58" x14ac:dyDescent="0.25">
      <c r="C84" s="44">
        <v>77</v>
      </c>
      <c r="D84" s="149"/>
      <c r="E84" s="149"/>
      <c r="K84">
        <v>29</v>
      </c>
      <c r="S84" s="127">
        <f t="shared" si="29"/>
        <v>29</v>
      </c>
      <c r="T84">
        <f t="shared" si="30"/>
        <v>1</v>
      </c>
      <c r="U84" t="b">
        <f>LOOKUP($C84,Table3[Sample Name],Table3[Positive])</f>
        <v>0</v>
      </c>
      <c r="V84" t="str">
        <f>LOOKUP($C84,Table3[Sample Name],Table3[Disseminated])</f>
        <v>N/A</v>
      </c>
      <c r="W84">
        <f t="shared" si="31"/>
        <v>29</v>
      </c>
      <c r="AL84" s="134">
        <v>77</v>
      </c>
      <c r="AM84" s="127">
        <v>29</v>
      </c>
      <c r="AN84" s="43"/>
      <c r="AO84" s="43"/>
      <c r="AP84" s="128"/>
      <c r="AQ84">
        <f t="shared" si="41"/>
        <v>1</v>
      </c>
      <c r="AR84">
        <f t="shared" si="42"/>
        <v>29</v>
      </c>
      <c r="AT84" s="127">
        <f t="shared" si="32"/>
        <v>29</v>
      </c>
      <c r="AU84" s="43" t="str">
        <f t="shared" si="33"/>
        <v/>
      </c>
      <c r="AV84" s="43" t="str">
        <f t="shared" si="34"/>
        <v/>
      </c>
      <c r="AW84" s="128" t="str">
        <f t="shared" si="35"/>
        <v/>
      </c>
      <c r="AX84" s="153">
        <f t="shared" si="43"/>
        <v>29</v>
      </c>
      <c r="AY84" s="127">
        <f t="shared" si="36"/>
        <v>29</v>
      </c>
      <c r="AZ84" s="43" t="str">
        <f t="shared" si="37"/>
        <v/>
      </c>
      <c r="BA84" s="43" t="str">
        <f t="shared" si="38"/>
        <v/>
      </c>
      <c r="BB84" s="43" t="str">
        <f t="shared" si="39"/>
        <v/>
      </c>
      <c r="BC84" s="128" t="str">
        <f t="shared" si="40"/>
        <v/>
      </c>
      <c r="BD84" s="153">
        <f t="shared" si="44"/>
        <v>29</v>
      </c>
      <c r="BF84">
        <f t="shared" si="45"/>
        <v>0</v>
      </c>
    </row>
    <row r="85" spans="3:58" x14ac:dyDescent="0.25">
      <c r="C85" s="44">
        <v>78</v>
      </c>
      <c r="D85" s="149"/>
      <c r="E85" s="149"/>
      <c r="F85">
        <v>0</v>
      </c>
      <c r="G85">
        <v>12</v>
      </c>
      <c r="S85" s="127">
        <f t="shared" si="29"/>
        <v>12</v>
      </c>
      <c r="T85">
        <f t="shared" si="30"/>
        <v>1</v>
      </c>
      <c r="U85" t="b">
        <f>LOOKUP($C85,Table3[Sample Name],Table3[Positive])</f>
        <v>1</v>
      </c>
      <c r="V85" t="b">
        <f>LOOKUP($C85,Table3[Sample Name],Table3[Disseminated])</f>
        <v>1</v>
      </c>
      <c r="W85">
        <f t="shared" si="31"/>
        <v>12</v>
      </c>
      <c r="AL85" s="134">
        <v>78</v>
      </c>
      <c r="AM85" s="127">
        <v>12</v>
      </c>
      <c r="AN85" s="43"/>
      <c r="AO85" s="43"/>
      <c r="AP85" s="128"/>
      <c r="AQ85">
        <f t="shared" si="41"/>
        <v>1</v>
      </c>
      <c r="AR85">
        <f t="shared" si="42"/>
        <v>12</v>
      </c>
      <c r="AT85" s="127">
        <f t="shared" si="32"/>
        <v>12</v>
      </c>
      <c r="AU85" s="43" t="str">
        <f t="shared" si="33"/>
        <v/>
      </c>
      <c r="AV85" s="43" t="str">
        <f t="shared" si="34"/>
        <v/>
      </c>
      <c r="AW85" s="128" t="str">
        <f t="shared" si="35"/>
        <v/>
      </c>
      <c r="AX85" s="153">
        <f t="shared" si="43"/>
        <v>12</v>
      </c>
      <c r="AY85" s="127">
        <f t="shared" si="36"/>
        <v>0</v>
      </c>
      <c r="AZ85" s="43">
        <f t="shared" si="37"/>
        <v>12</v>
      </c>
      <c r="BA85" s="43" t="str">
        <f t="shared" si="38"/>
        <v/>
      </c>
      <c r="BB85" s="43" t="str">
        <f t="shared" si="39"/>
        <v/>
      </c>
      <c r="BC85" s="128" t="str">
        <f t="shared" si="40"/>
        <v/>
      </c>
      <c r="BD85" s="153">
        <f t="shared" si="44"/>
        <v>12</v>
      </c>
      <c r="BF85">
        <f t="shared" si="45"/>
        <v>0</v>
      </c>
    </row>
    <row r="86" spans="3:58" x14ac:dyDescent="0.25">
      <c r="C86" s="44">
        <v>79</v>
      </c>
      <c r="D86" s="149"/>
      <c r="E86" s="149"/>
      <c r="S86" s="127">
        <f t="shared" si="29"/>
        <v>0</v>
      </c>
      <c r="T86">
        <f t="shared" si="30"/>
        <v>0</v>
      </c>
      <c r="U86" t="b">
        <f>LOOKUP($C86,Table3[Sample Name],Table3[Positive])</f>
        <v>1</v>
      </c>
      <c r="V86" t="b">
        <f>LOOKUP($C86,Table3[Sample Name],Table3[Disseminated])</f>
        <v>0</v>
      </c>
      <c r="W86">
        <f t="shared" si="31"/>
        <v>0</v>
      </c>
      <c r="AL86" s="134">
        <v>79</v>
      </c>
      <c r="AM86" s="127">
        <v>0</v>
      </c>
      <c r="AN86" s="43"/>
      <c r="AO86" s="43"/>
      <c r="AP86" s="128"/>
      <c r="AQ86">
        <f t="shared" si="41"/>
        <v>0</v>
      </c>
      <c r="AR86">
        <f t="shared" si="42"/>
        <v>0</v>
      </c>
      <c r="AT86" s="127">
        <f t="shared" si="32"/>
        <v>0</v>
      </c>
      <c r="AU86" s="43" t="str">
        <f t="shared" si="33"/>
        <v/>
      </c>
      <c r="AV86" s="43" t="str">
        <f t="shared" si="34"/>
        <v/>
      </c>
      <c r="AW86" s="128" t="str">
        <f t="shared" si="35"/>
        <v/>
      </c>
      <c r="AX86" s="153">
        <f t="shared" si="43"/>
        <v>0</v>
      </c>
      <c r="AY86" s="127" t="str">
        <f t="shared" si="36"/>
        <v/>
      </c>
      <c r="AZ86" s="43" t="str">
        <f t="shared" si="37"/>
        <v/>
      </c>
      <c r="BA86" s="43" t="str">
        <f t="shared" si="38"/>
        <v/>
      </c>
      <c r="BB86" s="43" t="str">
        <f t="shared" si="39"/>
        <v/>
      </c>
      <c r="BC86" s="128" t="str">
        <f t="shared" si="40"/>
        <v/>
      </c>
      <c r="BD86" s="153">
        <f t="shared" si="44"/>
        <v>0</v>
      </c>
      <c r="BF86">
        <f t="shared" si="45"/>
        <v>0</v>
      </c>
    </row>
    <row r="87" spans="3:58" x14ac:dyDescent="0.25">
      <c r="C87" s="44">
        <v>80</v>
      </c>
      <c r="D87" s="149"/>
      <c r="E87" s="149"/>
      <c r="F87">
        <v>5</v>
      </c>
      <c r="K87">
        <v>0</v>
      </c>
      <c r="P87">
        <v>0</v>
      </c>
      <c r="S87" s="127">
        <f t="shared" si="29"/>
        <v>5</v>
      </c>
      <c r="T87">
        <f t="shared" si="30"/>
        <v>1</v>
      </c>
      <c r="U87" t="b">
        <f>LOOKUP($C87,Table3[Sample Name],Table3[Positive])</f>
        <v>1</v>
      </c>
      <c r="V87" t="b">
        <f>LOOKUP($C87,Table3[Sample Name],Table3[Disseminated])</f>
        <v>1</v>
      </c>
      <c r="W87">
        <f t="shared" si="31"/>
        <v>5</v>
      </c>
      <c r="AL87" s="134">
        <v>80</v>
      </c>
      <c r="AM87" s="127">
        <v>5</v>
      </c>
      <c r="AN87" s="43"/>
      <c r="AO87" s="43"/>
      <c r="AP87" s="128"/>
      <c r="AQ87">
        <f t="shared" si="41"/>
        <v>1</v>
      </c>
      <c r="AR87">
        <f t="shared" si="42"/>
        <v>5</v>
      </c>
      <c r="AT87" s="127">
        <f t="shared" si="32"/>
        <v>5</v>
      </c>
      <c r="AU87" s="43" t="str">
        <f t="shared" si="33"/>
        <v/>
      </c>
      <c r="AV87" s="43" t="str">
        <f t="shared" si="34"/>
        <v/>
      </c>
      <c r="AW87" s="128" t="str">
        <f t="shared" si="35"/>
        <v/>
      </c>
      <c r="AX87" s="153">
        <f t="shared" si="43"/>
        <v>5</v>
      </c>
      <c r="AY87" s="127">
        <f t="shared" si="36"/>
        <v>0</v>
      </c>
      <c r="AZ87" s="43">
        <f t="shared" si="37"/>
        <v>0</v>
      </c>
      <c r="BA87" s="43">
        <f t="shared" si="38"/>
        <v>5</v>
      </c>
      <c r="BB87" s="43" t="str">
        <f t="shared" si="39"/>
        <v/>
      </c>
      <c r="BC87" s="128" t="str">
        <f t="shared" si="40"/>
        <v/>
      </c>
      <c r="BD87" s="153">
        <f t="shared" si="44"/>
        <v>5</v>
      </c>
      <c r="BF87">
        <f t="shared" si="45"/>
        <v>0</v>
      </c>
    </row>
    <row r="88" spans="3:58" x14ac:dyDescent="0.25">
      <c r="C88" s="44">
        <v>81</v>
      </c>
      <c r="D88" s="149"/>
      <c r="E88" s="149"/>
      <c r="F88">
        <v>0</v>
      </c>
      <c r="K88">
        <v>1</v>
      </c>
      <c r="S88" s="127">
        <f t="shared" si="29"/>
        <v>1</v>
      </c>
      <c r="T88">
        <f t="shared" si="30"/>
        <v>1</v>
      </c>
      <c r="U88" t="b">
        <f>LOOKUP($C88,Table3[Sample Name],Table3[Positive])</f>
        <v>1</v>
      </c>
      <c r="V88" t="b">
        <f>LOOKUP($C88,Table3[Sample Name],Table3[Disseminated])</f>
        <v>1</v>
      </c>
      <c r="W88">
        <f t="shared" si="31"/>
        <v>1</v>
      </c>
      <c r="AL88" s="134">
        <v>81</v>
      </c>
      <c r="AM88" s="127">
        <v>1</v>
      </c>
      <c r="AN88" s="43"/>
      <c r="AO88" s="43"/>
      <c r="AP88" s="128"/>
      <c r="AQ88">
        <f t="shared" si="41"/>
        <v>1</v>
      </c>
      <c r="AR88">
        <f t="shared" si="42"/>
        <v>1</v>
      </c>
      <c r="AT88" s="127">
        <f t="shared" si="32"/>
        <v>1</v>
      </c>
      <c r="AU88" s="43" t="str">
        <f t="shared" si="33"/>
        <v/>
      </c>
      <c r="AV88" s="43" t="str">
        <f t="shared" si="34"/>
        <v/>
      </c>
      <c r="AW88" s="128" t="str">
        <f t="shared" si="35"/>
        <v/>
      </c>
      <c r="AX88" s="153">
        <f t="shared" si="43"/>
        <v>1</v>
      </c>
      <c r="AY88" s="127">
        <f t="shared" si="36"/>
        <v>0</v>
      </c>
      <c r="AZ88" s="43">
        <f t="shared" si="37"/>
        <v>1</v>
      </c>
      <c r="BA88" s="43" t="str">
        <f t="shared" si="38"/>
        <v/>
      </c>
      <c r="BB88" s="43" t="str">
        <f t="shared" si="39"/>
        <v/>
      </c>
      <c r="BC88" s="128" t="str">
        <f t="shared" si="40"/>
        <v/>
      </c>
      <c r="BD88" s="153">
        <f t="shared" si="44"/>
        <v>1</v>
      </c>
      <c r="BF88">
        <f t="shared" si="45"/>
        <v>0</v>
      </c>
    </row>
    <row r="89" spans="3:58" x14ac:dyDescent="0.25">
      <c r="C89" s="44">
        <v>82</v>
      </c>
      <c r="D89" s="149"/>
      <c r="E89" s="149"/>
      <c r="S89" s="127">
        <f t="shared" si="29"/>
        <v>0</v>
      </c>
      <c r="T89">
        <f t="shared" si="30"/>
        <v>0</v>
      </c>
      <c r="U89" t="b">
        <f>LOOKUP($C89,Table3[Sample Name],Table3[Positive])</f>
        <v>1</v>
      </c>
      <c r="V89" t="b">
        <f>LOOKUP($C89,Table3[Sample Name],Table3[Disseminated])</f>
        <v>1</v>
      </c>
      <c r="W89">
        <f t="shared" si="31"/>
        <v>0</v>
      </c>
      <c r="AL89" s="134">
        <v>82</v>
      </c>
      <c r="AM89" s="127">
        <v>0</v>
      </c>
      <c r="AN89" s="43"/>
      <c r="AO89" s="43"/>
      <c r="AP89" s="128"/>
      <c r="AQ89">
        <f t="shared" si="41"/>
        <v>0</v>
      </c>
      <c r="AR89">
        <f t="shared" si="42"/>
        <v>0</v>
      </c>
      <c r="AT89" s="127">
        <f t="shared" si="32"/>
        <v>0</v>
      </c>
      <c r="AU89" s="43" t="str">
        <f t="shared" si="33"/>
        <v/>
      </c>
      <c r="AV89" s="43" t="str">
        <f t="shared" si="34"/>
        <v/>
      </c>
      <c r="AW89" s="128" t="str">
        <f t="shared" si="35"/>
        <v/>
      </c>
      <c r="AX89" s="153">
        <f t="shared" si="43"/>
        <v>0</v>
      </c>
      <c r="AY89" s="127" t="str">
        <f t="shared" si="36"/>
        <v/>
      </c>
      <c r="AZ89" s="43" t="str">
        <f t="shared" si="37"/>
        <v/>
      </c>
      <c r="BA89" s="43" t="str">
        <f t="shared" si="38"/>
        <v/>
      </c>
      <c r="BB89" s="43" t="str">
        <f t="shared" si="39"/>
        <v/>
      </c>
      <c r="BC89" s="128" t="str">
        <f t="shared" si="40"/>
        <v/>
      </c>
      <c r="BD89" s="153">
        <f t="shared" si="44"/>
        <v>0</v>
      </c>
      <c r="BF89">
        <f t="shared" si="45"/>
        <v>0</v>
      </c>
    </row>
    <row r="90" spans="3:58" x14ac:dyDescent="0.25">
      <c r="C90" s="44">
        <v>83</v>
      </c>
      <c r="D90" s="149"/>
      <c r="E90" s="149"/>
      <c r="F90">
        <v>14</v>
      </c>
      <c r="I90">
        <v>9</v>
      </c>
      <c r="K90">
        <v>0</v>
      </c>
      <c r="P90">
        <v>0</v>
      </c>
      <c r="Q90">
        <v>2</v>
      </c>
      <c r="S90" s="127">
        <f t="shared" si="29"/>
        <v>25</v>
      </c>
      <c r="T90">
        <f t="shared" si="30"/>
        <v>3</v>
      </c>
      <c r="U90" t="b">
        <f>LOOKUP($C90,Table3[Sample Name],Table3[Positive])</f>
        <v>1</v>
      </c>
      <c r="V90" t="b">
        <f>LOOKUP($C90,Table3[Sample Name],Table3[Disseminated])</f>
        <v>1</v>
      </c>
      <c r="W90">
        <f t="shared" si="31"/>
        <v>14</v>
      </c>
      <c r="AL90" s="134">
        <v>83</v>
      </c>
      <c r="AM90" s="127">
        <v>14</v>
      </c>
      <c r="AN90" s="43">
        <v>9</v>
      </c>
      <c r="AO90" s="43">
        <v>2</v>
      </c>
      <c r="AP90" s="128"/>
      <c r="AQ90">
        <f t="shared" si="41"/>
        <v>3</v>
      </c>
      <c r="AR90">
        <f t="shared" si="42"/>
        <v>25</v>
      </c>
      <c r="AT90" s="127">
        <f t="shared" si="32"/>
        <v>2</v>
      </c>
      <c r="AU90" s="43">
        <f t="shared" si="33"/>
        <v>9</v>
      </c>
      <c r="AV90" s="43">
        <f t="shared" si="34"/>
        <v>14</v>
      </c>
      <c r="AW90" s="128" t="str">
        <f t="shared" si="35"/>
        <v/>
      </c>
      <c r="AX90" s="153">
        <f t="shared" si="43"/>
        <v>25</v>
      </c>
      <c r="AY90" s="127">
        <f t="shared" si="36"/>
        <v>0</v>
      </c>
      <c r="AZ90" s="43">
        <f t="shared" si="37"/>
        <v>0</v>
      </c>
      <c r="BA90" s="43">
        <f t="shared" si="38"/>
        <v>2</v>
      </c>
      <c r="BB90" s="43">
        <f t="shared" si="39"/>
        <v>9</v>
      </c>
      <c r="BC90" s="128">
        <f t="shared" si="40"/>
        <v>14</v>
      </c>
      <c r="BD90" s="153">
        <f t="shared" si="44"/>
        <v>25</v>
      </c>
      <c r="BF90">
        <f t="shared" si="45"/>
        <v>0</v>
      </c>
    </row>
    <row r="91" spans="3:58" x14ac:dyDescent="0.25">
      <c r="C91" s="44">
        <v>84</v>
      </c>
      <c r="D91" s="149"/>
      <c r="E91" s="149"/>
      <c r="F91">
        <v>60</v>
      </c>
      <c r="S91" s="127">
        <f t="shared" si="29"/>
        <v>60</v>
      </c>
      <c r="T91">
        <f t="shared" si="30"/>
        <v>1</v>
      </c>
      <c r="U91" t="b">
        <f>LOOKUP($C91,Table3[Sample Name],Table3[Positive])</f>
        <v>1</v>
      </c>
      <c r="V91" t="b">
        <f>LOOKUP($C91,Table3[Sample Name],Table3[Disseminated])</f>
        <v>1</v>
      </c>
      <c r="W91">
        <f t="shared" si="31"/>
        <v>60</v>
      </c>
      <c r="AL91" s="134">
        <v>84</v>
      </c>
      <c r="AM91" s="127">
        <v>60</v>
      </c>
      <c r="AN91" s="43"/>
      <c r="AO91" s="43"/>
      <c r="AP91" s="128"/>
      <c r="AQ91">
        <f t="shared" si="41"/>
        <v>1</v>
      </c>
      <c r="AR91">
        <f t="shared" si="42"/>
        <v>60</v>
      </c>
      <c r="AT91" s="127">
        <f t="shared" si="32"/>
        <v>60</v>
      </c>
      <c r="AU91" s="43" t="str">
        <f t="shared" si="33"/>
        <v/>
      </c>
      <c r="AV91" s="43" t="str">
        <f t="shared" si="34"/>
        <v/>
      </c>
      <c r="AW91" s="128" t="str">
        <f t="shared" si="35"/>
        <v/>
      </c>
      <c r="AX91" s="153">
        <f t="shared" si="43"/>
        <v>60</v>
      </c>
      <c r="AY91" s="127">
        <f t="shared" si="36"/>
        <v>60</v>
      </c>
      <c r="AZ91" s="43" t="str">
        <f t="shared" si="37"/>
        <v/>
      </c>
      <c r="BA91" s="43" t="str">
        <f t="shared" si="38"/>
        <v/>
      </c>
      <c r="BB91" s="43" t="str">
        <f t="shared" si="39"/>
        <v/>
      </c>
      <c r="BC91" s="128" t="str">
        <f t="shared" si="40"/>
        <v/>
      </c>
      <c r="BD91" s="153">
        <f t="shared" si="44"/>
        <v>60</v>
      </c>
      <c r="BF91">
        <f t="shared" si="45"/>
        <v>0</v>
      </c>
    </row>
    <row r="92" spans="3:58" x14ac:dyDescent="0.25">
      <c r="C92" s="44">
        <v>85</v>
      </c>
      <c r="D92" s="149"/>
      <c r="E92" s="149"/>
      <c r="F92">
        <v>0</v>
      </c>
      <c r="S92" s="127">
        <f t="shared" si="29"/>
        <v>0</v>
      </c>
      <c r="T92">
        <f t="shared" si="30"/>
        <v>0</v>
      </c>
      <c r="U92" t="b">
        <f>LOOKUP($C92,Table3[Sample Name],Table3[Positive])</f>
        <v>1</v>
      </c>
      <c r="V92" t="b">
        <f>LOOKUP($C92,Table3[Sample Name],Table3[Disseminated])</f>
        <v>1</v>
      </c>
      <c r="W92">
        <f t="shared" si="31"/>
        <v>0</v>
      </c>
      <c r="AL92" s="134">
        <v>85</v>
      </c>
      <c r="AM92" s="127">
        <v>0</v>
      </c>
      <c r="AN92" s="43"/>
      <c r="AO92" s="43"/>
      <c r="AP92" s="128"/>
      <c r="AQ92">
        <f t="shared" si="41"/>
        <v>0</v>
      </c>
      <c r="AR92">
        <f t="shared" si="42"/>
        <v>0</v>
      </c>
      <c r="AT92" s="127">
        <f t="shared" si="32"/>
        <v>0</v>
      </c>
      <c r="AU92" s="43" t="str">
        <f t="shared" si="33"/>
        <v/>
      </c>
      <c r="AV92" s="43" t="str">
        <f t="shared" si="34"/>
        <v/>
      </c>
      <c r="AW92" s="128" t="str">
        <f t="shared" si="35"/>
        <v/>
      </c>
      <c r="AX92" s="153">
        <f t="shared" si="43"/>
        <v>0</v>
      </c>
      <c r="AY92" s="127">
        <f t="shared" si="36"/>
        <v>0</v>
      </c>
      <c r="AZ92" s="43" t="str">
        <f t="shared" si="37"/>
        <v/>
      </c>
      <c r="BA92" s="43" t="str">
        <f t="shared" si="38"/>
        <v/>
      </c>
      <c r="BB92" s="43" t="str">
        <f t="shared" si="39"/>
        <v/>
      </c>
      <c r="BC92" s="128" t="str">
        <f t="shared" si="40"/>
        <v/>
      </c>
      <c r="BD92" s="153">
        <f t="shared" si="44"/>
        <v>0</v>
      </c>
      <c r="BF92">
        <f t="shared" si="45"/>
        <v>0</v>
      </c>
    </row>
    <row r="93" spans="3:58" x14ac:dyDescent="0.25">
      <c r="C93" s="44">
        <v>86</v>
      </c>
      <c r="D93" s="149"/>
      <c r="E93" s="149"/>
      <c r="F93">
        <v>6</v>
      </c>
      <c r="S93" s="127">
        <f t="shared" si="29"/>
        <v>6</v>
      </c>
      <c r="T93">
        <f t="shared" si="30"/>
        <v>1</v>
      </c>
      <c r="U93" t="b">
        <f>LOOKUP($C93,Table3[Sample Name],Table3[Positive])</f>
        <v>1</v>
      </c>
      <c r="V93" t="b">
        <f>LOOKUP($C93,Table3[Sample Name],Table3[Disseminated])</f>
        <v>1</v>
      </c>
      <c r="W93">
        <f t="shared" si="31"/>
        <v>6</v>
      </c>
      <c r="AL93" s="134">
        <v>86</v>
      </c>
      <c r="AM93" s="127">
        <v>6</v>
      </c>
      <c r="AN93" s="43"/>
      <c r="AO93" s="43"/>
      <c r="AP93" s="128"/>
      <c r="AQ93">
        <f t="shared" si="41"/>
        <v>1</v>
      </c>
      <c r="AR93">
        <f t="shared" si="42"/>
        <v>6</v>
      </c>
      <c r="AT93" s="127">
        <f t="shared" si="32"/>
        <v>6</v>
      </c>
      <c r="AU93" s="43" t="str">
        <f t="shared" si="33"/>
        <v/>
      </c>
      <c r="AV93" s="43" t="str">
        <f t="shared" si="34"/>
        <v/>
      </c>
      <c r="AW93" s="128" t="str">
        <f t="shared" si="35"/>
        <v/>
      </c>
      <c r="AX93" s="153">
        <f t="shared" si="43"/>
        <v>6</v>
      </c>
      <c r="AY93" s="127">
        <f t="shared" si="36"/>
        <v>6</v>
      </c>
      <c r="AZ93" s="43" t="str">
        <f t="shared" si="37"/>
        <v/>
      </c>
      <c r="BA93" s="43" t="str">
        <f t="shared" si="38"/>
        <v/>
      </c>
      <c r="BB93" s="43" t="str">
        <f t="shared" si="39"/>
        <v/>
      </c>
      <c r="BC93" s="128" t="str">
        <f t="shared" si="40"/>
        <v/>
      </c>
      <c r="BD93" s="153">
        <f t="shared" si="44"/>
        <v>6</v>
      </c>
      <c r="BF93">
        <f t="shared" si="45"/>
        <v>0</v>
      </c>
    </row>
    <row r="94" spans="3:58" x14ac:dyDescent="0.25">
      <c r="C94" s="44">
        <v>87</v>
      </c>
      <c r="D94" s="149"/>
      <c r="E94" s="149"/>
      <c r="F94">
        <v>38</v>
      </c>
      <c r="S94" s="127">
        <f t="shared" si="29"/>
        <v>38</v>
      </c>
      <c r="T94">
        <f t="shared" si="30"/>
        <v>1</v>
      </c>
      <c r="U94" t="b">
        <f>LOOKUP($C94,Table3[Sample Name],Table3[Positive])</f>
        <v>0</v>
      </c>
      <c r="V94" t="str">
        <f>LOOKUP($C94,Table3[Sample Name],Table3[Disseminated])</f>
        <v>N/A</v>
      </c>
      <c r="W94">
        <f t="shared" si="31"/>
        <v>38</v>
      </c>
      <c r="AL94" s="134">
        <v>87</v>
      </c>
      <c r="AM94" s="127">
        <v>38</v>
      </c>
      <c r="AN94" s="43"/>
      <c r="AO94" s="43"/>
      <c r="AP94" s="128"/>
      <c r="AQ94">
        <f t="shared" si="41"/>
        <v>1</v>
      </c>
      <c r="AR94">
        <f t="shared" si="42"/>
        <v>38</v>
      </c>
      <c r="AT94" s="127">
        <f t="shared" si="32"/>
        <v>38</v>
      </c>
      <c r="AU94" s="43" t="str">
        <f t="shared" si="33"/>
        <v/>
      </c>
      <c r="AV94" s="43" t="str">
        <f t="shared" si="34"/>
        <v/>
      </c>
      <c r="AW94" s="128" t="str">
        <f t="shared" si="35"/>
        <v/>
      </c>
      <c r="AX94" s="153">
        <f t="shared" si="43"/>
        <v>38</v>
      </c>
      <c r="AY94" s="127">
        <f t="shared" si="36"/>
        <v>38</v>
      </c>
      <c r="AZ94" s="43" t="str">
        <f t="shared" si="37"/>
        <v/>
      </c>
      <c r="BA94" s="43" t="str">
        <f t="shared" si="38"/>
        <v/>
      </c>
      <c r="BB94" s="43" t="str">
        <f t="shared" si="39"/>
        <v/>
      </c>
      <c r="BC94" s="128" t="str">
        <f t="shared" si="40"/>
        <v/>
      </c>
      <c r="BD94" s="153">
        <f t="shared" si="44"/>
        <v>38</v>
      </c>
      <c r="BF94">
        <f t="shared" si="45"/>
        <v>0</v>
      </c>
    </row>
    <row r="95" spans="3:58" x14ac:dyDescent="0.25">
      <c r="C95" s="44">
        <v>88</v>
      </c>
      <c r="D95" s="149"/>
      <c r="E95" s="149"/>
      <c r="F95">
        <v>2</v>
      </c>
      <c r="S95" s="127">
        <f t="shared" si="29"/>
        <v>2</v>
      </c>
      <c r="T95">
        <f t="shared" si="30"/>
        <v>1</v>
      </c>
      <c r="U95" t="b">
        <f>LOOKUP($C95,Table3[Sample Name],Table3[Positive])</f>
        <v>0</v>
      </c>
      <c r="V95" t="str">
        <f>LOOKUP($C95,Table3[Sample Name],Table3[Disseminated])</f>
        <v>N/A</v>
      </c>
      <c r="W95">
        <f t="shared" si="31"/>
        <v>2</v>
      </c>
      <c r="AL95" s="134">
        <v>88</v>
      </c>
      <c r="AM95" s="127">
        <v>2</v>
      </c>
      <c r="AN95" s="43"/>
      <c r="AO95" s="43"/>
      <c r="AP95" s="128"/>
      <c r="AQ95">
        <f t="shared" si="41"/>
        <v>1</v>
      </c>
      <c r="AR95">
        <f t="shared" si="42"/>
        <v>2</v>
      </c>
      <c r="AT95" s="127">
        <f t="shared" si="32"/>
        <v>2</v>
      </c>
      <c r="AU95" s="43" t="str">
        <f t="shared" si="33"/>
        <v/>
      </c>
      <c r="AV95" s="43" t="str">
        <f t="shared" si="34"/>
        <v/>
      </c>
      <c r="AW95" s="128" t="str">
        <f t="shared" si="35"/>
        <v/>
      </c>
      <c r="AX95" s="153">
        <f t="shared" si="43"/>
        <v>2</v>
      </c>
      <c r="AY95" s="127">
        <f t="shared" si="36"/>
        <v>2</v>
      </c>
      <c r="AZ95" s="43" t="str">
        <f t="shared" si="37"/>
        <v/>
      </c>
      <c r="BA95" s="43" t="str">
        <f t="shared" si="38"/>
        <v/>
      </c>
      <c r="BB95" s="43" t="str">
        <f t="shared" si="39"/>
        <v/>
      </c>
      <c r="BC95" s="128" t="str">
        <f t="shared" si="40"/>
        <v/>
      </c>
      <c r="BD95" s="153">
        <f t="shared" si="44"/>
        <v>2</v>
      </c>
      <c r="BF95">
        <f t="shared" si="45"/>
        <v>0</v>
      </c>
    </row>
    <row r="96" spans="3:58" x14ac:dyDescent="0.25">
      <c r="C96" s="44">
        <v>89</v>
      </c>
      <c r="D96" s="149"/>
      <c r="E96" s="149"/>
      <c r="F96">
        <v>52</v>
      </c>
      <c r="J96">
        <v>40</v>
      </c>
      <c r="S96" s="127">
        <f t="shared" si="29"/>
        <v>92</v>
      </c>
      <c r="T96">
        <f t="shared" si="30"/>
        <v>2</v>
      </c>
      <c r="U96" t="b">
        <f>LOOKUP($C96,Table3[Sample Name],Table3[Positive])</f>
        <v>1</v>
      </c>
      <c r="V96" t="b">
        <f>LOOKUP($C96,Table3[Sample Name],Table3[Disseminated])</f>
        <v>1</v>
      </c>
      <c r="W96">
        <f t="shared" si="31"/>
        <v>52</v>
      </c>
      <c r="AL96" s="134">
        <v>89</v>
      </c>
      <c r="AM96" s="127">
        <v>52</v>
      </c>
      <c r="AN96" s="43">
        <v>40</v>
      </c>
      <c r="AO96" s="43"/>
      <c r="AP96" s="128"/>
      <c r="AQ96">
        <f t="shared" si="41"/>
        <v>2</v>
      </c>
      <c r="AR96">
        <f t="shared" si="42"/>
        <v>92</v>
      </c>
      <c r="AT96" s="127">
        <f t="shared" si="32"/>
        <v>40</v>
      </c>
      <c r="AU96" s="43">
        <f t="shared" si="33"/>
        <v>52</v>
      </c>
      <c r="AV96" s="43" t="str">
        <f t="shared" si="34"/>
        <v/>
      </c>
      <c r="AW96" s="128" t="str">
        <f t="shared" si="35"/>
        <v/>
      </c>
      <c r="AX96" s="153">
        <f t="shared" si="43"/>
        <v>92</v>
      </c>
      <c r="AY96" s="127">
        <f t="shared" si="36"/>
        <v>40</v>
      </c>
      <c r="AZ96" s="43">
        <f t="shared" si="37"/>
        <v>52</v>
      </c>
      <c r="BA96" s="43" t="str">
        <f t="shared" si="38"/>
        <v/>
      </c>
      <c r="BB96" s="43" t="str">
        <f t="shared" si="39"/>
        <v/>
      </c>
      <c r="BC96" s="128" t="str">
        <f t="shared" si="40"/>
        <v/>
      </c>
      <c r="BD96" s="153">
        <f t="shared" si="44"/>
        <v>92</v>
      </c>
      <c r="BF96">
        <f t="shared" si="45"/>
        <v>0</v>
      </c>
    </row>
    <row r="97" spans="3:58" x14ac:dyDescent="0.25">
      <c r="C97" s="44">
        <v>90</v>
      </c>
      <c r="D97" s="149"/>
      <c r="E97" s="149"/>
      <c r="F97">
        <v>52</v>
      </c>
      <c r="S97" s="127">
        <f t="shared" si="29"/>
        <v>52</v>
      </c>
      <c r="T97">
        <f t="shared" si="30"/>
        <v>1</v>
      </c>
      <c r="U97" t="b">
        <f>LOOKUP($C97,Table3[Sample Name],Table3[Positive])</f>
        <v>0</v>
      </c>
      <c r="V97" t="str">
        <f>LOOKUP($C97,Table3[Sample Name],Table3[Disseminated])</f>
        <v>N/A</v>
      </c>
      <c r="W97">
        <f t="shared" si="31"/>
        <v>52</v>
      </c>
      <c r="AL97" s="134">
        <v>90</v>
      </c>
      <c r="AM97" s="127">
        <v>52</v>
      </c>
      <c r="AN97" s="43"/>
      <c r="AO97" s="43"/>
      <c r="AP97" s="128"/>
      <c r="AQ97">
        <f t="shared" si="41"/>
        <v>1</v>
      </c>
      <c r="AR97">
        <f t="shared" si="42"/>
        <v>52</v>
      </c>
      <c r="AT97" s="127">
        <f t="shared" si="32"/>
        <v>52</v>
      </c>
      <c r="AU97" s="43" t="str">
        <f t="shared" si="33"/>
        <v/>
      </c>
      <c r="AV97" s="43" t="str">
        <f t="shared" si="34"/>
        <v/>
      </c>
      <c r="AW97" s="128" t="str">
        <f t="shared" si="35"/>
        <v/>
      </c>
      <c r="AX97" s="153">
        <f t="shared" si="43"/>
        <v>52</v>
      </c>
      <c r="AY97" s="127">
        <f t="shared" si="36"/>
        <v>52</v>
      </c>
      <c r="AZ97" s="43" t="str">
        <f t="shared" si="37"/>
        <v/>
      </c>
      <c r="BA97" s="43" t="str">
        <f t="shared" si="38"/>
        <v/>
      </c>
      <c r="BB97" s="43" t="str">
        <f t="shared" si="39"/>
        <v/>
      </c>
      <c r="BC97" s="128" t="str">
        <f t="shared" si="40"/>
        <v/>
      </c>
      <c r="BD97" s="153">
        <f t="shared" si="44"/>
        <v>52</v>
      </c>
      <c r="BF97">
        <f t="shared" si="45"/>
        <v>0</v>
      </c>
    </row>
    <row r="98" spans="3:58" x14ac:dyDescent="0.25">
      <c r="C98" s="44">
        <v>91</v>
      </c>
      <c r="D98" s="149"/>
      <c r="E98" s="149"/>
      <c r="F98">
        <v>0</v>
      </c>
      <c r="S98" s="127">
        <f t="shared" si="29"/>
        <v>0</v>
      </c>
      <c r="T98">
        <f t="shared" si="30"/>
        <v>0</v>
      </c>
      <c r="U98" t="b">
        <f>LOOKUP($C98,Table3[Sample Name],Table3[Positive])</f>
        <v>1</v>
      </c>
      <c r="V98" t="b">
        <f>LOOKUP($C98,Table3[Sample Name],Table3[Disseminated])</f>
        <v>1</v>
      </c>
      <c r="W98">
        <f t="shared" si="31"/>
        <v>0</v>
      </c>
      <c r="AL98" s="134">
        <v>91</v>
      </c>
      <c r="AM98" s="127">
        <v>0</v>
      </c>
      <c r="AN98" s="43"/>
      <c r="AO98" s="43"/>
      <c r="AP98" s="128"/>
      <c r="AQ98">
        <f t="shared" si="41"/>
        <v>0</v>
      </c>
      <c r="AR98">
        <f t="shared" si="42"/>
        <v>0</v>
      </c>
      <c r="AT98" s="127">
        <f t="shared" si="32"/>
        <v>0</v>
      </c>
      <c r="AU98" s="43" t="str">
        <f t="shared" si="33"/>
        <v/>
      </c>
      <c r="AV98" s="43" t="str">
        <f t="shared" si="34"/>
        <v/>
      </c>
      <c r="AW98" s="128" t="str">
        <f t="shared" si="35"/>
        <v/>
      </c>
      <c r="AX98" s="153">
        <f t="shared" si="43"/>
        <v>0</v>
      </c>
      <c r="AY98" s="127">
        <f t="shared" si="36"/>
        <v>0</v>
      </c>
      <c r="AZ98" s="43" t="str">
        <f t="shared" si="37"/>
        <v/>
      </c>
      <c r="BA98" s="43" t="str">
        <f t="shared" si="38"/>
        <v/>
      </c>
      <c r="BB98" s="43" t="str">
        <f t="shared" si="39"/>
        <v/>
      </c>
      <c r="BC98" s="128" t="str">
        <f t="shared" si="40"/>
        <v/>
      </c>
      <c r="BD98" s="153">
        <f t="shared" si="44"/>
        <v>0</v>
      </c>
      <c r="BF98">
        <f t="shared" si="45"/>
        <v>0</v>
      </c>
    </row>
    <row r="99" spans="3:58" x14ac:dyDescent="0.25">
      <c r="C99" s="44">
        <v>92</v>
      </c>
      <c r="D99" s="149"/>
      <c r="E99" s="149"/>
      <c r="F99">
        <v>5</v>
      </c>
      <c r="J99">
        <v>33</v>
      </c>
      <c r="S99" s="127">
        <f t="shared" si="29"/>
        <v>38</v>
      </c>
      <c r="T99">
        <f t="shared" si="30"/>
        <v>2</v>
      </c>
      <c r="U99" t="b">
        <f>LOOKUP($C99,Table3[Sample Name],Table3[Positive])</f>
        <v>1</v>
      </c>
      <c r="V99" t="b">
        <f>LOOKUP($C99,Table3[Sample Name],Table3[Disseminated])</f>
        <v>1</v>
      </c>
      <c r="W99">
        <f t="shared" si="31"/>
        <v>33</v>
      </c>
      <c r="AL99" s="134">
        <v>92</v>
      </c>
      <c r="AM99" s="127">
        <v>5</v>
      </c>
      <c r="AN99" s="43">
        <v>33</v>
      </c>
      <c r="AO99" s="43"/>
      <c r="AP99" s="128"/>
      <c r="AQ99">
        <f t="shared" si="41"/>
        <v>2</v>
      </c>
      <c r="AR99">
        <f t="shared" si="42"/>
        <v>38</v>
      </c>
      <c r="AT99" s="127">
        <f t="shared" si="32"/>
        <v>5</v>
      </c>
      <c r="AU99" s="43">
        <f t="shared" si="33"/>
        <v>33</v>
      </c>
      <c r="AV99" s="43" t="str">
        <f t="shared" si="34"/>
        <v/>
      </c>
      <c r="AW99" s="128" t="str">
        <f t="shared" si="35"/>
        <v/>
      </c>
      <c r="AX99" s="153">
        <f t="shared" si="43"/>
        <v>38</v>
      </c>
      <c r="AY99" s="127">
        <f t="shared" si="36"/>
        <v>5</v>
      </c>
      <c r="AZ99" s="43">
        <f t="shared" si="37"/>
        <v>33</v>
      </c>
      <c r="BA99" s="43" t="str">
        <f t="shared" si="38"/>
        <v/>
      </c>
      <c r="BB99" s="43" t="str">
        <f t="shared" si="39"/>
        <v/>
      </c>
      <c r="BC99" s="128" t="str">
        <f t="shared" si="40"/>
        <v/>
      </c>
      <c r="BD99" s="153">
        <f t="shared" si="44"/>
        <v>38</v>
      </c>
      <c r="BF99">
        <f t="shared" si="45"/>
        <v>0</v>
      </c>
    </row>
    <row r="100" spans="3:58" x14ac:dyDescent="0.25">
      <c r="C100" s="44">
        <v>93</v>
      </c>
      <c r="D100" s="149"/>
      <c r="E100" s="149"/>
      <c r="F100">
        <v>0</v>
      </c>
      <c r="G100">
        <v>6</v>
      </c>
      <c r="S100" s="127">
        <f t="shared" si="29"/>
        <v>6</v>
      </c>
      <c r="T100">
        <f t="shared" si="30"/>
        <v>1</v>
      </c>
      <c r="U100" t="b">
        <f>LOOKUP($C100,Table3[Sample Name],Table3[Positive])</f>
        <v>1</v>
      </c>
      <c r="V100" t="b">
        <f>LOOKUP($C100,Table3[Sample Name],Table3[Disseminated])</f>
        <v>1</v>
      </c>
      <c r="W100">
        <f t="shared" si="31"/>
        <v>6</v>
      </c>
      <c r="AL100" s="134">
        <v>93</v>
      </c>
      <c r="AM100" s="127">
        <v>6</v>
      </c>
      <c r="AN100" s="43"/>
      <c r="AO100" s="43"/>
      <c r="AP100" s="128"/>
      <c r="AQ100">
        <f t="shared" si="41"/>
        <v>1</v>
      </c>
      <c r="AR100">
        <f t="shared" si="42"/>
        <v>6</v>
      </c>
      <c r="AT100" s="127">
        <f t="shared" si="32"/>
        <v>6</v>
      </c>
      <c r="AU100" s="43" t="str">
        <f t="shared" si="33"/>
        <v/>
      </c>
      <c r="AV100" s="43" t="str">
        <f t="shared" si="34"/>
        <v/>
      </c>
      <c r="AW100" s="128" t="str">
        <f t="shared" si="35"/>
        <v/>
      </c>
      <c r="AX100" s="153">
        <f t="shared" si="43"/>
        <v>6</v>
      </c>
      <c r="AY100" s="127">
        <f t="shared" si="36"/>
        <v>0</v>
      </c>
      <c r="AZ100" s="43">
        <f t="shared" si="37"/>
        <v>6</v>
      </c>
      <c r="BA100" s="43" t="str">
        <f t="shared" si="38"/>
        <v/>
      </c>
      <c r="BB100" s="43" t="str">
        <f t="shared" si="39"/>
        <v/>
      </c>
      <c r="BC100" s="128" t="str">
        <f t="shared" si="40"/>
        <v/>
      </c>
      <c r="BD100" s="153">
        <f t="shared" si="44"/>
        <v>6</v>
      </c>
      <c r="BF100">
        <f t="shared" si="45"/>
        <v>0</v>
      </c>
    </row>
    <row r="101" spans="3:58" x14ac:dyDescent="0.25">
      <c r="C101" s="44">
        <v>94</v>
      </c>
      <c r="D101" s="149"/>
      <c r="E101" s="149"/>
      <c r="S101" s="127">
        <f t="shared" si="29"/>
        <v>0</v>
      </c>
      <c r="T101">
        <f t="shared" si="30"/>
        <v>0</v>
      </c>
      <c r="U101" t="b">
        <f>LOOKUP($C101,Table3[Sample Name],Table3[Positive])</f>
        <v>1</v>
      </c>
      <c r="V101" t="b">
        <f>LOOKUP($C101,Table3[Sample Name],Table3[Disseminated])</f>
        <v>1</v>
      </c>
      <c r="W101">
        <f t="shared" si="31"/>
        <v>0</v>
      </c>
      <c r="AL101" s="134">
        <v>94</v>
      </c>
      <c r="AM101" s="127">
        <v>0</v>
      </c>
      <c r="AN101" s="43"/>
      <c r="AO101" s="43"/>
      <c r="AP101" s="128"/>
      <c r="AQ101">
        <f t="shared" si="41"/>
        <v>0</v>
      </c>
      <c r="AR101">
        <f t="shared" si="42"/>
        <v>0</v>
      </c>
      <c r="AT101" s="127">
        <f t="shared" si="32"/>
        <v>0</v>
      </c>
      <c r="AU101" s="43" t="str">
        <f t="shared" si="33"/>
        <v/>
      </c>
      <c r="AV101" s="43" t="str">
        <f t="shared" si="34"/>
        <v/>
      </c>
      <c r="AW101" s="128" t="str">
        <f t="shared" si="35"/>
        <v/>
      </c>
      <c r="AX101" s="153">
        <f t="shared" si="43"/>
        <v>0</v>
      </c>
      <c r="AY101" s="127" t="str">
        <f t="shared" si="36"/>
        <v/>
      </c>
      <c r="AZ101" s="43" t="str">
        <f t="shared" si="37"/>
        <v/>
      </c>
      <c r="BA101" s="43" t="str">
        <f t="shared" si="38"/>
        <v/>
      </c>
      <c r="BB101" s="43" t="str">
        <f t="shared" si="39"/>
        <v/>
      </c>
      <c r="BC101" s="128" t="str">
        <f t="shared" si="40"/>
        <v/>
      </c>
      <c r="BD101" s="153">
        <f t="shared" si="44"/>
        <v>0</v>
      </c>
      <c r="BF101">
        <f t="shared" si="45"/>
        <v>0</v>
      </c>
    </row>
    <row r="102" spans="3:58" x14ac:dyDescent="0.25">
      <c r="C102" s="44">
        <v>95</v>
      </c>
      <c r="D102" s="149"/>
      <c r="E102" s="149"/>
      <c r="F102">
        <v>0</v>
      </c>
      <c r="I102">
        <v>69</v>
      </c>
      <c r="S102" s="127">
        <f t="shared" si="29"/>
        <v>69</v>
      </c>
      <c r="T102">
        <f t="shared" si="30"/>
        <v>1</v>
      </c>
      <c r="U102" t="b">
        <f>LOOKUP($C102,Table3[Sample Name],Table3[Positive])</f>
        <v>1</v>
      </c>
      <c r="V102" t="b">
        <f>LOOKUP($C102,Table3[Sample Name],Table3[Disseminated])</f>
        <v>1</v>
      </c>
      <c r="W102">
        <f t="shared" si="31"/>
        <v>69</v>
      </c>
      <c r="AL102" s="134">
        <v>95</v>
      </c>
      <c r="AM102" s="127">
        <v>69</v>
      </c>
      <c r="AN102" s="43"/>
      <c r="AO102" s="43"/>
      <c r="AP102" s="128"/>
      <c r="AQ102">
        <f t="shared" si="41"/>
        <v>1</v>
      </c>
      <c r="AR102">
        <f t="shared" si="42"/>
        <v>69</v>
      </c>
      <c r="AT102" s="127">
        <f t="shared" si="32"/>
        <v>69</v>
      </c>
      <c r="AU102" s="43" t="str">
        <f t="shared" si="33"/>
        <v/>
      </c>
      <c r="AV102" s="43" t="str">
        <f t="shared" si="34"/>
        <v/>
      </c>
      <c r="AW102" s="128" t="str">
        <f t="shared" si="35"/>
        <v/>
      </c>
      <c r="AX102" s="153">
        <f t="shared" si="43"/>
        <v>69</v>
      </c>
      <c r="AY102" s="127">
        <f t="shared" si="36"/>
        <v>0</v>
      </c>
      <c r="AZ102" s="43">
        <f t="shared" si="37"/>
        <v>69</v>
      </c>
      <c r="BA102" s="43" t="str">
        <f t="shared" si="38"/>
        <v/>
      </c>
      <c r="BB102" s="43" t="str">
        <f t="shared" si="39"/>
        <v/>
      </c>
      <c r="BC102" s="128" t="str">
        <f t="shared" si="40"/>
        <v/>
      </c>
      <c r="BD102" s="153">
        <f t="shared" si="44"/>
        <v>69</v>
      </c>
      <c r="BF102">
        <f t="shared" si="45"/>
        <v>0</v>
      </c>
    </row>
    <row r="103" spans="3:58" x14ac:dyDescent="0.25">
      <c r="C103" s="44">
        <v>96</v>
      </c>
      <c r="D103" s="149"/>
      <c r="E103" s="149"/>
      <c r="F103">
        <v>0</v>
      </c>
      <c r="S103" s="127">
        <f t="shared" si="29"/>
        <v>0</v>
      </c>
      <c r="T103">
        <f t="shared" si="30"/>
        <v>0</v>
      </c>
      <c r="U103" t="b">
        <f>LOOKUP($C103,Table3[Sample Name],Table3[Positive])</f>
        <v>1</v>
      </c>
      <c r="V103" t="b">
        <f>LOOKUP($C103,Table3[Sample Name],Table3[Disseminated])</f>
        <v>1</v>
      </c>
      <c r="W103">
        <f t="shared" si="31"/>
        <v>0</v>
      </c>
      <c r="AL103" s="134">
        <v>96</v>
      </c>
      <c r="AM103" s="127">
        <v>0</v>
      </c>
      <c r="AN103" s="43"/>
      <c r="AO103" s="43"/>
      <c r="AP103" s="128"/>
      <c r="AQ103">
        <f t="shared" si="41"/>
        <v>0</v>
      </c>
      <c r="AR103">
        <f t="shared" si="42"/>
        <v>0</v>
      </c>
      <c r="AT103" s="127">
        <f t="shared" si="32"/>
        <v>0</v>
      </c>
      <c r="AU103" s="43" t="str">
        <f t="shared" si="33"/>
        <v/>
      </c>
      <c r="AV103" s="43" t="str">
        <f t="shared" si="34"/>
        <v/>
      </c>
      <c r="AW103" s="128" t="str">
        <f t="shared" si="35"/>
        <v/>
      </c>
      <c r="AX103" s="153">
        <f t="shared" si="43"/>
        <v>0</v>
      </c>
      <c r="AY103" s="127">
        <f t="shared" si="36"/>
        <v>0</v>
      </c>
      <c r="AZ103" s="43" t="str">
        <f t="shared" si="37"/>
        <v/>
      </c>
      <c r="BA103" s="43" t="str">
        <f t="shared" si="38"/>
        <v/>
      </c>
      <c r="BB103" s="43" t="str">
        <f t="shared" si="39"/>
        <v/>
      </c>
      <c r="BC103" s="128" t="str">
        <f t="shared" si="40"/>
        <v/>
      </c>
      <c r="BD103" s="153">
        <f t="shared" si="44"/>
        <v>0</v>
      </c>
      <c r="BF103">
        <f t="shared" si="45"/>
        <v>0</v>
      </c>
    </row>
    <row r="104" spans="3:58" x14ac:dyDescent="0.25">
      <c r="C104" s="44">
        <v>97</v>
      </c>
      <c r="D104" s="149"/>
      <c r="E104" s="149"/>
      <c r="F104">
        <v>0</v>
      </c>
      <c r="K104">
        <v>28</v>
      </c>
      <c r="S104" s="127">
        <f t="shared" ref="S104:S128" si="46">SUM(D104:R104)</f>
        <v>28</v>
      </c>
      <c r="T104">
        <f t="shared" ref="T104:T127" si="47">COUNTIF(D104:R104,"&gt;"&amp;0)</f>
        <v>1</v>
      </c>
      <c r="U104" t="b">
        <f>LOOKUP($C104,Table3[Sample Name],Table3[Positive])</f>
        <v>1</v>
      </c>
      <c r="V104" t="b">
        <f>LOOKUP($C104,Table3[Sample Name],Table3[Disseminated])</f>
        <v>1</v>
      </c>
      <c r="W104">
        <f t="shared" ref="W104:W127" si="48">IFERROR(LARGE(D104:R104,1),0)</f>
        <v>28</v>
      </c>
      <c r="AL104" s="134">
        <v>97</v>
      </c>
      <c r="AM104" s="127">
        <v>28</v>
      </c>
      <c r="AN104" s="43"/>
      <c r="AO104" s="43"/>
      <c r="AP104" s="128"/>
      <c r="AQ104">
        <f t="shared" si="41"/>
        <v>1</v>
      </c>
      <c r="AR104">
        <f t="shared" si="42"/>
        <v>28</v>
      </c>
      <c r="AT104" s="127">
        <f t="shared" ref="AT104:AT127" si="49">IFERROR(SMALL($AM104:$AP104,COLUMN(A:A)),"")</f>
        <v>28</v>
      </c>
      <c r="AU104" s="43" t="str">
        <f t="shared" ref="AU104:AU127" si="50">IFERROR(SMALL($AM104:$AP104,COLUMN(B:B)),"")</f>
        <v/>
      </c>
      <c r="AV104" s="43" t="str">
        <f t="shared" ref="AV104:AV127" si="51">IFERROR(SMALL($AM104:$AP104,COLUMN(C:C)),"")</f>
        <v/>
      </c>
      <c r="AW104" s="128" t="str">
        <f t="shared" ref="AW104:AW127" si="52">IFERROR(SMALL($AM104:$AP104,COLUMN(D:D)),"")</f>
        <v/>
      </c>
      <c r="AX104" s="153">
        <f t="shared" si="43"/>
        <v>28</v>
      </c>
      <c r="AY104" s="127">
        <f t="shared" ref="AY104:AY127" si="53">IFERROR(SMALL($D104:$R104,COLUMN(A:A)),"")</f>
        <v>0</v>
      </c>
      <c r="AZ104" s="43">
        <f t="shared" ref="AZ104:AZ127" si="54">IFERROR(SMALL($D104:$R104,COLUMN(B:B)),"")</f>
        <v>28</v>
      </c>
      <c r="BA104" s="43" t="str">
        <f t="shared" ref="BA104:BA127" si="55">IFERROR(SMALL($D104:$R104,COLUMN(C:C)),"")</f>
        <v/>
      </c>
      <c r="BB104" s="43" t="str">
        <f t="shared" ref="BB104:BB127" si="56">IFERROR(SMALL($D104:$R104,COLUMN(D:D)),"")</f>
        <v/>
      </c>
      <c r="BC104" s="128" t="str">
        <f t="shared" ref="BC104:BC127" si="57">IFERROR(SMALL($D104:$R104,COLUMN(E:E)),"")</f>
        <v/>
      </c>
      <c r="BD104" s="153">
        <f t="shared" si="44"/>
        <v>28</v>
      </c>
      <c r="BF104">
        <f t="shared" si="45"/>
        <v>0</v>
      </c>
    </row>
    <row r="105" spans="3:58" x14ac:dyDescent="0.25">
      <c r="C105" s="44">
        <v>98</v>
      </c>
      <c r="D105" s="149"/>
      <c r="E105" s="149"/>
      <c r="F105">
        <v>4</v>
      </c>
      <c r="G105">
        <v>10</v>
      </c>
      <c r="S105" s="127">
        <f t="shared" si="46"/>
        <v>14</v>
      </c>
      <c r="T105">
        <f t="shared" si="47"/>
        <v>2</v>
      </c>
      <c r="U105" t="b">
        <f>LOOKUP($C105,Table3[Sample Name],Table3[Positive])</f>
        <v>1</v>
      </c>
      <c r="V105" t="b">
        <f>LOOKUP($C105,Table3[Sample Name],Table3[Disseminated])</f>
        <v>1</v>
      </c>
      <c r="W105">
        <f t="shared" si="48"/>
        <v>10</v>
      </c>
      <c r="AL105" s="134">
        <v>98</v>
      </c>
      <c r="AM105" s="127">
        <v>4</v>
      </c>
      <c r="AN105" s="43">
        <v>10</v>
      </c>
      <c r="AO105" s="43"/>
      <c r="AP105" s="128"/>
      <c r="AQ105">
        <f t="shared" si="41"/>
        <v>2</v>
      </c>
      <c r="AR105">
        <f t="shared" si="42"/>
        <v>14</v>
      </c>
      <c r="AT105" s="127">
        <f t="shared" si="49"/>
        <v>4</v>
      </c>
      <c r="AU105" s="43">
        <f t="shared" si="50"/>
        <v>10</v>
      </c>
      <c r="AV105" s="43" t="str">
        <f t="shared" si="51"/>
        <v/>
      </c>
      <c r="AW105" s="128" t="str">
        <f t="shared" si="52"/>
        <v/>
      </c>
      <c r="AX105" s="153">
        <f t="shared" si="43"/>
        <v>14</v>
      </c>
      <c r="AY105" s="127">
        <f t="shared" si="53"/>
        <v>4</v>
      </c>
      <c r="AZ105" s="43">
        <f t="shared" si="54"/>
        <v>10</v>
      </c>
      <c r="BA105" s="43" t="str">
        <f t="shared" si="55"/>
        <v/>
      </c>
      <c r="BB105" s="43" t="str">
        <f t="shared" si="56"/>
        <v/>
      </c>
      <c r="BC105" s="128" t="str">
        <f t="shared" si="57"/>
        <v/>
      </c>
      <c r="BD105" s="153">
        <f t="shared" si="44"/>
        <v>14</v>
      </c>
      <c r="BF105">
        <f t="shared" si="45"/>
        <v>0</v>
      </c>
    </row>
    <row r="106" spans="3:58" x14ac:dyDescent="0.25">
      <c r="C106" s="44">
        <v>99</v>
      </c>
      <c r="D106" s="149"/>
      <c r="E106" s="149"/>
      <c r="S106" s="127">
        <f t="shared" si="46"/>
        <v>0</v>
      </c>
      <c r="T106">
        <f t="shared" si="47"/>
        <v>0</v>
      </c>
      <c r="U106" t="b">
        <f>LOOKUP($C106,Table3[Sample Name],Table3[Positive])</f>
        <v>1</v>
      </c>
      <c r="V106" t="b">
        <f>LOOKUP($C106,Table3[Sample Name],Table3[Disseminated])</f>
        <v>0</v>
      </c>
      <c r="W106">
        <f t="shared" si="48"/>
        <v>0</v>
      </c>
      <c r="AL106" s="134">
        <v>99</v>
      </c>
      <c r="AM106" s="127">
        <v>0</v>
      </c>
      <c r="AN106" s="43"/>
      <c r="AO106" s="43"/>
      <c r="AP106" s="128"/>
      <c r="AQ106">
        <f t="shared" si="41"/>
        <v>0</v>
      </c>
      <c r="AR106">
        <f t="shared" si="42"/>
        <v>0</v>
      </c>
      <c r="AT106" s="127">
        <f t="shared" si="49"/>
        <v>0</v>
      </c>
      <c r="AU106" s="43" t="str">
        <f t="shared" si="50"/>
        <v/>
      </c>
      <c r="AV106" s="43" t="str">
        <f t="shared" si="51"/>
        <v/>
      </c>
      <c r="AW106" s="128" t="str">
        <f t="shared" si="52"/>
        <v/>
      </c>
      <c r="AX106" s="153">
        <f t="shared" si="43"/>
        <v>0</v>
      </c>
      <c r="AY106" s="127" t="str">
        <f t="shared" si="53"/>
        <v/>
      </c>
      <c r="AZ106" s="43" t="str">
        <f t="shared" si="54"/>
        <v/>
      </c>
      <c r="BA106" s="43" t="str">
        <f t="shared" si="55"/>
        <v/>
      </c>
      <c r="BB106" s="43" t="str">
        <f t="shared" si="56"/>
        <v/>
      </c>
      <c r="BC106" s="128" t="str">
        <f t="shared" si="57"/>
        <v/>
      </c>
      <c r="BD106" s="153">
        <f t="shared" si="44"/>
        <v>0</v>
      </c>
      <c r="BF106">
        <f t="shared" si="45"/>
        <v>0</v>
      </c>
    </row>
    <row r="107" spans="3:58" x14ac:dyDescent="0.25">
      <c r="C107" s="44">
        <v>100</v>
      </c>
      <c r="D107" s="149"/>
      <c r="E107" s="149"/>
      <c r="F107">
        <v>0</v>
      </c>
      <c r="S107" s="127">
        <f t="shared" si="46"/>
        <v>0</v>
      </c>
      <c r="T107">
        <f t="shared" si="47"/>
        <v>0</v>
      </c>
      <c r="U107" t="b">
        <f>LOOKUP($C107,Table3[Sample Name],Table3[Positive])</f>
        <v>1</v>
      </c>
      <c r="V107" t="b">
        <f>LOOKUP($C107,Table3[Sample Name],Table3[Disseminated])</f>
        <v>1</v>
      </c>
      <c r="W107">
        <f t="shared" si="48"/>
        <v>0</v>
      </c>
      <c r="AL107" s="134">
        <v>100</v>
      </c>
      <c r="AM107" s="127">
        <v>0</v>
      </c>
      <c r="AN107" s="43"/>
      <c r="AO107" s="43"/>
      <c r="AP107" s="128"/>
      <c r="AQ107">
        <f t="shared" si="41"/>
        <v>0</v>
      </c>
      <c r="AR107">
        <f t="shared" si="42"/>
        <v>0</v>
      </c>
      <c r="AT107" s="127">
        <f t="shared" si="49"/>
        <v>0</v>
      </c>
      <c r="AU107" s="43" t="str">
        <f t="shared" si="50"/>
        <v/>
      </c>
      <c r="AV107" s="43" t="str">
        <f t="shared" si="51"/>
        <v/>
      </c>
      <c r="AW107" s="128" t="str">
        <f t="shared" si="52"/>
        <v/>
      </c>
      <c r="AX107" s="153">
        <f t="shared" si="43"/>
        <v>0</v>
      </c>
      <c r="AY107" s="127">
        <f t="shared" si="53"/>
        <v>0</v>
      </c>
      <c r="AZ107" s="43" t="str">
        <f t="shared" si="54"/>
        <v/>
      </c>
      <c r="BA107" s="43" t="str">
        <f t="shared" si="55"/>
        <v/>
      </c>
      <c r="BB107" s="43" t="str">
        <f t="shared" si="56"/>
        <v/>
      </c>
      <c r="BC107" s="128" t="str">
        <f t="shared" si="57"/>
        <v/>
      </c>
      <c r="BD107" s="153">
        <f t="shared" si="44"/>
        <v>0</v>
      </c>
      <c r="BF107">
        <f t="shared" si="45"/>
        <v>0</v>
      </c>
    </row>
    <row r="108" spans="3:58" x14ac:dyDescent="0.25">
      <c r="C108" s="44">
        <v>101</v>
      </c>
      <c r="D108" s="149"/>
      <c r="E108" s="149"/>
      <c r="H108">
        <v>21</v>
      </c>
      <c r="S108" s="127">
        <f t="shared" si="46"/>
        <v>21</v>
      </c>
      <c r="T108">
        <f t="shared" si="47"/>
        <v>1</v>
      </c>
      <c r="U108" t="b">
        <f>LOOKUP($C108,Table3[Sample Name],Table3[Positive])</f>
        <v>1</v>
      </c>
      <c r="V108" t="b">
        <f>LOOKUP($C108,Table3[Sample Name],Table3[Disseminated])</f>
        <v>0</v>
      </c>
      <c r="W108">
        <f t="shared" si="48"/>
        <v>21</v>
      </c>
      <c r="AL108" s="134">
        <v>101</v>
      </c>
      <c r="AM108" s="127">
        <v>21</v>
      </c>
      <c r="AN108" s="43"/>
      <c r="AO108" s="43"/>
      <c r="AP108" s="128"/>
      <c r="AQ108">
        <f t="shared" si="41"/>
        <v>1</v>
      </c>
      <c r="AR108">
        <f t="shared" si="42"/>
        <v>21</v>
      </c>
      <c r="AT108" s="127">
        <f t="shared" si="49"/>
        <v>21</v>
      </c>
      <c r="AU108" s="43" t="str">
        <f t="shared" si="50"/>
        <v/>
      </c>
      <c r="AV108" s="43" t="str">
        <f t="shared" si="51"/>
        <v/>
      </c>
      <c r="AW108" s="128" t="str">
        <f t="shared" si="52"/>
        <v/>
      </c>
      <c r="AX108" s="153">
        <f t="shared" si="43"/>
        <v>21</v>
      </c>
      <c r="AY108" s="127">
        <f t="shared" si="53"/>
        <v>21</v>
      </c>
      <c r="AZ108" s="43" t="str">
        <f t="shared" si="54"/>
        <v/>
      </c>
      <c r="BA108" s="43" t="str">
        <f t="shared" si="55"/>
        <v/>
      </c>
      <c r="BB108" s="43" t="str">
        <f t="shared" si="56"/>
        <v/>
      </c>
      <c r="BC108" s="128" t="str">
        <f t="shared" si="57"/>
        <v/>
      </c>
      <c r="BD108" s="153">
        <f t="shared" si="44"/>
        <v>21</v>
      </c>
      <c r="BF108">
        <f t="shared" si="45"/>
        <v>0</v>
      </c>
    </row>
    <row r="109" spans="3:58" x14ac:dyDescent="0.25">
      <c r="C109" s="44">
        <v>102</v>
      </c>
      <c r="D109" s="149"/>
      <c r="E109" s="149"/>
      <c r="F109">
        <v>33</v>
      </c>
      <c r="I109">
        <v>5</v>
      </c>
      <c r="J109">
        <v>0</v>
      </c>
      <c r="K109">
        <v>0</v>
      </c>
      <c r="S109" s="127">
        <f t="shared" si="46"/>
        <v>38</v>
      </c>
      <c r="T109">
        <f t="shared" si="47"/>
        <v>2</v>
      </c>
      <c r="U109" t="b">
        <f>LOOKUP($C109,Table3[Sample Name],Table3[Positive])</f>
        <v>1</v>
      </c>
      <c r="V109" t="b">
        <f>LOOKUP($C109,Table3[Sample Name],Table3[Disseminated])</f>
        <v>1</v>
      </c>
      <c r="W109">
        <f t="shared" si="48"/>
        <v>33</v>
      </c>
      <c r="AL109" s="134">
        <v>102</v>
      </c>
      <c r="AM109" s="127">
        <v>33</v>
      </c>
      <c r="AN109" s="43">
        <v>5</v>
      </c>
      <c r="AO109" s="43"/>
      <c r="AP109" s="128"/>
      <c r="AQ109">
        <f t="shared" si="41"/>
        <v>2</v>
      </c>
      <c r="AR109">
        <f t="shared" si="42"/>
        <v>38</v>
      </c>
      <c r="AT109" s="127">
        <f t="shared" si="49"/>
        <v>5</v>
      </c>
      <c r="AU109" s="43">
        <f t="shared" si="50"/>
        <v>33</v>
      </c>
      <c r="AV109" s="43" t="str">
        <f t="shared" si="51"/>
        <v/>
      </c>
      <c r="AW109" s="128" t="str">
        <f t="shared" si="52"/>
        <v/>
      </c>
      <c r="AX109" s="153">
        <f t="shared" si="43"/>
        <v>38</v>
      </c>
      <c r="AY109" s="127">
        <f t="shared" si="53"/>
        <v>0</v>
      </c>
      <c r="AZ109" s="43">
        <f t="shared" si="54"/>
        <v>0</v>
      </c>
      <c r="BA109" s="43">
        <f t="shared" si="55"/>
        <v>5</v>
      </c>
      <c r="BB109" s="43">
        <f t="shared" si="56"/>
        <v>33</v>
      </c>
      <c r="BC109" s="128" t="str">
        <f t="shared" si="57"/>
        <v/>
      </c>
      <c r="BD109" s="153">
        <f t="shared" si="44"/>
        <v>38</v>
      </c>
      <c r="BF109">
        <f t="shared" si="45"/>
        <v>0</v>
      </c>
    </row>
    <row r="110" spans="3:58" x14ac:dyDescent="0.25">
      <c r="C110" s="44">
        <v>103</v>
      </c>
      <c r="D110" s="149"/>
      <c r="E110" s="149"/>
      <c r="F110">
        <v>1</v>
      </c>
      <c r="I110">
        <v>2</v>
      </c>
      <c r="S110" s="127">
        <f t="shared" si="46"/>
        <v>3</v>
      </c>
      <c r="T110">
        <f t="shared" si="47"/>
        <v>2</v>
      </c>
      <c r="U110" t="b">
        <f>LOOKUP($C110,Table3[Sample Name],Table3[Positive])</f>
        <v>1</v>
      </c>
      <c r="V110" t="b">
        <f>LOOKUP($C110,Table3[Sample Name],Table3[Disseminated])</f>
        <v>0</v>
      </c>
      <c r="W110">
        <f t="shared" si="48"/>
        <v>2</v>
      </c>
      <c r="AL110" s="134">
        <v>103</v>
      </c>
      <c r="AM110" s="127">
        <v>1</v>
      </c>
      <c r="AN110" s="43">
        <v>2</v>
      </c>
      <c r="AO110" s="43"/>
      <c r="AP110" s="128"/>
      <c r="AQ110">
        <f t="shared" si="41"/>
        <v>2</v>
      </c>
      <c r="AR110">
        <f t="shared" si="42"/>
        <v>3</v>
      </c>
      <c r="AT110" s="127">
        <f t="shared" si="49"/>
        <v>1</v>
      </c>
      <c r="AU110" s="43">
        <f t="shared" si="50"/>
        <v>2</v>
      </c>
      <c r="AV110" s="43" t="str">
        <f t="shared" si="51"/>
        <v/>
      </c>
      <c r="AW110" s="128" t="str">
        <f t="shared" si="52"/>
        <v/>
      </c>
      <c r="AX110" s="153">
        <f t="shared" si="43"/>
        <v>3</v>
      </c>
      <c r="AY110" s="127">
        <f t="shared" si="53"/>
        <v>1</v>
      </c>
      <c r="AZ110" s="43">
        <f t="shared" si="54"/>
        <v>2</v>
      </c>
      <c r="BA110" s="43" t="str">
        <f t="shared" si="55"/>
        <v/>
      </c>
      <c r="BB110" s="43" t="str">
        <f t="shared" si="56"/>
        <v/>
      </c>
      <c r="BC110" s="128" t="str">
        <f t="shared" si="57"/>
        <v/>
      </c>
      <c r="BD110" s="153">
        <f t="shared" si="44"/>
        <v>3</v>
      </c>
      <c r="BF110">
        <f t="shared" si="45"/>
        <v>0</v>
      </c>
    </row>
    <row r="111" spans="3:58" x14ac:dyDescent="0.25">
      <c r="C111" s="44">
        <v>104</v>
      </c>
      <c r="D111" s="149"/>
      <c r="E111" s="149"/>
      <c r="F111">
        <v>0</v>
      </c>
      <c r="K111">
        <v>0</v>
      </c>
      <c r="S111" s="127">
        <f t="shared" si="46"/>
        <v>0</v>
      </c>
      <c r="T111">
        <f t="shared" si="47"/>
        <v>0</v>
      </c>
      <c r="U111" t="b">
        <f>LOOKUP($C111,Table3[Sample Name],Table3[Positive])</f>
        <v>1</v>
      </c>
      <c r="V111" t="b">
        <f>LOOKUP($C111,Table3[Sample Name],Table3[Disseminated])</f>
        <v>1</v>
      </c>
      <c r="W111">
        <f t="shared" si="48"/>
        <v>0</v>
      </c>
      <c r="AL111" s="134">
        <v>104</v>
      </c>
      <c r="AM111" s="127">
        <v>0</v>
      </c>
      <c r="AN111" s="43"/>
      <c r="AO111" s="43"/>
      <c r="AP111" s="128"/>
      <c r="AQ111">
        <f t="shared" si="41"/>
        <v>0</v>
      </c>
      <c r="AR111">
        <f t="shared" si="42"/>
        <v>0</v>
      </c>
      <c r="AT111" s="127">
        <f t="shared" si="49"/>
        <v>0</v>
      </c>
      <c r="AU111" s="43" t="str">
        <f t="shared" si="50"/>
        <v/>
      </c>
      <c r="AV111" s="43" t="str">
        <f t="shared" si="51"/>
        <v/>
      </c>
      <c r="AW111" s="128" t="str">
        <f t="shared" si="52"/>
        <v/>
      </c>
      <c r="AX111" s="153">
        <f t="shared" si="43"/>
        <v>0</v>
      </c>
      <c r="AY111" s="127">
        <f t="shared" si="53"/>
        <v>0</v>
      </c>
      <c r="AZ111" s="43">
        <f t="shared" si="54"/>
        <v>0</v>
      </c>
      <c r="BA111" s="43" t="str">
        <f t="shared" si="55"/>
        <v/>
      </c>
      <c r="BB111" s="43" t="str">
        <f t="shared" si="56"/>
        <v/>
      </c>
      <c r="BC111" s="128" t="str">
        <f t="shared" si="57"/>
        <v/>
      </c>
      <c r="BD111" s="153">
        <f t="shared" si="44"/>
        <v>0</v>
      </c>
      <c r="BF111">
        <f t="shared" si="45"/>
        <v>0</v>
      </c>
    </row>
    <row r="112" spans="3:58" x14ac:dyDescent="0.25">
      <c r="C112" s="44">
        <v>105</v>
      </c>
      <c r="D112" s="149"/>
      <c r="E112" s="149"/>
      <c r="F112">
        <v>56</v>
      </c>
      <c r="S112" s="127">
        <f t="shared" si="46"/>
        <v>56</v>
      </c>
      <c r="T112">
        <f t="shared" si="47"/>
        <v>1</v>
      </c>
      <c r="U112" t="b">
        <f>LOOKUP($C112,Table3[Sample Name],Table3[Positive])</f>
        <v>1</v>
      </c>
      <c r="V112" t="b">
        <f>LOOKUP($C112,Table3[Sample Name],Table3[Disseminated])</f>
        <v>0</v>
      </c>
      <c r="W112">
        <f t="shared" si="48"/>
        <v>56</v>
      </c>
      <c r="AL112" s="134">
        <v>105</v>
      </c>
      <c r="AM112" s="127">
        <v>56</v>
      </c>
      <c r="AN112" s="43"/>
      <c r="AO112" s="43"/>
      <c r="AP112" s="128"/>
      <c r="AQ112">
        <f t="shared" si="41"/>
        <v>1</v>
      </c>
      <c r="AR112">
        <f t="shared" si="42"/>
        <v>56</v>
      </c>
      <c r="AT112" s="127">
        <f t="shared" si="49"/>
        <v>56</v>
      </c>
      <c r="AU112" s="43" t="str">
        <f t="shared" si="50"/>
        <v/>
      </c>
      <c r="AV112" s="43" t="str">
        <f t="shared" si="51"/>
        <v/>
      </c>
      <c r="AW112" s="128" t="str">
        <f t="shared" si="52"/>
        <v/>
      </c>
      <c r="AX112" s="153">
        <f t="shared" si="43"/>
        <v>56</v>
      </c>
      <c r="AY112" s="127">
        <f t="shared" si="53"/>
        <v>56</v>
      </c>
      <c r="AZ112" s="43" t="str">
        <f t="shared" si="54"/>
        <v/>
      </c>
      <c r="BA112" s="43" t="str">
        <f t="shared" si="55"/>
        <v/>
      </c>
      <c r="BB112" s="43" t="str">
        <f t="shared" si="56"/>
        <v/>
      </c>
      <c r="BC112" s="128" t="str">
        <f t="shared" si="57"/>
        <v/>
      </c>
      <c r="BD112" s="153">
        <f t="shared" si="44"/>
        <v>56</v>
      </c>
      <c r="BF112">
        <f t="shared" si="45"/>
        <v>0</v>
      </c>
    </row>
    <row r="113" spans="1:58" x14ac:dyDescent="0.25">
      <c r="C113" s="44">
        <v>106</v>
      </c>
      <c r="D113" s="149"/>
      <c r="E113" s="149"/>
      <c r="F113">
        <v>36</v>
      </c>
      <c r="S113" s="127">
        <f t="shared" si="46"/>
        <v>36</v>
      </c>
      <c r="T113">
        <f t="shared" si="47"/>
        <v>1</v>
      </c>
      <c r="U113" t="b">
        <f>LOOKUP($C113,Table3[Sample Name],Table3[Positive])</f>
        <v>1</v>
      </c>
      <c r="V113" t="b">
        <f>LOOKUP($C113,Table3[Sample Name],Table3[Disseminated])</f>
        <v>1</v>
      </c>
      <c r="W113">
        <f t="shared" si="48"/>
        <v>36</v>
      </c>
      <c r="AL113" s="134">
        <v>106</v>
      </c>
      <c r="AM113" s="127">
        <v>36</v>
      </c>
      <c r="AN113" s="43"/>
      <c r="AO113" s="43"/>
      <c r="AP113" s="128"/>
      <c r="AQ113">
        <f t="shared" si="41"/>
        <v>1</v>
      </c>
      <c r="AR113">
        <f t="shared" si="42"/>
        <v>36</v>
      </c>
      <c r="AT113" s="127">
        <f t="shared" si="49"/>
        <v>36</v>
      </c>
      <c r="AU113" s="43" t="str">
        <f t="shared" si="50"/>
        <v/>
      </c>
      <c r="AV113" s="43" t="str">
        <f t="shared" si="51"/>
        <v/>
      </c>
      <c r="AW113" s="128" t="str">
        <f t="shared" si="52"/>
        <v/>
      </c>
      <c r="AX113" s="153">
        <f t="shared" si="43"/>
        <v>36</v>
      </c>
      <c r="AY113" s="127">
        <f t="shared" si="53"/>
        <v>36</v>
      </c>
      <c r="AZ113" s="43" t="str">
        <f t="shared" si="54"/>
        <v/>
      </c>
      <c r="BA113" s="43" t="str">
        <f t="shared" si="55"/>
        <v/>
      </c>
      <c r="BB113" s="43" t="str">
        <f t="shared" si="56"/>
        <v/>
      </c>
      <c r="BC113" s="128" t="str">
        <f t="shared" si="57"/>
        <v/>
      </c>
      <c r="BD113" s="153">
        <f t="shared" si="44"/>
        <v>36</v>
      </c>
      <c r="BF113">
        <f t="shared" si="45"/>
        <v>0</v>
      </c>
    </row>
    <row r="114" spans="1:58" x14ac:dyDescent="0.25">
      <c r="C114" s="44">
        <v>107</v>
      </c>
      <c r="D114" s="149"/>
      <c r="E114" s="149"/>
      <c r="F114">
        <v>0</v>
      </c>
      <c r="K114">
        <v>2</v>
      </c>
      <c r="P114">
        <v>0</v>
      </c>
      <c r="S114" s="127">
        <f t="shared" si="46"/>
        <v>2</v>
      </c>
      <c r="T114">
        <f t="shared" si="47"/>
        <v>1</v>
      </c>
      <c r="U114" t="b">
        <f>LOOKUP($C114,Table3[Sample Name],Table3[Positive])</f>
        <v>1</v>
      </c>
      <c r="V114" t="b">
        <f>LOOKUP($C114,Table3[Sample Name],Table3[Disseminated])</f>
        <v>1</v>
      </c>
      <c r="W114">
        <f t="shared" si="48"/>
        <v>2</v>
      </c>
      <c r="AL114" s="134">
        <v>107</v>
      </c>
      <c r="AM114" s="127">
        <v>2</v>
      </c>
      <c r="AN114" s="43"/>
      <c r="AO114" s="43"/>
      <c r="AP114" s="128"/>
      <c r="AQ114">
        <f t="shared" si="41"/>
        <v>1</v>
      </c>
      <c r="AR114">
        <f t="shared" si="42"/>
        <v>2</v>
      </c>
      <c r="AT114" s="127">
        <f t="shared" si="49"/>
        <v>2</v>
      </c>
      <c r="AU114" s="43" t="str">
        <f t="shared" si="50"/>
        <v/>
      </c>
      <c r="AV114" s="43" t="str">
        <f t="shared" si="51"/>
        <v/>
      </c>
      <c r="AW114" s="128" t="str">
        <f t="shared" si="52"/>
        <v/>
      </c>
      <c r="AX114" s="153">
        <f t="shared" si="43"/>
        <v>2</v>
      </c>
      <c r="AY114" s="127">
        <f t="shared" si="53"/>
        <v>0</v>
      </c>
      <c r="AZ114" s="43">
        <f t="shared" si="54"/>
        <v>0</v>
      </c>
      <c r="BA114" s="43">
        <f t="shared" si="55"/>
        <v>2</v>
      </c>
      <c r="BB114" s="43" t="str">
        <f t="shared" si="56"/>
        <v/>
      </c>
      <c r="BC114" s="128" t="str">
        <f t="shared" si="57"/>
        <v/>
      </c>
      <c r="BD114" s="153">
        <f t="shared" si="44"/>
        <v>2</v>
      </c>
      <c r="BF114">
        <f t="shared" si="45"/>
        <v>0</v>
      </c>
    </row>
    <row r="115" spans="1:58" x14ac:dyDescent="0.25">
      <c r="C115" s="44">
        <v>108</v>
      </c>
      <c r="D115" s="149"/>
      <c r="E115" s="149"/>
      <c r="F115">
        <v>25</v>
      </c>
      <c r="K115">
        <v>78</v>
      </c>
      <c r="P115">
        <v>29</v>
      </c>
      <c r="R115">
        <v>5</v>
      </c>
      <c r="S115" s="127">
        <f t="shared" si="46"/>
        <v>137</v>
      </c>
      <c r="T115">
        <f t="shared" si="47"/>
        <v>4</v>
      </c>
      <c r="U115" t="b">
        <f>LOOKUP($C115,Table3[Sample Name],Table3[Positive])</f>
        <v>1</v>
      </c>
      <c r="V115" t="b">
        <f>LOOKUP($C115,Table3[Sample Name],Table3[Disseminated])</f>
        <v>0</v>
      </c>
      <c r="W115">
        <f t="shared" si="48"/>
        <v>78</v>
      </c>
      <c r="AL115" s="134">
        <v>108</v>
      </c>
      <c r="AM115" s="127">
        <v>5</v>
      </c>
      <c r="AN115" s="43">
        <v>25</v>
      </c>
      <c r="AO115" s="43">
        <v>78</v>
      </c>
      <c r="AP115" s="128">
        <v>29</v>
      </c>
      <c r="AQ115">
        <f t="shared" si="41"/>
        <v>4</v>
      </c>
      <c r="AR115">
        <f t="shared" si="42"/>
        <v>137</v>
      </c>
      <c r="AT115" s="127">
        <f t="shared" si="49"/>
        <v>5</v>
      </c>
      <c r="AU115" s="43">
        <f t="shared" si="50"/>
        <v>25</v>
      </c>
      <c r="AV115" s="43">
        <f t="shared" si="51"/>
        <v>29</v>
      </c>
      <c r="AW115" s="128">
        <f t="shared" si="52"/>
        <v>78</v>
      </c>
      <c r="AX115" s="153">
        <f t="shared" si="43"/>
        <v>137</v>
      </c>
      <c r="AY115" s="127">
        <f t="shared" si="53"/>
        <v>5</v>
      </c>
      <c r="AZ115" s="43">
        <f t="shared" si="54"/>
        <v>25</v>
      </c>
      <c r="BA115" s="43">
        <f t="shared" si="55"/>
        <v>29</v>
      </c>
      <c r="BB115" s="43">
        <f t="shared" si="56"/>
        <v>78</v>
      </c>
      <c r="BC115" s="128" t="str">
        <f t="shared" si="57"/>
        <v/>
      </c>
      <c r="BD115" s="153">
        <f t="shared" si="44"/>
        <v>137</v>
      </c>
      <c r="BF115">
        <f t="shared" si="45"/>
        <v>0</v>
      </c>
    </row>
    <row r="116" spans="1:58" x14ac:dyDescent="0.25">
      <c r="C116" s="44">
        <v>109</v>
      </c>
      <c r="D116" s="149"/>
      <c r="E116" s="149"/>
      <c r="F116">
        <v>0</v>
      </c>
      <c r="S116" s="127">
        <f t="shared" si="46"/>
        <v>0</v>
      </c>
      <c r="T116">
        <f t="shared" si="47"/>
        <v>0</v>
      </c>
      <c r="U116" t="b">
        <f>LOOKUP($C116,Table3[Sample Name],Table3[Positive])</f>
        <v>1</v>
      </c>
      <c r="V116" t="b">
        <f>LOOKUP($C116,Table3[Sample Name],Table3[Disseminated])</f>
        <v>1</v>
      </c>
      <c r="W116">
        <f t="shared" si="48"/>
        <v>0</v>
      </c>
      <c r="AL116" s="134">
        <v>109</v>
      </c>
      <c r="AM116" s="127">
        <v>0</v>
      </c>
      <c r="AN116" s="43"/>
      <c r="AO116" s="43"/>
      <c r="AP116" s="128"/>
      <c r="AQ116">
        <f t="shared" si="41"/>
        <v>0</v>
      </c>
      <c r="AR116">
        <f t="shared" si="42"/>
        <v>0</v>
      </c>
      <c r="AT116" s="127">
        <f t="shared" si="49"/>
        <v>0</v>
      </c>
      <c r="AU116" s="43" t="str">
        <f t="shared" si="50"/>
        <v/>
      </c>
      <c r="AV116" s="43" t="str">
        <f t="shared" si="51"/>
        <v/>
      </c>
      <c r="AW116" s="128" t="str">
        <f t="shared" si="52"/>
        <v/>
      </c>
      <c r="AX116" s="153">
        <f t="shared" si="43"/>
        <v>0</v>
      </c>
      <c r="AY116" s="127">
        <f t="shared" si="53"/>
        <v>0</v>
      </c>
      <c r="AZ116" s="43" t="str">
        <f t="shared" si="54"/>
        <v/>
      </c>
      <c r="BA116" s="43" t="str">
        <f t="shared" si="55"/>
        <v/>
      </c>
      <c r="BB116" s="43" t="str">
        <f t="shared" si="56"/>
        <v/>
      </c>
      <c r="BC116" s="128" t="str">
        <f t="shared" si="57"/>
        <v/>
      </c>
      <c r="BD116" s="153">
        <f t="shared" si="44"/>
        <v>0</v>
      </c>
      <c r="BF116">
        <f t="shared" si="45"/>
        <v>0</v>
      </c>
    </row>
    <row r="117" spans="1:58" x14ac:dyDescent="0.25">
      <c r="C117" s="44">
        <v>110</v>
      </c>
      <c r="D117" s="149"/>
      <c r="E117" s="149"/>
      <c r="F117">
        <v>7</v>
      </c>
      <c r="K117">
        <v>1</v>
      </c>
      <c r="O117">
        <v>4</v>
      </c>
      <c r="P117">
        <v>22</v>
      </c>
      <c r="S117" s="127">
        <f t="shared" si="46"/>
        <v>34</v>
      </c>
      <c r="T117">
        <f t="shared" si="47"/>
        <v>4</v>
      </c>
      <c r="U117" t="b">
        <f>LOOKUP($C117,Table3[Sample Name],Table3[Positive])</f>
        <v>1</v>
      </c>
      <c r="V117" t="b">
        <f>LOOKUP($C117,Table3[Sample Name],Table3[Disseminated])</f>
        <v>1</v>
      </c>
      <c r="W117">
        <f t="shared" si="48"/>
        <v>22</v>
      </c>
      <c r="AL117" s="134">
        <v>110</v>
      </c>
      <c r="AM117" s="127">
        <v>7</v>
      </c>
      <c r="AN117" s="43">
        <v>1</v>
      </c>
      <c r="AO117" s="43">
        <v>4</v>
      </c>
      <c r="AP117" s="128">
        <v>22</v>
      </c>
      <c r="AQ117">
        <f t="shared" si="41"/>
        <v>4</v>
      </c>
      <c r="AR117">
        <f t="shared" si="42"/>
        <v>34</v>
      </c>
      <c r="AT117" s="127">
        <f t="shared" si="49"/>
        <v>1</v>
      </c>
      <c r="AU117" s="43">
        <f t="shared" si="50"/>
        <v>4</v>
      </c>
      <c r="AV117" s="43">
        <f t="shared" si="51"/>
        <v>7</v>
      </c>
      <c r="AW117" s="128">
        <f t="shared" si="52"/>
        <v>22</v>
      </c>
      <c r="AX117" s="153">
        <f t="shared" si="43"/>
        <v>34</v>
      </c>
      <c r="AY117" s="127">
        <f t="shared" si="53"/>
        <v>1</v>
      </c>
      <c r="AZ117" s="43">
        <f t="shared" si="54"/>
        <v>4</v>
      </c>
      <c r="BA117" s="43">
        <f t="shared" si="55"/>
        <v>7</v>
      </c>
      <c r="BB117" s="43">
        <f t="shared" si="56"/>
        <v>22</v>
      </c>
      <c r="BC117" s="128" t="str">
        <f t="shared" si="57"/>
        <v/>
      </c>
      <c r="BD117" s="153">
        <f t="shared" si="44"/>
        <v>34</v>
      </c>
      <c r="BF117">
        <f t="shared" si="45"/>
        <v>0</v>
      </c>
    </row>
    <row r="118" spans="1:58" x14ac:dyDescent="0.25">
      <c r="C118" s="44">
        <v>111</v>
      </c>
      <c r="D118" s="149"/>
      <c r="E118" s="149"/>
      <c r="F118">
        <v>0</v>
      </c>
      <c r="S118" s="127">
        <f t="shared" si="46"/>
        <v>0</v>
      </c>
      <c r="T118">
        <f t="shared" si="47"/>
        <v>0</v>
      </c>
      <c r="U118" t="b">
        <f>LOOKUP($C118,Table3[Sample Name],Table3[Positive])</f>
        <v>1</v>
      </c>
      <c r="V118" t="b">
        <f>LOOKUP($C118,Table3[Sample Name],Table3[Disseminated])</f>
        <v>1</v>
      </c>
      <c r="W118">
        <f t="shared" si="48"/>
        <v>0</v>
      </c>
      <c r="AL118" s="134">
        <v>111</v>
      </c>
      <c r="AM118" s="127">
        <v>0</v>
      </c>
      <c r="AN118" s="43"/>
      <c r="AO118" s="43"/>
      <c r="AP118" s="128"/>
      <c r="AQ118">
        <f t="shared" si="41"/>
        <v>0</v>
      </c>
      <c r="AR118">
        <f t="shared" si="42"/>
        <v>0</v>
      </c>
      <c r="AT118" s="127">
        <f t="shared" si="49"/>
        <v>0</v>
      </c>
      <c r="AU118" s="43" t="str">
        <f t="shared" si="50"/>
        <v/>
      </c>
      <c r="AV118" s="43" t="str">
        <f t="shared" si="51"/>
        <v/>
      </c>
      <c r="AW118" s="128" t="str">
        <f t="shared" si="52"/>
        <v/>
      </c>
      <c r="AX118" s="153">
        <f t="shared" si="43"/>
        <v>0</v>
      </c>
      <c r="AY118" s="127">
        <f t="shared" si="53"/>
        <v>0</v>
      </c>
      <c r="AZ118" s="43" t="str">
        <f t="shared" si="54"/>
        <v/>
      </c>
      <c r="BA118" s="43" t="str">
        <f t="shared" si="55"/>
        <v/>
      </c>
      <c r="BB118" s="43" t="str">
        <f t="shared" si="56"/>
        <v/>
      </c>
      <c r="BC118" s="128" t="str">
        <f t="shared" si="57"/>
        <v/>
      </c>
      <c r="BD118" s="153">
        <f t="shared" si="44"/>
        <v>0</v>
      </c>
      <c r="BF118">
        <f t="shared" si="45"/>
        <v>0</v>
      </c>
    </row>
    <row r="119" spans="1:58" x14ac:dyDescent="0.25">
      <c r="C119" s="44">
        <v>112</v>
      </c>
      <c r="D119" s="149"/>
      <c r="E119" s="149"/>
      <c r="K119">
        <v>12</v>
      </c>
      <c r="S119" s="127">
        <f t="shared" si="46"/>
        <v>12</v>
      </c>
      <c r="T119">
        <f t="shared" si="47"/>
        <v>1</v>
      </c>
      <c r="U119" t="b">
        <f>LOOKUP($C119,Table3[Sample Name],Table3[Positive])</f>
        <v>1</v>
      </c>
      <c r="V119" t="b">
        <f>LOOKUP($C119,Table3[Sample Name],Table3[Disseminated])</f>
        <v>1</v>
      </c>
      <c r="W119">
        <f t="shared" si="48"/>
        <v>12</v>
      </c>
      <c r="AL119" s="134">
        <v>112</v>
      </c>
      <c r="AM119" s="127">
        <v>12</v>
      </c>
      <c r="AN119" s="43"/>
      <c r="AO119" s="43"/>
      <c r="AP119" s="128"/>
      <c r="AQ119">
        <f t="shared" si="41"/>
        <v>1</v>
      </c>
      <c r="AR119">
        <f t="shared" si="42"/>
        <v>12</v>
      </c>
      <c r="AT119" s="127">
        <f t="shared" si="49"/>
        <v>12</v>
      </c>
      <c r="AU119" s="43" t="str">
        <f t="shared" si="50"/>
        <v/>
      </c>
      <c r="AV119" s="43" t="str">
        <f t="shared" si="51"/>
        <v/>
      </c>
      <c r="AW119" s="128" t="str">
        <f t="shared" si="52"/>
        <v/>
      </c>
      <c r="AX119" s="153">
        <f t="shared" si="43"/>
        <v>12</v>
      </c>
      <c r="AY119" s="127">
        <f t="shared" si="53"/>
        <v>12</v>
      </c>
      <c r="AZ119" s="43" t="str">
        <f t="shared" si="54"/>
        <v/>
      </c>
      <c r="BA119" s="43" t="str">
        <f t="shared" si="55"/>
        <v/>
      </c>
      <c r="BB119" s="43" t="str">
        <f t="shared" si="56"/>
        <v/>
      </c>
      <c r="BC119" s="128" t="str">
        <f t="shared" si="57"/>
        <v/>
      </c>
      <c r="BD119" s="153">
        <f t="shared" si="44"/>
        <v>12</v>
      </c>
      <c r="BF119">
        <f t="shared" si="45"/>
        <v>0</v>
      </c>
    </row>
    <row r="120" spans="1:58" x14ac:dyDescent="0.25">
      <c r="C120" s="44">
        <v>113</v>
      </c>
      <c r="D120" s="149"/>
      <c r="E120" s="149"/>
      <c r="S120" s="127">
        <f t="shared" si="46"/>
        <v>0</v>
      </c>
      <c r="T120">
        <f t="shared" si="47"/>
        <v>0</v>
      </c>
      <c r="U120" t="b">
        <f>LOOKUP($C120,Table3[Sample Name],Table3[Positive])</f>
        <v>1</v>
      </c>
      <c r="V120" t="b">
        <f>LOOKUP($C120,Table3[Sample Name],Table3[Disseminated])</f>
        <v>0</v>
      </c>
      <c r="W120">
        <f t="shared" si="48"/>
        <v>0</v>
      </c>
      <c r="AL120" s="134">
        <v>113</v>
      </c>
      <c r="AM120" s="127">
        <v>0</v>
      </c>
      <c r="AN120" s="43"/>
      <c r="AO120" s="43"/>
      <c r="AP120" s="128"/>
      <c r="AQ120">
        <f t="shared" si="41"/>
        <v>0</v>
      </c>
      <c r="AR120">
        <f t="shared" si="42"/>
        <v>0</v>
      </c>
      <c r="AT120" s="127">
        <f t="shared" si="49"/>
        <v>0</v>
      </c>
      <c r="AU120" s="43" t="str">
        <f t="shared" si="50"/>
        <v/>
      </c>
      <c r="AV120" s="43" t="str">
        <f t="shared" si="51"/>
        <v/>
      </c>
      <c r="AW120" s="128" t="str">
        <f t="shared" si="52"/>
        <v/>
      </c>
      <c r="AX120" s="153">
        <f t="shared" si="43"/>
        <v>0</v>
      </c>
      <c r="AY120" s="127" t="str">
        <f t="shared" si="53"/>
        <v/>
      </c>
      <c r="AZ120" s="43" t="str">
        <f t="shared" si="54"/>
        <v/>
      </c>
      <c r="BA120" s="43" t="str">
        <f t="shared" si="55"/>
        <v/>
      </c>
      <c r="BB120" s="43" t="str">
        <f t="shared" si="56"/>
        <v/>
      </c>
      <c r="BC120" s="128" t="str">
        <f t="shared" si="57"/>
        <v/>
      </c>
      <c r="BD120" s="153">
        <f t="shared" si="44"/>
        <v>0</v>
      </c>
      <c r="BF120">
        <f t="shared" si="45"/>
        <v>0</v>
      </c>
    </row>
    <row r="121" spans="1:58" x14ac:dyDescent="0.25">
      <c r="C121" s="44">
        <v>114</v>
      </c>
      <c r="D121" s="149"/>
      <c r="E121" s="149"/>
      <c r="S121" s="127">
        <f t="shared" si="46"/>
        <v>0</v>
      </c>
      <c r="T121">
        <f t="shared" si="47"/>
        <v>0</v>
      </c>
      <c r="U121" t="b">
        <f>LOOKUP($C121,Table3[Sample Name],Table3[Positive])</f>
        <v>1</v>
      </c>
      <c r="V121" t="b">
        <f>LOOKUP($C121,Table3[Sample Name],Table3[Disseminated])</f>
        <v>0</v>
      </c>
      <c r="W121">
        <f t="shared" si="48"/>
        <v>0</v>
      </c>
      <c r="AL121" s="134">
        <v>114</v>
      </c>
      <c r="AM121" s="127">
        <v>0</v>
      </c>
      <c r="AN121" s="43"/>
      <c r="AO121" s="43"/>
      <c r="AP121" s="128"/>
      <c r="AQ121">
        <f t="shared" si="41"/>
        <v>0</v>
      </c>
      <c r="AR121">
        <f t="shared" si="42"/>
        <v>0</v>
      </c>
      <c r="AT121" s="127">
        <f t="shared" si="49"/>
        <v>0</v>
      </c>
      <c r="AU121" s="43" t="str">
        <f t="shared" si="50"/>
        <v/>
      </c>
      <c r="AV121" s="43" t="str">
        <f t="shared" si="51"/>
        <v/>
      </c>
      <c r="AW121" s="128" t="str">
        <f t="shared" si="52"/>
        <v/>
      </c>
      <c r="AX121" s="153">
        <f t="shared" si="43"/>
        <v>0</v>
      </c>
      <c r="AY121" s="127" t="str">
        <f t="shared" si="53"/>
        <v/>
      </c>
      <c r="AZ121" s="43" t="str">
        <f t="shared" si="54"/>
        <v/>
      </c>
      <c r="BA121" s="43" t="str">
        <f t="shared" si="55"/>
        <v/>
      </c>
      <c r="BB121" s="43" t="str">
        <f t="shared" si="56"/>
        <v/>
      </c>
      <c r="BC121" s="128" t="str">
        <f t="shared" si="57"/>
        <v/>
      </c>
      <c r="BD121" s="153">
        <f t="shared" si="44"/>
        <v>0</v>
      </c>
      <c r="BF121">
        <f t="shared" si="45"/>
        <v>0</v>
      </c>
    </row>
    <row r="122" spans="1:58" x14ac:dyDescent="0.25">
      <c r="C122" s="44">
        <v>115</v>
      </c>
      <c r="D122" s="149"/>
      <c r="E122" s="149"/>
      <c r="F122">
        <v>0</v>
      </c>
      <c r="S122" s="127">
        <f t="shared" si="46"/>
        <v>0</v>
      </c>
      <c r="T122">
        <f t="shared" si="47"/>
        <v>0</v>
      </c>
      <c r="U122" t="b">
        <f>LOOKUP($C122,Table3[Sample Name],Table3[Positive])</f>
        <v>1</v>
      </c>
      <c r="V122" t="b">
        <f>LOOKUP($C122,Table3[Sample Name],Table3[Disseminated])</f>
        <v>1</v>
      </c>
      <c r="W122">
        <f t="shared" si="48"/>
        <v>0</v>
      </c>
      <c r="AL122" s="134">
        <v>115</v>
      </c>
      <c r="AM122" s="127">
        <v>0</v>
      </c>
      <c r="AN122" s="43"/>
      <c r="AO122" s="43"/>
      <c r="AP122" s="128"/>
      <c r="AQ122">
        <f t="shared" si="41"/>
        <v>0</v>
      </c>
      <c r="AR122">
        <f t="shared" si="42"/>
        <v>0</v>
      </c>
      <c r="AT122" s="127">
        <f t="shared" si="49"/>
        <v>0</v>
      </c>
      <c r="AU122" s="43" t="str">
        <f t="shared" si="50"/>
        <v/>
      </c>
      <c r="AV122" s="43" t="str">
        <f t="shared" si="51"/>
        <v/>
      </c>
      <c r="AW122" s="128" t="str">
        <f t="shared" si="52"/>
        <v/>
      </c>
      <c r="AX122" s="153">
        <f t="shared" si="43"/>
        <v>0</v>
      </c>
      <c r="AY122" s="127">
        <f t="shared" si="53"/>
        <v>0</v>
      </c>
      <c r="AZ122" s="43" t="str">
        <f t="shared" si="54"/>
        <v/>
      </c>
      <c r="BA122" s="43" t="str">
        <f t="shared" si="55"/>
        <v/>
      </c>
      <c r="BB122" s="43" t="str">
        <f t="shared" si="56"/>
        <v/>
      </c>
      <c r="BC122" s="128" t="str">
        <f t="shared" si="57"/>
        <v/>
      </c>
      <c r="BD122" s="153">
        <f t="shared" si="44"/>
        <v>0</v>
      </c>
      <c r="BF122">
        <f t="shared" si="45"/>
        <v>0</v>
      </c>
    </row>
    <row r="123" spans="1:58" x14ac:dyDescent="0.25">
      <c r="C123" s="44">
        <v>116</v>
      </c>
      <c r="D123" s="149"/>
      <c r="E123" s="149"/>
      <c r="F123">
        <v>0</v>
      </c>
      <c r="S123" s="127">
        <f t="shared" si="46"/>
        <v>0</v>
      </c>
      <c r="T123">
        <f t="shared" si="47"/>
        <v>0</v>
      </c>
      <c r="U123" t="b">
        <f>LOOKUP($C123,Table3[Sample Name],Table3[Positive])</f>
        <v>1</v>
      </c>
      <c r="V123" t="b">
        <f>LOOKUP($C123,Table3[Sample Name],Table3[Disseminated])</f>
        <v>1</v>
      </c>
      <c r="W123">
        <f t="shared" si="48"/>
        <v>0</v>
      </c>
      <c r="AL123" s="134">
        <v>116</v>
      </c>
      <c r="AM123" s="127">
        <v>0</v>
      </c>
      <c r="AN123" s="43"/>
      <c r="AO123" s="43"/>
      <c r="AP123" s="128"/>
      <c r="AQ123">
        <f t="shared" si="41"/>
        <v>0</v>
      </c>
      <c r="AR123">
        <f t="shared" si="42"/>
        <v>0</v>
      </c>
      <c r="AT123" s="127">
        <f t="shared" si="49"/>
        <v>0</v>
      </c>
      <c r="AU123" s="43" t="str">
        <f t="shared" si="50"/>
        <v/>
      </c>
      <c r="AV123" s="43" t="str">
        <f t="shared" si="51"/>
        <v/>
      </c>
      <c r="AW123" s="128" t="str">
        <f t="shared" si="52"/>
        <v/>
      </c>
      <c r="AX123" s="153">
        <f t="shared" si="43"/>
        <v>0</v>
      </c>
      <c r="AY123" s="127">
        <f t="shared" si="53"/>
        <v>0</v>
      </c>
      <c r="AZ123" s="43" t="str">
        <f t="shared" si="54"/>
        <v/>
      </c>
      <c r="BA123" s="43" t="str">
        <f t="shared" si="55"/>
        <v/>
      </c>
      <c r="BB123" s="43" t="str">
        <f t="shared" si="56"/>
        <v/>
      </c>
      <c r="BC123" s="128" t="str">
        <f t="shared" si="57"/>
        <v/>
      </c>
      <c r="BD123" s="153">
        <f t="shared" si="44"/>
        <v>0</v>
      </c>
      <c r="BF123">
        <f t="shared" si="45"/>
        <v>0</v>
      </c>
    </row>
    <row r="124" spans="1:58" x14ac:dyDescent="0.25">
      <c r="C124" s="44">
        <v>117</v>
      </c>
      <c r="D124" s="149"/>
      <c r="E124" s="149"/>
      <c r="F124">
        <v>1</v>
      </c>
      <c r="K124">
        <v>3</v>
      </c>
      <c r="L124">
        <v>44</v>
      </c>
      <c r="M124">
        <v>4</v>
      </c>
      <c r="S124" s="127">
        <f t="shared" si="46"/>
        <v>52</v>
      </c>
      <c r="T124">
        <f t="shared" si="47"/>
        <v>4</v>
      </c>
      <c r="U124" t="b">
        <f>LOOKUP($C124,Table3[Sample Name],Table3[Positive])</f>
        <v>1</v>
      </c>
      <c r="V124" t="b">
        <f>LOOKUP($C124,Table3[Sample Name],Table3[Disseminated])</f>
        <v>1</v>
      </c>
      <c r="W124">
        <f t="shared" si="48"/>
        <v>44</v>
      </c>
      <c r="AL124" s="134">
        <v>117</v>
      </c>
      <c r="AM124" s="127">
        <v>1</v>
      </c>
      <c r="AN124" s="43">
        <v>3</v>
      </c>
      <c r="AO124" s="43">
        <v>44</v>
      </c>
      <c r="AP124" s="128">
        <v>4</v>
      </c>
      <c r="AQ124">
        <f t="shared" si="41"/>
        <v>4</v>
      </c>
      <c r="AR124">
        <f t="shared" si="42"/>
        <v>52</v>
      </c>
      <c r="AT124" s="127">
        <f t="shared" si="49"/>
        <v>1</v>
      </c>
      <c r="AU124" s="43">
        <f t="shared" si="50"/>
        <v>3</v>
      </c>
      <c r="AV124" s="43">
        <f t="shared" si="51"/>
        <v>4</v>
      </c>
      <c r="AW124" s="128">
        <f t="shared" si="52"/>
        <v>44</v>
      </c>
      <c r="AX124" s="153">
        <f t="shared" si="43"/>
        <v>52</v>
      </c>
      <c r="AY124" s="127">
        <f t="shared" si="53"/>
        <v>1</v>
      </c>
      <c r="AZ124" s="43">
        <f t="shared" si="54"/>
        <v>3</v>
      </c>
      <c r="BA124" s="43">
        <f t="shared" si="55"/>
        <v>4</v>
      </c>
      <c r="BB124" s="43">
        <f t="shared" si="56"/>
        <v>44</v>
      </c>
      <c r="BC124" s="128" t="str">
        <f t="shared" si="57"/>
        <v/>
      </c>
      <c r="BD124" s="153">
        <f t="shared" si="44"/>
        <v>52</v>
      </c>
      <c r="BF124">
        <f t="shared" si="45"/>
        <v>0</v>
      </c>
    </row>
    <row r="125" spans="1:58" x14ac:dyDescent="0.25">
      <c r="C125" s="44">
        <v>118</v>
      </c>
      <c r="D125" s="149"/>
      <c r="E125" s="149"/>
      <c r="F125">
        <v>27</v>
      </c>
      <c r="S125" s="127">
        <f t="shared" si="46"/>
        <v>27</v>
      </c>
      <c r="T125">
        <f t="shared" si="47"/>
        <v>1</v>
      </c>
      <c r="U125" t="b">
        <f>LOOKUP($C125,Table3[Sample Name],Table3[Positive])</f>
        <v>1</v>
      </c>
      <c r="V125" t="b">
        <f>LOOKUP($C125,Table3[Sample Name],Table3[Disseminated])</f>
        <v>0</v>
      </c>
      <c r="W125">
        <f t="shared" si="48"/>
        <v>27</v>
      </c>
      <c r="AL125" s="134">
        <v>118</v>
      </c>
      <c r="AM125" s="127">
        <v>27</v>
      </c>
      <c r="AN125" s="43"/>
      <c r="AO125" s="43"/>
      <c r="AP125" s="128"/>
      <c r="AQ125">
        <f t="shared" si="41"/>
        <v>1</v>
      </c>
      <c r="AR125">
        <f t="shared" si="42"/>
        <v>27</v>
      </c>
      <c r="AT125" s="127">
        <f t="shared" si="49"/>
        <v>27</v>
      </c>
      <c r="AU125" s="43" t="str">
        <f t="shared" si="50"/>
        <v/>
      </c>
      <c r="AV125" s="43" t="str">
        <f t="shared" si="51"/>
        <v/>
      </c>
      <c r="AW125" s="128" t="str">
        <f t="shared" si="52"/>
        <v/>
      </c>
      <c r="AX125" s="153">
        <f t="shared" si="43"/>
        <v>27</v>
      </c>
      <c r="AY125" s="127">
        <f t="shared" si="53"/>
        <v>27</v>
      </c>
      <c r="AZ125" s="43" t="str">
        <f t="shared" si="54"/>
        <v/>
      </c>
      <c r="BA125" s="43" t="str">
        <f t="shared" si="55"/>
        <v/>
      </c>
      <c r="BB125" s="43" t="str">
        <f t="shared" si="56"/>
        <v/>
      </c>
      <c r="BC125" s="128" t="str">
        <f t="shared" si="57"/>
        <v/>
      </c>
      <c r="BD125" s="153">
        <f t="shared" si="44"/>
        <v>27</v>
      </c>
      <c r="BF125">
        <f t="shared" si="45"/>
        <v>0</v>
      </c>
    </row>
    <row r="126" spans="1:58" x14ac:dyDescent="0.25">
      <c r="C126" s="44">
        <v>119</v>
      </c>
      <c r="D126" s="149"/>
      <c r="E126" s="149"/>
      <c r="F126">
        <v>26</v>
      </c>
      <c r="I126">
        <v>5</v>
      </c>
      <c r="K126">
        <v>45</v>
      </c>
      <c r="M126">
        <v>18</v>
      </c>
      <c r="S126" s="127">
        <f t="shared" si="46"/>
        <v>94</v>
      </c>
      <c r="T126">
        <f t="shared" si="47"/>
        <v>4</v>
      </c>
      <c r="U126" t="b">
        <f>LOOKUP($C126,Table3[Sample Name],Table3[Positive])</f>
        <v>1</v>
      </c>
      <c r="V126" t="b">
        <f>LOOKUP($C126,Table3[Sample Name],Table3[Disseminated])</f>
        <v>1</v>
      </c>
      <c r="W126">
        <f t="shared" si="48"/>
        <v>45</v>
      </c>
      <c r="AL126" s="134">
        <v>119</v>
      </c>
      <c r="AM126" s="127">
        <v>26</v>
      </c>
      <c r="AN126" s="43">
        <v>5</v>
      </c>
      <c r="AO126" s="43">
        <v>45</v>
      </c>
      <c r="AP126" s="128">
        <v>18</v>
      </c>
      <c r="AQ126">
        <f t="shared" si="41"/>
        <v>4</v>
      </c>
      <c r="AR126">
        <f t="shared" si="42"/>
        <v>94</v>
      </c>
      <c r="AT126" s="127">
        <f t="shared" si="49"/>
        <v>5</v>
      </c>
      <c r="AU126" s="43">
        <f t="shared" si="50"/>
        <v>18</v>
      </c>
      <c r="AV126" s="43">
        <f t="shared" si="51"/>
        <v>26</v>
      </c>
      <c r="AW126" s="128">
        <f t="shared" si="52"/>
        <v>45</v>
      </c>
      <c r="AX126" s="153">
        <f t="shared" si="43"/>
        <v>94</v>
      </c>
      <c r="AY126" s="127">
        <f t="shared" si="53"/>
        <v>5</v>
      </c>
      <c r="AZ126" s="43">
        <f t="shared" si="54"/>
        <v>18</v>
      </c>
      <c r="BA126" s="43">
        <f t="shared" si="55"/>
        <v>26</v>
      </c>
      <c r="BB126" s="43">
        <f t="shared" si="56"/>
        <v>45</v>
      </c>
      <c r="BC126" s="128" t="str">
        <f t="shared" si="57"/>
        <v/>
      </c>
      <c r="BD126" s="153">
        <f t="shared" si="44"/>
        <v>94</v>
      </c>
      <c r="BF126">
        <f t="shared" si="45"/>
        <v>0</v>
      </c>
    </row>
    <row r="127" spans="1:58" ht="15.75" thickBot="1" x14ac:dyDescent="0.3">
      <c r="A127" t="s">
        <v>183</v>
      </c>
      <c r="C127" s="44">
        <v>120</v>
      </c>
      <c r="D127" s="149"/>
      <c r="E127" s="149"/>
      <c r="F127" s="43">
        <v>0</v>
      </c>
      <c r="G127" s="43"/>
      <c r="H127" s="43"/>
      <c r="I127" s="43">
        <v>28</v>
      </c>
      <c r="J127" s="43"/>
      <c r="K127" s="43"/>
      <c r="L127" s="43"/>
      <c r="M127" s="43"/>
      <c r="N127" s="43"/>
      <c r="O127" s="43"/>
      <c r="P127" s="43"/>
      <c r="Q127" s="43"/>
      <c r="R127" s="43"/>
      <c r="S127" s="127">
        <f t="shared" si="46"/>
        <v>28</v>
      </c>
      <c r="T127">
        <f t="shared" si="47"/>
        <v>1</v>
      </c>
      <c r="U127" t="b">
        <f>LOOKUP($C127,Table3[Sample Name],Table3[Positive])</f>
        <v>1</v>
      </c>
      <c r="V127" t="b">
        <f>LOOKUP($C127,Table3[Sample Name],Table3[Disseminated])</f>
        <v>1</v>
      </c>
      <c r="W127">
        <f t="shared" si="48"/>
        <v>28</v>
      </c>
      <c r="AL127" s="237">
        <v>120</v>
      </c>
      <c r="AM127" s="129">
        <v>28</v>
      </c>
      <c r="AN127" s="45"/>
      <c r="AO127" s="45"/>
      <c r="AP127" s="42"/>
      <c r="AQ127">
        <f t="shared" si="41"/>
        <v>1</v>
      </c>
      <c r="AR127">
        <f t="shared" si="42"/>
        <v>28</v>
      </c>
      <c r="AT127" s="129">
        <f t="shared" si="49"/>
        <v>28</v>
      </c>
      <c r="AU127" s="45" t="str">
        <f t="shared" si="50"/>
        <v/>
      </c>
      <c r="AV127" s="45" t="str">
        <f t="shared" si="51"/>
        <v/>
      </c>
      <c r="AW127" s="42" t="str">
        <f t="shared" si="52"/>
        <v/>
      </c>
      <c r="AX127" s="153">
        <f t="shared" si="43"/>
        <v>28</v>
      </c>
      <c r="AY127" s="129">
        <f t="shared" si="53"/>
        <v>0</v>
      </c>
      <c r="AZ127" s="45">
        <f t="shared" si="54"/>
        <v>28</v>
      </c>
      <c r="BA127" s="45" t="str">
        <f t="shared" si="55"/>
        <v/>
      </c>
      <c r="BB127" s="45" t="str">
        <f t="shared" si="56"/>
        <v/>
      </c>
      <c r="BC127" s="42" t="str">
        <f t="shared" si="57"/>
        <v/>
      </c>
      <c r="BD127" s="153">
        <f t="shared" si="44"/>
        <v>28</v>
      </c>
      <c r="BF127">
        <f t="shared" si="45"/>
        <v>0</v>
      </c>
    </row>
    <row r="128" spans="1:58" ht="15.75" thickTop="1" x14ac:dyDescent="0.25">
      <c r="C128" s="211" t="s">
        <v>74</v>
      </c>
      <c r="D128" s="211">
        <f>SUM(D8:D127)</f>
        <v>0</v>
      </c>
      <c r="E128" s="211">
        <f t="shared" ref="E128:R128" si="58">SUM(E8:E127)</f>
        <v>50</v>
      </c>
      <c r="F128" s="211">
        <f t="shared" si="58"/>
        <v>1372</v>
      </c>
      <c r="G128" s="211">
        <f t="shared" si="58"/>
        <v>75</v>
      </c>
      <c r="H128" s="211">
        <f t="shared" si="58"/>
        <v>28</v>
      </c>
      <c r="I128" s="211">
        <f t="shared" si="58"/>
        <v>351</v>
      </c>
      <c r="J128" s="211">
        <f t="shared" si="58"/>
        <v>113</v>
      </c>
      <c r="K128" s="211">
        <f t="shared" si="58"/>
        <v>379</v>
      </c>
      <c r="L128" s="211">
        <f t="shared" si="58"/>
        <v>80</v>
      </c>
      <c r="M128" s="211">
        <f t="shared" si="58"/>
        <v>22</v>
      </c>
      <c r="N128" s="211">
        <f t="shared" si="58"/>
        <v>0</v>
      </c>
      <c r="O128" s="211">
        <f t="shared" si="58"/>
        <v>4</v>
      </c>
      <c r="P128" s="211">
        <f t="shared" si="58"/>
        <v>59</v>
      </c>
      <c r="Q128" s="211">
        <f t="shared" si="58"/>
        <v>42</v>
      </c>
      <c r="R128" s="211">
        <f t="shared" si="58"/>
        <v>5</v>
      </c>
      <c r="S128" s="211">
        <f t="shared" si="46"/>
        <v>2580</v>
      </c>
      <c r="T128" s="54">
        <f>SUM(T8:T127)</f>
        <v>128</v>
      </c>
      <c r="AP128" t="s">
        <v>163</v>
      </c>
      <c r="AQ128">
        <f>SUM(AQ8:AQ127)</f>
        <v>128</v>
      </c>
      <c r="AR128">
        <f>SUM(AR8:AR127)</f>
        <v>2580</v>
      </c>
      <c r="AX128" s="153">
        <f>SUM(AX8:AX127)</f>
        <v>2580</v>
      </c>
      <c r="BD128" s="153">
        <f>SUM(BD8:BD127)</f>
        <v>2580</v>
      </c>
      <c r="BF128">
        <f t="shared" si="45"/>
        <v>0</v>
      </c>
    </row>
    <row r="129" spans="1:44" x14ac:dyDescent="0.25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>
        <f>COUNTIF(S8:S127,"&gt;"&amp;0)</f>
        <v>76</v>
      </c>
      <c r="R129" s="149"/>
      <c r="U129">
        <f>AVERAGE(T8:T127)</f>
        <v>1.0666666666666667</v>
      </c>
      <c r="AQ129" t="s">
        <v>164</v>
      </c>
      <c r="AR129" t="s">
        <v>165</v>
      </c>
    </row>
    <row r="130" spans="1:44" ht="15.75" thickBot="1" x14ac:dyDescent="0.3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>
        <f>Q129/120%</f>
        <v>63.333333333333336</v>
      </c>
      <c r="R130" s="149"/>
    </row>
    <row r="131" spans="1:44" x14ac:dyDescent="0.25">
      <c r="A131" s="404" t="s">
        <v>79</v>
      </c>
      <c r="B131" s="312" t="s">
        <v>172</v>
      </c>
      <c r="C131" s="308">
        <f>COUNTIF($U$8:$U$127,FALSE)</f>
        <v>26</v>
      </c>
      <c r="D131" s="227" t="s">
        <v>136</v>
      </c>
      <c r="E131" s="307">
        <f t="shared" ref="E131:Q131" si="59">SUMPRODUCT(--(E$8:E$127&gt;0),--($U$8:$U$127=FALSE))</f>
        <v>0</v>
      </c>
      <c r="F131" s="307">
        <f t="shared" si="59"/>
        <v>19</v>
      </c>
      <c r="G131" s="307">
        <f t="shared" si="59"/>
        <v>1</v>
      </c>
      <c r="H131" s="307">
        <f t="shared" si="59"/>
        <v>0</v>
      </c>
      <c r="I131" s="307">
        <f t="shared" si="59"/>
        <v>5</v>
      </c>
      <c r="J131" s="307">
        <f t="shared" si="59"/>
        <v>3</v>
      </c>
      <c r="K131" s="307">
        <f t="shared" si="59"/>
        <v>8</v>
      </c>
      <c r="L131" s="307">
        <f t="shared" si="59"/>
        <v>3</v>
      </c>
      <c r="M131" s="307">
        <f t="shared" si="59"/>
        <v>0</v>
      </c>
      <c r="N131" s="307">
        <f t="shared" si="59"/>
        <v>0</v>
      </c>
      <c r="O131" s="307">
        <f t="shared" si="59"/>
        <v>0</v>
      </c>
      <c r="P131" s="307">
        <f t="shared" si="59"/>
        <v>1</v>
      </c>
      <c r="Q131" s="334">
        <f t="shared" si="59"/>
        <v>1</v>
      </c>
      <c r="R131" s="308"/>
      <c r="S131" s="313"/>
      <c r="X131" s="149" t="s">
        <v>132</v>
      </c>
      <c r="Y131" s="149" t="s">
        <v>97</v>
      </c>
      <c r="Z131" s="149" t="s">
        <v>133</v>
      </c>
      <c r="AA131" s="149" t="s">
        <v>134</v>
      </c>
      <c r="AB131" s="54" t="s">
        <v>135</v>
      </c>
    </row>
    <row r="132" spans="1:44" x14ac:dyDescent="0.25">
      <c r="A132" s="402"/>
      <c r="B132" s="289" t="s">
        <v>173</v>
      </c>
      <c r="C132" s="229">
        <f>SUMPRODUCT(--($U$8:$U$127=FALSE),--($W$8:$W$127&gt;0))</f>
        <v>24</v>
      </c>
      <c r="D132" s="149" t="s">
        <v>137</v>
      </c>
      <c r="E132" s="43">
        <f>E131/INDEX('Aegypti Mortality'!$A$3:$Z$52,MATCH("Uninfected",'Aegypti Mortality'!$A$3:$A$52,0)+1,MATCH(E$7,'Aegypti Mortality'!$A$3:$Z$3,0)-1)%</f>
        <v>0</v>
      </c>
      <c r="F132" s="43">
        <f>F131/INDEX('Aegypti Mortality'!$A$3:$Z$52,MATCH("Uninfected",'Aegypti Mortality'!$A$3:$A$52,0)+1,MATCH(F$7,'Aegypti Mortality'!$A$3:$Z$3,0)-1)%</f>
        <v>73.07692307692308</v>
      </c>
      <c r="G132" s="43">
        <f>G131/INDEX('Aegypti Mortality'!$A$3:$Z$52,MATCH("Uninfected",'Aegypti Mortality'!$A$3:$A$52,0)+1,MATCH(G$7,'Aegypti Mortality'!$A$3:$Z$3,0)-1)%</f>
        <v>4.7619047619047619</v>
      </c>
      <c r="H132" s="43">
        <f>H131/INDEX('Aegypti Mortality'!$A$3:$Z$52,MATCH("Uninfected",'Aegypti Mortality'!$A$3:$A$52,0)+1,MATCH(H$7,'Aegypti Mortality'!$A$3:$Z$3,0)-1)%</f>
        <v>0</v>
      </c>
      <c r="I132" s="43">
        <f>I131/INDEX('Aegypti Mortality'!$A$3:$Z$52,MATCH("Uninfected",'Aegypti Mortality'!$A$3:$A$52,0)+1,MATCH(I$7,'Aegypti Mortality'!$A$3:$Z$3,0)-1)%</f>
        <v>33.333333333333336</v>
      </c>
      <c r="J132" s="43">
        <f>J131/INDEX('Aegypti Mortality'!$A$3:$Z$52,MATCH("Uninfected",'Aegypti Mortality'!$A$3:$A$52,0)+1,MATCH(J$7,'Aegypti Mortality'!$A$3:$Z$3,0)-1)%</f>
        <v>21.428571428571427</v>
      </c>
      <c r="K132" s="43">
        <f>K131/INDEX('Aegypti Mortality'!$A$3:$Z$52,MATCH("Uninfected",'Aegypti Mortality'!$A$3:$A$52,0)+1,MATCH(K$7,'Aegypti Mortality'!$A$3:$Z$3,0)-1)%</f>
        <v>72.727272727272734</v>
      </c>
      <c r="L132" s="43">
        <f>L131/INDEX('Aegypti Mortality'!$A$3:$Z$52,MATCH("Uninfected",'Aegypti Mortality'!$A$3:$A$52,0)+1,MATCH(L$7,'Aegypti Mortality'!$A$3:$Z$3,0)-1)%</f>
        <v>50</v>
      </c>
      <c r="M132" s="43">
        <f>M131/INDEX('Aegypti Mortality'!$A$3:$Z$52,MATCH("Uninfected",'Aegypti Mortality'!$A$3:$A$52,0)+1,MATCH(M$7,'Aegypti Mortality'!$A$3:$Z$3,0)-1)%</f>
        <v>0</v>
      </c>
      <c r="N132" s="43">
        <f>N131/INDEX('Aegypti Mortality'!$A$3:$Z$52,MATCH("Uninfected",'Aegypti Mortality'!$A$3:$A$52,0)+1,MATCH(N$7,'Aegypti Mortality'!$A$3:$Z$3,0)-1)%</f>
        <v>0</v>
      </c>
      <c r="O132" s="43">
        <f>O131/INDEX('Aegypti Mortality'!$A$3:$Z$52,MATCH("Uninfected",'Aegypti Mortality'!$A$3:$A$52,0)+1,MATCH(O$7,'Aegypti Mortality'!$A$3:$Z$3,0)-1)%</f>
        <v>0</v>
      </c>
      <c r="P132" s="43">
        <f>P131/INDEX('Aegypti Mortality'!$A$3:$Z$52,MATCH("Uninfected",'Aegypti Mortality'!$A$3:$A$52,0)+1,MATCH(P$7,'Aegypti Mortality'!$A$3:$Z$3,0)-1)%</f>
        <v>100</v>
      </c>
      <c r="Q132" s="335">
        <f>Q131/INDEX('Aegypti Mortality'!$A$3:$Z$52,MATCH("Uninfected",'Aegypti Mortality'!$A$3:$A$52,0)+1,MATCH(Q$7,'Aegypti Mortality'!$A$3:$Z$3,0)-1)%</f>
        <v>100</v>
      </c>
      <c r="R132" s="229"/>
      <c r="S132" s="289"/>
    </row>
    <row r="133" spans="1:44" x14ac:dyDescent="0.25">
      <c r="A133" s="402"/>
      <c r="B133" s="289" t="s">
        <v>142</v>
      </c>
      <c r="C133" s="229">
        <f>C131-C132</f>
        <v>2</v>
      </c>
      <c r="D133" s="149" t="s">
        <v>138</v>
      </c>
      <c r="E133" s="149">
        <f>SUMPRODUCT(E$8:E$127,--($U$8:$U$127=FALSE))/INDEX('Aegypti Mortality'!$A$3:$Z$52,MATCH("Uninfected",'Aegypti Mortality'!$A$3:$A$52,0)+1,MATCH(E$7,'Aegypti Mortality'!$A$3:$Z$3,0)-1)</f>
        <v>0</v>
      </c>
      <c r="F133" s="149">
        <f>SUMPRODUCT(F$8:F$127,--($U$8:$U$127=FALSE))/INDEX('Aegypti Mortality'!$A$3:$Z$52,MATCH("Uninfected",'Aegypti Mortality'!$A$3:$A$52,0)+1,MATCH(F$7,'Aegypti Mortality'!$A$3:$Z$3,0)-1)</f>
        <v>18.615384615384617</v>
      </c>
      <c r="G133" s="149">
        <f>SUMPRODUCT(G$8:G$127,--($U$8:$U$127=FALSE))/INDEX('Aegypti Mortality'!$A$3:$Z$52,MATCH("Uninfected",'Aegypti Mortality'!$A$3:$A$52,0)+1,MATCH(G$7,'Aegypti Mortality'!$A$3:$Z$3,0)-1)</f>
        <v>1.5714285714285714</v>
      </c>
      <c r="H133" s="149">
        <f>SUMPRODUCT(H$8:H$127,--($U$8:$U$127=FALSE))/INDEX('Aegypti Mortality'!$A$3:$Z$52,MATCH("Uninfected",'Aegypti Mortality'!$A$3:$A$52,0)+1,MATCH(H$7,'Aegypti Mortality'!$A$3:$Z$3,0)-1)</f>
        <v>0</v>
      </c>
      <c r="I133" s="149">
        <f>SUMPRODUCT(I$8:I$127,--($U$8:$U$127=FALSE))/INDEX('Aegypti Mortality'!$A$3:$Z$52,MATCH("Uninfected",'Aegypti Mortality'!$A$3:$A$52,0)+1,MATCH(I$7,'Aegypti Mortality'!$A$3:$Z$3,0)-1)</f>
        <v>6.8</v>
      </c>
      <c r="J133" s="149">
        <f>SUMPRODUCT(J$8:J$127,--($U$8:$U$127=FALSE))/INDEX('Aegypti Mortality'!$A$3:$Z$52,MATCH("Uninfected",'Aegypti Mortality'!$A$3:$A$52,0)+1,MATCH(J$7,'Aegypti Mortality'!$A$3:$Z$3,0)-1)</f>
        <v>2.8571428571428572</v>
      </c>
      <c r="K133" s="149">
        <f>SUMPRODUCT(K$8:K$127,--($U$8:$U$127=FALSE))/INDEX('Aegypti Mortality'!$A$3:$Z$52,MATCH("Uninfected",'Aegypti Mortality'!$A$3:$A$52,0)+1,MATCH(K$7,'Aegypti Mortality'!$A$3:$Z$3,0)-1)</f>
        <v>13.636363636363637</v>
      </c>
      <c r="L133" s="149">
        <f>SUMPRODUCT(L$8:L$127,--($U$8:$U$127=FALSE))/INDEX('Aegypti Mortality'!$A$3:$Z$52,MATCH("Uninfected",'Aegypti Mortality'!$A$3:$A$52,0)+1,MATCH(L$7,'Aegypti Mortality'!$A$3:$Z$3,0)-1)</f>
        <v>4.666666666666667</v>
      </c>
      <c r="M133" s="149">
        <f>SUMPRODUCT(M$8:M$127,--($U$8:$U$127=FALSE))/INDEX('Aegypti Mortality'!$A$3:$Z$52,MATCH("Uninfected",'Aegypti Mortality'!$A$3:$A$52,0)+1,MATCH(M$7,'Aegypti Mortality'!$A$3:$Z$3,0)-1)</f>
        <v>0</v>
      </c>
      <c r="N133" s="149">
        <f>SUMPRODUCT(N$8:N$127,--($U$8:$U$127=FALSE))/INDEX('Aegypti Mortality'!$A$3:$Z$52,MATCH("Uninfected",'Aegypti Mortality'!$A$3:$A$52,0)+1,MATCH(N$7,'Aegypti Mortality'!$A$3:$Z$3,0)-1)</f>
        <v>0</v>
      </c>
      <c r="O133" s="149">
        <f>SUMPRODUCT(O$8:O$127,--($U$8:$U$127=FALSE))/INDEX('Aegypti Mortality'!$A$3:$Z$52,MATCH("Uninfected",'Aegypti Mortality'!$A$3:$A$52,0)+1,MATCH(O$7,'Aegypti Mortality'!$A$3:$Z$3,0)-1)</f>
        <v>0</v>
      </c>
      <c r="P133" s="149">
        <f>SUMPRODUCT(P$8:P$127,--($U$8:$U$127=FALSE))/INDEX('Aegypti Mortality'!$A$3:$Z$52,MATCH("Uninfected",'Aegypti Mortality'!$A$3:$A$52,0)+1,MATCH(P$7,'Aegypti Mortality'!$A$3:$Z$3,0)-1)</f>
        <v>2</v>
      </c>
      <c r="Q133" s="336">
        <f>SUMPRODUCT(Q$8:Q$127,--($U$8:$U$127=FALSE))/INDEX('Aegypti Mortality'!$A$3:$Z$52,MATCH("Uninfected",'Aegypti Mortality'!$A$3:$A$52,0)+1,MATCH(Q$7,'Aegypti Mortality'!$A$3:$Z$3,0)-1)</f>
        <v>30</v>
      </c>
      <c r="R133" s="309"/>
      <c r="S133" s="313"/>
    </row>
    <row r="134" spans="1:44" x14ac:dyDescent="0.25">
      <c r="A134" s="402"/>
      <c r="B134" s="289" t="s">
        <v>143</v>
      </c>
      <c r="C134" s="229">
        <f>C132/C131%</f>
        <v>92.307692307692307</v>
      </c>
      <c r="D134" s="149" t="s">
        <v>140</v>
      </c>
      <c r="E134" s="149">
        <f t="array" ref="E134">IFERROR(SUMPRODUCT(--($U$8:$U$127=FALSE),IFERROR(E$8:E$127/$W$8:$W$127,0))/E$131,0)</f>
        <v>0</v>
      </c>
      <c r="F134" s="149">
        <f t="array" ref="F134">IFERROR(SUMPRODUCT(--($U$8:$U$127=FALSE),IFERROR(F$8:F$127/$W$8:$W$127,0))/F$131,0)</f>
        <v>0.84021805875851152</v>
      </c>
      <c r="G134" s="149">
        <f t="array" ref="G134">IFERROR(SUMPRODUCT(--($U$8:$U$127=FALSE),IFERROR(G$8:G$127/$W$8:$W$127,0))/G$131,0)</f>
        <v>1</v>
      </c>
      <c r="H134" s="149">
        <f t="array" ref="H134">IFERROR(SUMPRODUCT(--($U$8:$U$127=FALSE),IFERROR(H$8:H$127/$W$8:$W$127,0))/H$131,0)</f>
        <v>0</v>
      </c>
      <c r="I134" s="149">
        <f t="array" ref="I134">IFERROR(SUMPRODUCT(--($U$8:$U$127=FALSE),IFERROR(I$8:I$127/$W$8:$W$127,0))/I$131,0)</f>
        <v>0.69107142857142856</v>
      </c>
      <c r="J134" s="149">
        <f t="array" ref="J134">IFERROR(SUMPRODUCT(--($U$8:$U$127=FALSE),IFERROR(J$8:J$127/$W$8:$W$127,0))/J$131,0)</f>
        <v>0.6794871794871794</v>
      </c>
      <c r="K134" s="149">
        <f t="array" ref="K134">IFERROR(SUMPRODUCT(--($U$8:$U$127=FALSE),IFERROR(K$8:K$127/$W$8:$W$127,0))/K$131,0)</f>
        <v>0.6370592948717948</v>
      </c>
      <c r="L134" s="149">
        <f t="array" ref="L134">IFERROR(SUMPRODUCT(--($U$8:$U$127=FALSE),IFERROR(L$8:L$127/$W$8:$W$127,0))/L$131,0)</f>
        <v>0.25441167020114391</v>
      </c>
      <c r="M134" s="149">
        <f t="array" ref="M134">IFERROR(SUMPRODUCT(--($U$8:$U$127=FALSE),IFERROR(M$8:M$127/$W$8:$W$127,0))/M$131,0)</f>
        <v>0</v>
      </c>
      <c r="N134" s="149">
        <f t="array" ref="N134">IFERROR(SUMPRODUCT(--($U$8:$U$127=FALSE),IFERROR(N$8:N$127/$W$8:$W$127,0))/N$131,0)</f>
        <v>0</v>
      </c>
      <c r="O134" s="149">
        <f t="array" ref="O134">IFERROR(SUMPRODUCT(--($U$8:$U$127=FALSE),IFERROR(O$8:O$127/$W$8:$W$127,0))/O$131,0)</f>
        <v>0</v>
      </c>
      <c r="P134" s="149">
        <f t="array" ref="P134">IFERROR(SUMPRODUCT(--($U$8:$U$127=FALSE),IFERROR(P$8:P$127/$W$8:$W$127,0))/P$131,0)</f>
        <v>6.6666666666666666E-2</v>
      </c>
      <c r="Q134" s="336">
        <f t="array" ref="Q134">IFERROR(SUMPRODUCT(--($U$8:$U$127=FALSE),IFERROR(Q$8:Q$127/$W$8:$W$127,0))/Q$131,0)</f>
        <v>1</v>
      </c>
      <c r="R134" s="309"/>
      <c r="S134" s="313"/>
    </row>
    <row r="135" spans="1:44" ht="15.75" thickBot="1" x14ac:dyDescent="0.3">
      <c r="A135" s="403"/>
      <c r="B135" s="290" t="s">
        <v>184</v>
      </c>
      <c r="C135" s="339">
        <f t="array" ref="C135">SUM($E135:$R135/$C131)</f>
        <v>33.423076923076934</v>
      </c>
      <c r="D135" s="310" t="s">
        <v>132</v>
      </c>
      <c r="E135" s="310">
        <f t="shared" ref="E135:Q135" si="60">SUMPRODUCT(E$8:E$127,--($U$8:$U$127=FALSE))</f>
        <v>0</v>
      </c>
      <c r="F135" s="310">
        <f t="shared" si="60"/>
        <v>484</v>
      </c>
      <c r="G135" s="310">
        <f t="shared" si="60"/>
        <v>33</v>
      </c>
      <c r="H135" s="310">
        <f t="shared" si="60"/>
        <v>0</v>
      </c>
      <c r="I135" s="310">
        <f t="shared" si="60"/>
        <v>102</v>
      </c>
      <c r="J135" s="310">
        <f t="shared" si="60"/>
        <v>40</v>
      </c>
      <c r="K135" s="310">
        <f t="shared" si="60"/>
        <v>150</v>
      </c>
      <c r="L135" s="310">
        <f t="shared" si="60"/>
        <v>28</v>
      </c>
      <c r="M135" s="310">
        <f t="shared" si="60"/>
        <v>0</v>
      </c>
      <c r="N135" s="310">
        <f t="shared" si="60"/>
        <v>0</v>
      </c>
      <c r="O135" s="310">
        <f t="shared" si="60"/>
        <v>0</v>
      </c>
      <c r="P135" s="310">
        <f t="shared" si="60"/>
        <v>2</v>
      </c>
      <c r="Q135" s="337">
        <f t="shared" si="60"/>
        <v>30</v>
      </c>
      <c r="R135" s="311"/>
      <c r="S135" s="313"/>
    </row>
    <row r="136" spans="1:44" x14ac:dyDescent="0.25">
      <c r="A136" s="404" t="s">
        <v>54</v>
      </c>
      <c r="B136" s="312" t="s">
        <v>172</v>
      </c>
      <c r="C136" s="308">
        <f>COUNTIF($U$8:$U$127,TRUE)</f>
        <v>94</v>
      </c>
      <c r="D136" s="227" t="s">
        <v>136</v>
      </c>
      <c r="E136" s="307">
        <f t="shared" ref="E136:R136" si="61">SUMPRODUCT(--(E$8:E$127&gt;0),--($U$8:$U$127=TRUE))</f>
        <v>1</v>
      </c>
      <c r="F136" s="307">
        <f t="shared" si="61"/>
        <v>36</v>
      </c>
      <c r="G136" s="307">
        <f t="shared" si="61"/>
        <v>6</v>
      </c>
      <c r="H136" s="307">
        <f t="shared" si="61"/>
        <v>2</v>
      </c>
      <c r="I136" s="307">
        <f t="shared" si="61"/>
        <v>13</v>
      </c>
      <c r="J136" s="307">
        <f t="shared" si="61"/>
        <v>2</v>
      </c>
      <c r="K136" s="307">
        <f t="shared" si="61"/>
        <v>14</v>
      </c>
      <c r="L136" s="307">
        <f t="shared" si="61"/>
        <v>2</v>
      </c>
      <c r="M136" s="307">
        <f t="shared" si="61"/>
        <v>2</v>
      </c>
      <c r="N136" s="307">
        <f t="shared" si="61"/>
        <v>0</v>
      </c>
      <c r="O136" s="307">
        <f t="shared" si="61"/>
        <v>1</v>
      </c>
      <c r="P136" s="307">
        <f t="shared" si="61"/>
        <v>4</v>
      </c>
      <c r="Q136" s="307">
        <f t="shared" si="61"/>
        <v>3</v>
      </c>
      <c r="R136" s="308">
        <f t="shared" si="61"/>
        <v>1</v>
      </c>
    </row>
    <row r="137" spans="1:44" x14ac:dyDescent="0.25">
      <c r="A137" s="402"/>
      <c r="B137" s="289" t="s">
        <v>173</v>
      </c>
      <c r="C137" s="229">
        <f>SUMPRODUCT(--($U$8:$U$127=TRUE),--($W$8:$W$127&gt;0))</f>
        <v>52</v>
      </c>
      <c r="D137" s="149" t="s">
        <v>137</v>
      </c>
      <c r="E137" s="43">
        <f>E136/INDEX('Aegypti Mortality'!$A$3:$Z$52,MATCH("Infected",'Aegypti Mortality'!$A$3:$A$52,0)+1,MATCH(E$7,'Aegypti Mortality'!$A$3:$Z$3,0)-1)%</f>
        <v>1.075268817204301</v>
      </c>
      <c r="F137" s="43">
        <f>F136/INDEX('Aegypti Mortality'!$A$3:$Z$52,MATCH("Infected",'Aegypti Mortality'!$A$3:$A$52,0)+1,MATCH(F$7,'Aegypti Mortality'!$A$3:$Z$3,0)-1)%</f>
        <v>39.130434782608695</v>
      </c>
      <c r="G137" s="43">
        <f>G136/INDEX('Aegypti Mortality'!$A$3:$Z$52,MATCH("Infected",'Aegypti Mortality'!$A$3:$A$52,0)+1,MATCH(G$7,'Aegypti Mortality'!$A$3:$Z$3,0)-1)%</f>
        <v>8.1081081081081088</v>
      </c>
      <c r="H137" s="43">
        <f>H136/INDEX('Aegypti Mortality'!$A$3:$Z$52,MATCH("Infected",'Aegypti Mortality'!$A$3:$A$52,0)+1,MATCH(H$7,'Aegypti Mortality'!$A$3:$Z$3,0)-1)%</f>
        <v>3.278688524590164</v>
      </c>
      <c r="I137" s="43">
        <f>I136/INDEX('Aegypti Mortality'!$A$3:$Z$52,MATCH("Infected",'Aegypti Mortality'!$A$3:$A$52,0)+1,MATCH(I$7,'Aegypti Mortality'!$A$3:$Z$3,0)-1)%</f>
        <v>27.659574468085108</v>
      </c>
      <c r="J137" s="43">
        <f>J136/INDEX('Aegypti Mortality'!$A$3:$Z$52,MATCH("Infected",'Aegypti Mortality'!$A$3:$A$52,0)+1,MATCH(J$7,'Aegypti Mortality'!$A$3:$Z$3,0)-1)%</f>
        <v>4.7619047619047619</v>
      </c>
      <c r="K137" s="43">
        <f>K136/INDEX('Aegypti Mortality'!$A$3:$Z$52,MATCH("Infected",'Aegypti Mortality'!$A$3:$A$52,0)+1,MATCH(K$7,'Aegypti Mortality'!$A$3:$Z$3,0)-1)%</f>
        <v>41.17647058823529</v>
      </c>
      <c r="L137" s="43">
        <f>L136/INDEX('Aegypti Mortality'!$A$3:$Z$52,MATCH("Infected",'Aegypti Mortality'!$A$3:$A$52,0)+1,MATCH(L$7,'Aegypti Mortality'!$A$3:$Z$3,0)-1)%</f>
        <v>10</v>
      </c>
      <c r="M137" s="43">
        <f>M136/INDEX('Aegypti Mortality'!$A$3:$Z$52,MATCH("Infected",'Aegypti Mortality'!$A$3:$A$52,0)+1,MATCH(M$7,'Aegypti Mortality'!$A$3:$Z$3,0)-1)%</f>
        <v>13.333333333333334</v>
      </c>
      <c r="N137" s="43">
        <f>N136/INDEX('Aegypti Mortality'!$A$3:$Z$52,MATCH("Infected",'Aegypti Mortality'!$A$3:$A$52,0)+1,MATCH(N$7,'Aegypti Mortality'!$A$3:$Z$3,0)-1)%</f>
        <v>0</v>
      </c>
      <c r="O137" s="43">
        <f>O136/INDEX('Aegypti Mortality'!$A$3:$Z$52,MATCH("Infected",'Aegypti Mortality'!$A$3:$A$52,0)+1,MATCH(O$7,'Aegypti Mortality'!$A$3:$Z$3,0)-1)%</f>
        <v>9.0909090909090917</v>
      </c>
      <c r="P137" s="43">
        <f>P136/INDEX('Aegypti Mortality'!$A$3:$Z$52,MATCH("Infected",'Aegypti Mortality'!$A$3:$A$52,0)+1,MATCH(P$7,'Aegypti Mortality'!$A$3:$Z$3,0)-1)%</f>
        <v>44.444444444444443</v>
      </c>
      <c r="Q137" s="43">
        <f>Q136/INDEX('Aegypti Mortality'!$A$3:$Z$52,MATCH("Infected",'Aegypti Mortality'!$A$3:$A$52,0)+1,MATCH(Q$7,'Aegypti Mortality'!$A$3:$Z$3,0)-1)%</f>
        <v>42.857142857142854</v>
      </c>
      <c r="R137" s="229">
        <f>R136/INDEX('Aegypti Mortality'!$A$3:$Z$52,MATCH("Infected",'Aegypti Mortality'!$A$3:$A$52,0)+1,MATCH(R$7,'Aegypti Mortality'!$A$3:$Z$3,0)-1)%</f>
        <v>25</v>
      </c>
    </row>
    <row r="138" spans="1:44" x14ac:dyDescent="0.25">
      <c r="A138" s="402"/>
      <c r="B138" s="289" t="s">
        <v>142</v>
      </c>
      <c r="C138" s="229">
        <f>C136-C137</f>
        <v>42</v>
      </c>
      <c r="D138" s="149" t="s">
        <v>138</v>
      </c>
      <c r="E138" s="149">
        <f>SUMPRODUCT(E$8:E$127,--($U$8:$U$127=TRUE))/INDEX('Aegypti Mortality'!$A$3:$Z$52,MATCH("Infected",'Aegypti Mortality'!$A$3:$A$52,0)+1,MATCH(E$7,'Aegypti Mortality'!$A$3:$Z$3,0)-1)</f>
        <v>0.5376344086021505</v>
      </c>
      <c r="F138" s="149">
        <f>SUMPRODUCT(F$8:F$127,--($U$8:$U$127=TRUE))/INDEX('Aegypti Mortality'!$A$3:$Z$52,MATCH("Infected",'Aegypti Mortality'!$A$3:$A$52,0)+1,MATCH(F$7,'Aegypti Mortality'!$A$3:$Z$3,0)-1)</f>
        <v>9.6521739130434785</v>
      </c>
      <c r="G138" s="149">
        <f>SUMPRODUCT(G$8:G$127,--($U$8:$U$127=TRUE))/INDEX('Aegypti Mortality'!$A$3:$Z$52,MATCH("Infected",'Aegypti Mortality'!$A$3:$A$52,0)+1,MATCH(G$7,'Aegypti Mortality'!$A$3:$Z$3,0)-1)</f>
        <v>0.56756756756756754</v>
      </c>
      <c r="H138" s="149">
        <f>SUMPRODUCT(H$8:H$127,--($U$8:$U$127=TRUE))/INDEX('Aegypti Mortality'!$A$3:$Z$52,MATCH("Infected",'Aegypti Mortality'!$A$3:$A$52,0)+1,MATCH(H$7,'Aegypti Mortality'!$A$3:$Z$3,0)-1)</f>
        <v>0.45901639344262296</v>
      </c>
      <c r="I138" s="149">
        <f>SUMPRODUCT(I$8:I$127,--($U$8:$U$127=TRUE))/INDEX('Aegypti Mortality'!$A$3:$Z$52,MATCH("Infected",'Aegypti Mortality'!$A$3:$A$52,0)+1,MATCH(I$7,'Aegypti Mortality'!$A$3:$Z$3,0)-1)</f>
        <v>5.2978723404255321</v>
      </c>
      <c r="J138" s="149">
        <f>SUMPRODUCT(J$8:J$127,--($U$8:$U$127=TRUE))/INDEX('Aegypti Mortality'!$A$3:$Z$52,MATCH("Infected",'Aegypti Mortality'!$A$3:$A$52,0)+1,MATCH(J$7,'Aegypti Mortality'!$A$3:$Z$3,0)-1)</f>
        <v>1.7380952380952381</v>
      </c>
      <c r="K138" s="149">
        <f>SUMPRODUCT(K$8:K$127,--($U$8:$U$127=TRUE))/INDEX('Aegypti Mortality'!$A$3:$Z$52,MATCH("Infected",'Aegypti Mortality'!$A$3:$A$52,0)+1,MATCH(K$7,'Aegypti Mortality'!$A$3:$Z$3,0)-1)</f>
        <v>6.7352941176470589</v>
      </c>
      <c r="L138" s="149">
        <f>SUMPRODUCT(L$8:L$127,--($U$8:$U$127=TRUE))/INDEX('Aegypti Mortality'!$A$3:$Z$52,MATCH("Infected",'Aegypti Mortality'!$A$3:$A$52,0)+1,MATCH(L$7,'Aegypti Mortality'!$A$3:$Z$3,0)-1)</f>
        <v>2.6</v>
      </c>
      <c r="M138" s="149">
        <f>SUMPRODUCT(M$8:M$127,--($U$8:$U$127=TRUE))/INDEX('Aegypti Mortality'!$A$3:$Z$52,MATCH("Infected",'Aegypti Mortality'!$A$3:$A$52,0)+1,MATCH(M$7,'Aegypti Mortality'!$A$3:$Z$3,0)-1)</f>
        <v>1.4666666666666666</v>
      </c>
      <c r="N138" s="149">
        <f>SUMPRODUCT(N$8:N$127,--($U$8:$U$127=TRUE))/INDEX('Aegypti Mortality'!$A$3:$Z$52,MATCH("Infected",'Aegypti Mortality'!$A$3:$A$52,0)+1,MATCH(N$7,'Aegypti Mortality'!$A$3:$Z$3,0)-1)</f>
        <v>0</v>
      </c>
      <c r="O138" s="149">
        <f>SUMPRODUCT(O$8:O$127,--($U$8:$U$127=TRUE))/INDEX('Aegypti Mortality'!$A$3:$Z$52,MATCH("Infected",'Aegypti Mortality'!$A$3:$A$52,0)+1,MATCH(O$7,'Aegypti Mortality'!$A$3:$Z$3,0)-1)</f>
        <v>0.36363636363636365</v>
      </c>
      <c r="P138" s="149">
        <f>SUMPRODUCT(P$8:P$127,--($U$8:$U$127=TRUE))/INDEX('Aegypti Mortality'!$A$3:$Z$52,MATCH("Infected",'Aegypti Mortality'!$A$3:$A$52,0)+1,MATCH(P$7,'Aegypti Mortality'!$A$3:$Z$3,0)-1)</f>
        <v>6.333333333333333</v>
      </c>
      <c r="Q138" s="149">
        <f>SUMPRODUCT(Q$8:Q$127,--($U$8:$U$127=TRUE))/INDEX('Aegypti Mortality'!$A$3:$Z$52,MATCH("Infected",'Aegypti Mortality'!$A$3:$A$52,0)+1,MATCH(Q$7,'Aegypti Mortality'!$A$3:$Z$3,0)-1)</f>
        <v>1.7142857142857142</v>
      </c>
      <c r="R138" s="309">
        <f>SUMPRODUCT(R$8:R$127,--($U$8:$U$127=TRUE))/INDEX('Aegypti Mortality'!$A$3:$Z$52,MATCH("Infected",'Aegypti Mortality'!$A$3:$A$52,0)+1,MATCH(R$7,'Aegypti Mortality'!$A$3:$Z$3,0)-1)</f>
        <v>1.25</v>
      </c>
    </row>
    <row r="139" spans="1:44" x14ac:dyDescent="0.25">
      <c r="A139" s="402"/>
      <c r="B139" s="289" t="s">
        <v>143</v>
      </c>
      <c r="C139" s="229">
        <f>C137/C136%</f>
        <v>55.319148936170215</v>
      </c>
      <c r="D139" s="149" t="s">
        <v>140</v>
      </c>
      <c r="E139" s="149">
        <f t="array" ref="E139">IFERROR(SUMPRODUCT(--($U$8:$U$127=TRUE),IFERROR(E$8:E$127/$W$8:$W$127,0))/E$136,0)</f>
        <v>1</v>
      </c>
      <c r="F139" s="149">
        <f t="array" ref="F139">IFERROR(SUMPRODUCT(--($U$8:$U$127=TRUE),IFERROR(F$8:F$127/$W$8:$W$127,0))/F$136,0)</f>
        <v>0.84363096779763447</v>
      </c>
      <c r="G139" s="149">
        <f t="array" ref="G139">IFERROR(SUMPRODUCT(--($U$8:$U$127=TRUE),IFERROR(G$8:G$127/$W$8:$W$127,0))/G$136,0)</f>
        <v>0.58214285714285718</v>
      </c>
      <c r="H139" s="149">
        <f t="array" ref="H139">IFERROR(SUMPRODUCT(--($U$8:$U$127=TRUE),IFERROR(H$8:H$127/$W$8:$W$127,0))/H$136,0)</f>
        <v>1</v>
      </c>
      <c r="I139" s="149">
        <f t="array" ref="I139">IFERROR(SUMPRODUCT(--($U$8:$U$127=TRUE),IFERROR(I$8:I$127/$W$8:$W$127,0))/I$136,0)</f>
        <v>0.52136720199380049</v>
      </c>
      <c r="J139" s="149">
        <f t="array" ref="J139">IFERROR(SUMPRODUCT(--($U$8:$U$127=TRUE),IFERROR(J$8:J$127/$W$8:$W$127,0))/J$136,0)</f>
        <v>0.88461538461538458</v>
      </c>
      <c r="K139" s="149">
        <f t="array" ref="K139">IFERROR(SUMPRODUCT(--($U$8:$U$127=TRUE),IFERROR(K$8:K$127/$W$8:$W$127,0))/K$136,0)</f>
        <v>0.62437176644493719</v>
      </c>
      <c r="L139" s="149">
        <f t="array" ref="L139">IFERROR(SUMPRODUCT(--($U$8:$U$127=TRUE),IFERROR(L$8:L$127/$W$8:$W$127,0))/L$136,0)</f>
        <v>1</v>
      </c>
      <c r="M139" s="149">
        <f t="array" ref="M139">IFERROR(SUMPRODUCT(--($U$8:$U$127=TRUE),IFERROR(M$8:M$127/$W$8:$W$127,0))/M$136,0)</f>
        <v>0.24545454545454548</v>
      </c>
      <c r="N139" s="149">
        <f t="array" ref="N139">IFERROR(SUMPRODUCT(--($U$8:$U$127=TRUE),IFERROR(N$8:N$127/$W$8:$W$127,0))/N$136,0)</f>
        <v>0</v>
      </c>
      <c r="O139" s="149">
        <f t="array" ref="O139">IFERROR(SUMPRODUCT(--($U$8:$U$127=TRUE),IFERROR(O$8:O$127/$W$8:$W$127,0))/O$136,0)</f>
        <v>0.18181818181818182</v>
      </c>
      <c r="P139" s="149">
        <f t="array" ref="P139">IFERROR(SUMPRODUCT(--($U$8:$U$127=TRUE),IFERROR(P$8:P$127/$W$8:$W$127,0))/P$136,0)</f>
        <v>0.60431235431235431</v>
      </c>
      <c r="Q139" s="149">
        <f t="array" ref="Q139">IFERROR(SUMPRODUCT(--($U$8:$U$127=TRUE),IFERROR(Q$8:Q$127/$W$8:$W$127,0))/Q$136,0)</f>
        <v>0.30216450216450214</v>
      </c>
      <c r="R139" s="309">
        <f t="array" ref="R139">IFERROR(SUMPRODUCT(--($U$8:$U$127=TRUE),IFERROR(R$8:R$127/$W$8:$W$127,0))/R$136,0)</f>
        <v>6.4102564102564097E-2</v>
      </c>
    </row>
    <row r="140" spans="1:44" ht="15.75" thickBot="1" x14ac:dyDescent="0.3">
      <c r="A140" s="403"/>
      <c r="B140" s="290" t="s">
        <v>184</v>
      </c>
      <c r="C140" s="339">
        <f t="array" ref="C140">SUM($E140:$R140/$C136)</f>
        <v>18.202127659574465</v>
      </c>
      <c r="D140" s="310" t="s">
        <v>132</v>
      </c>
      <c r="E140" s="310">
        <f t="shared" ref="E140:R140" si="62">SUMPRODUCT(E$8:E$127,--($U$8:$U$127=TRUE))</f>
        <v>50</v>
      </c>
      <c r="F140" s="310">
        <f t="shared" si="62"/>
        <v>888</v>
      </c>
      <c r="G140" s="310">
        <f t="shared" si="62"/>
        <v>42</v>
      </c>
      <c r="H140" s="310">
        <f t="shared" si="62"/>
        <v>28</v>
      </c>
      <c r="I140" s="310">
        <f t="shared" si="62"/>
        <v>249</v>
      </c>
      <c r="J140" s="310">
        <f t="shared" si="62"/>
        <v>73</v>
      </c>
      <c r="K140" s="310">
        <f t="shared" si="62"/>
        <v>229</v>
      </c>
      <c r="L140" s="310">
        <f t="shared" si="62"/>
        <v>52</v>
      </c>
      <c r="M140" s="310">
        <f t="shared" si="62"/>
        <v>22</v>
      </c>
      <c r="N140" s="310">
        <f t="shared" si="62"/>
        <v>0</v>
      </c>
      <c r="O140" s="310">
        <f t="shared" si="62"/>
        <v>4</v>
      </c>
      <c r="P140" s="310">
        <f t="shared" si="62"/>
        <v>57</v>
      </c>
      <c r="Q140" s="310">
        <f t="shared" si="62"/>
        <v>12</v>
      </c>
      <c r="R140" s="311">
        <f t="shared" si="62"/>
        <v>5</v>
      </c>
    </row>
    <row r="141" spans="1:44" ht="15.75" customHeight="1" x14ac:dyDescent="0.25">
      <c r="A141" s="404" t="s">
        <v>88</v>
      </c>
      <c r="B141" s="312" t="s">
        <v>172</v>
      </c>
      <c r="C141" s="308">
        <f>SUMPRODUCT(--($U$8:$U$127=TRUE),--($V$8:$V$127=FALSE))</f>
        <v>21</v>
      </c>
      <c r="D141" s="227" t="s">
        <v>136</v>
      </c>
      <c r="E141" s="307">
        <f t="shared" ref="E141:R141" si="63">SUMPRODUCT(--(E$8:E$127&gt;0),--($U$8:$U$127=TRUE),--($V$8:$V$127=FALSE))</f>
        <v>1</v>
      </c>
      <c r="F141" s="307">
        <f t="shared" si="63"/>
        <v>7</v>
      </c>
      <c r="G141" s="307">
        <f t="shared" si="63"/>
        <v>1</v>
      </c>
      <c r="H141" s="307">
        <f t="shared" si="63"/>
        <v>1</v>
      </c>
      <c r="I141" s="307">
        <f t="shared" si="63"/>
        <v>2</v>
      </c>
      <c r="J141" s="307">
        <f t="shared" si="63"/>
        <v>0</v>
      </c>
      <c r="K141" s="307">
        <f t="shared" si="63"/>
        <v>1</v>
      </c>
      <c r="L141" s="307">
        <f t="shared" si="63"/>
        <v>0</v>
      </c>
      <c r="M141" s="307">
        <f t="shared" si="63"/>
        <v>0</v>
      </c>
      <c r="N141" s="307">
        <f t="shared" si="63"/>
        <v>0</v>
      </c>
      <c r="O141" s="307">
        <f t="shared" si="63"/>
        <v>0</v>
      </c>
      <c r="P141" s="307">
        <f t="shared" si="63"/>
        <v>1</v>
      </c>
      <c r="Q141" s="307">
        <f t="shared" si="63"/>
        <v>0</v>
      </c>
      <c r="R141" s="307">
        <f t="shared" si="63"/>
        <v>1</v>
      </c>
      <c r="S141" s="313"/>
    </row>
    <row r="142" spans="1:44" x14ac:dyDescent="0.25">
      <c r="A142" s="402"/>
      <c r="B142" s="289" t="s">
        <v>173</v>
      </c>
      <c r="C142" s="229">
        <f>SUMPRODUCT(--($U$8:$U$127=TRUE),--($V$8:$V$127=FALSE),--($W$8:$W$127&gt;0))</f>
        <v>9</v>
      </c>
      <c r="D142" s="149" t="s">
        <v>137</v>
      </c>
      <c r="E142" s="43">
        <f>E141/INDEX('Aegypti Mortality'!$A$3:$Z$52,MATCH("Infected + NOT Disseminated",'Aegypti Mortality'!$A$3:$A$52,0)+1,MATCH(E$7,'Aegypti Mortality'!$A$3:$Z$3,0)-1)%</f>
        <v>5</v>
      </c>
      <c r="F142" s="43">
        <f>F141/INDEX('Aegypti Mortality'!$A$3:$Z$52,MATCH("Infected + NOT Disseminated",'Aegypti Mortality'!$A$3:$A$52,0)+1,MATCH(F$7,'Aegypti Mortality'!$A$3:$Z$3,0)-1)%</f>
        <v>36.842105263157897</v>
      </c>
      <c r="G142" s="43">
        <f>G141/INDEX('Aegypti Mortality'!$A$3:$Z$52,MATCH("Infected + NOT Disseminated",'Aegypti Mortality'!$A$3:$A$52,0)+1,MATCH(G$7,'Aegypti Mortality'!$A$3:$Z$3,0)-1)%</f>
        <v>7.6923076923076916</v>
      </c>
      <c r="H142" s="43">
        <f>H141/INDEX('Aegypti Mortality'!$A$3:$Z$52,MATCH("Infected + NOT Disseminated",'Aegypti Mortality'!$A$3:$A$52,0)+1,MATCH(H$7,'Aegypti Mortality'!$A$3:$Z$3,0)-1)%</f>
        <v>11.111111111111111</v>
      </c>
      <c r="I142" s="43">
        <f>I141/INDEX('Aegypti Mortality'!$A$3:$Z$52,MATCH("Infected + NOT Disseminated",'Aegypti Mortality'!$A$3:$A$52,0)+1,MATCH(I$7,'Aegypti Mortality'!$A$3:$Z$3,0)-1)%</f>
        <v>33.333333333333336</v>
      </c>
      <c r="J142" s="43">
        <f>J141/INDEX('Aegypti Mortality'!$A$3:$Z$52,MATCH("Infected + NOT Disseminated",'Aegypti Mortality'!$A$3:$A$52,0)+1,MATCH(J$7,'Aegypti Mortality'!$A$3:$Z$3,0)-1)%</f>
        <v>0</v>
      </c>
      <c r="K142" s="43">
        <f>K141/INDEX('Aegypti Mortality'!$A$3:$Z$52,MATCH("Infected + NOT Disseminated",'Aegypti Mortality'!$A$3:$A$52,0)+1,MATCH(K$7,'Aegypti Mortality'!$A$3:$Z$3,0)-1)%</f>
        <v>33.333333333333336</v>
      </c>
      <c r="L142" s="43">
        <f>L141/INDEX('Aegypti Mortality'!$A$3:$Z$52,MATCH("Infected + NOT Disseminated",'Aegypti Mortality'!$A$3:$A$52,0)+1,MATCH(L$7,'Aegypti Mortality'!$A$3:$Z$3,0)-1)%</f>
        <v>0</v>
      </c>
      <c r="M142" s="43">
        <f>M141/INDEX('Aegypti Mortality'!$A$3:$Z$52,MATCH("Infected + NOT Disseminated",'Aegypti Mortality'!$A$3:$A$52,0)+1,MATCH(M$7,'Aegypti Mortality'!$A$3:$Z$3,0)-1)%</f>
        <v>0</v>
      </c>
      <c r="N142" s="43">
        <f>N141/INDEX('Aegypti Mortality'!$A$3:$Z$52,MATCH("Infected + NOT Disseminated",'Aegypti Mortality'!$A$3:$A$52,0)+1,MATCH(N$7,'Aegypti Mortality'!$A$3:$Z$3,0)-1)%</f>
        <v>0</v>
      </c>
      <c r="O142" s="43">
        <f>O141/INDEX('Aegypti Mortality'!$A$3:$Z$52,MATCH("Infected + NOT Disseminated",'Aegypti Mortality'!$A$3:$A$52,0)+1,MATCH(O$7,'Aegypti Mortality'!$A$3:$Z$3,0)-1)%</f>
        <v>0</v>
      </c>
      <c r="P142" s="43">
        <f>P141/INDEX('Aegypti Mortality'!$A$3:$Z$52,MATCH("Infected + NOT Disseminated",'Aegypti Mortality'!$A$3:$A$52,0)+1,MATCH(P$7,'Aegypti Mortality'!$A$3:$Z$3,0)-1)%</f>
        <v>100</v>
      </c>
      <c r="Q142" s="43">
        <f>Q141/INDEX('Aegypti Mortality'!$A$3:$Z$52,MATCH("Infected + NOT Disseminated",'Aegypti Mortality'!$A$3:$A$52,0)+1,MATCH(Q$7,'Aegypti Mortality'!$A$3:$Z$3,0)-1)%</f>
        <v>0</v>
      </c>
      <c r="R142" s="43">
        <f>R141/INDEX('Aegypti Mortality'!$A$3:$Z$52,MATCH("Infected + NOT Disseminated",'Aegypti Mortality'!$A$3:$A$52,0)+1,MATCH(R$7,'Aegypti Mortality'!$A$3:$Z$3,0)-1)%</f>
        <v>100</v>
      </c>
      <c r="S142" s="289"/>
    </row>
    <row r="143" spans="1:44" x14ac:dyDescent="0.25">
      <c r="A143" s="402"/>
      <c r="B143" s="289" t="s">
        <v>142</v>
      </c>
      <c r="C143" s="229">
        <f>C141-C142</f>
        <v>12</v>
      </c>
      <c r="D143" s="149" t="s">
        <v>138</v>
      </c>
      <c r="E143" s="149">
        <f>SUMPRODUCT(E$8:E$127,--($U$8:$U$127=TRUE),--($V$8:$V$127=FALSE)/INDEX('Aegypti Mortality'!$A$3:$Z$52,MATCH("Infected + NOT Disseminated",'Aegypti Mortality'!$A$3:$A$52,0)+1,MATCH(E$7,'Aegypti Mortality'!$A$3:$Z$3,0)-1))</f>
        <v>2.5</v>
      </c>
      <c r="F143" s="149">
        <f>SUMPRODUCT(F$8:F$127,--($U$8:$U$127=TRUE),--($V$8:$V$127=FALSE)/INDEX('Aegypti Mortality'!$A$3:$Z$52,MATCH("Infected + NOT Disseminated",'Aegypti Mortality'!$A$3:$A$52,0)+1,MATCH(F$7,'Aegypti Mortality'!$A$3:$Z$3,0)-1))</f>
        <v>8.2105263157894743</v>
      </c>
      <c r="G143" s="149">
        <f>SUMPRODUCT(G$8:G$127,--($U$8:$U$127=TRUE),--($V$8:$V$127=FALSE)/INDEX('Aegypti Mortality'!$A$3:$Z$52,MATCH("Infected + NOT Disseminated",'Aegypti Mortality'!$A$3:$A$52,0)+1,MATCH(G$7,'Aegypti Mortality'!$A$3:$Z$3,0)-1))</f>
        <v>0.46153846153846156</v>
      </c>
      <c r="H143" s="149">
        <f>SUMPRODUCT(H$8:H$127,--($U$8:$U$127=TRUE),--($V$8:$V$127=FALSE)/INDEX('Aegypti Mortality'!$A$3:$Z$52,MATCH("Infected + NOT Disseminated",'Aegypti Mortality'!$A$3:$A$52,0)+1,MATCH(H$7,'Aegypti Mortality'!$A$3:$Z$3,0)-1))</f>
        <v>2.333333333333333</v>
      </c>
      <c r="I143" s="149">
        <f>SUMPRODUCT(I$8:I$127,--($U$8:$U$127=TRUE),--($V$8:$V$127=FALSE)/INDEX('Aegypti Mortality'!$A$3:$Z$52,MATCH("Infected + NOT Disseminated",'Aegypti Mortality'!$A$3:$A$52,0)+1,MATCH(I$7,'Aegypti Mortality'!$A$3:$Z$3,0)-1))</f>
        <v>8.6666666666666661</v>
      </c>
      <c r="J143" s="149">
        <f>SUMPRODUCT(J$8:J$127,--($U$8:$U$127=TRUE),--($V$8:$V$127=FALSE)/INDEX('Aegypti Mortality'!$A$3:$Z$52,MATCH("Infected + NOT Disseminated",'Aegypti Mortality'!$A$3:$A$52,0)+1,MATCH(J$7,'Aegypti Mortality'!$A$3:$Z$3,0)-1))</f>
        <v>0</v>
      </c>
      <c r="K143" s="149">
        <f>SUMPRODUCT(K$8:K$127,--($U$8:$U$127=TRUE),--($V$8:$V$127=FALSE)/INDEX('Aegypti Mortality'!$A$3:$Z$52,MATCH("Infected + NOT Disseminated",'Aegypti Mortality'!$A$3:$A$52,0)+1,MATCH(K$7,'Aegypti Mortality'!$A$3:$Z$3,0)-1))</f>
        <v>26</v>
      </c>
      <c r="L143" s="149">
        <f>SUMPRODUCT(L$8:L$127,--($U$8:$U$127=TRUE),--($V$8:$V$127=FALSE)/INDEX('Aegypti Mortality'!$A$3:$Z$52,MATCH("Infected + NOT Disseminated",'Aegypti Mortality'!$A$3:$A$52,0)+1,MATCH(L$7,'Aegypti Mortality'!$A$3:$Z$3,0)-1))</f>
        <v>0</v>
      </c>
      <c r="M143" s="149">
        <f>SUMPRODUCT(M$8:M$127,--($U$8:$U$127=TRUE),--($V$8:$V$127=FALSE)/INDEX('Aegypti Mortality'!$A$3:$Z$52,MATCH("Infected + NOT Disseminated",'Aegypti Mortality'!$A$3:$A$52,0)+1,MATCH(M$7,'Aegypti Mortality'!$A$3:$Z$3,0)-1))</f>
        <v>0</v>
      </c>
      <c r="N143" s="149">
        <f>SUMPRODUCT(N$8:N$127,--($U$8:$U$127=TRUE),--($V$8:$V$127=FALSE)/INDEX('Aegypti Mortality'!$A$3:$Z$52,MATCH("Infected + NOT Disseminated",'Aegypti Mortality'!$A$3:$A$52,0)+1,MATCH(N$7,'Aegypti Mortality'!$A$3:$Z$3,0)-1))</f>
        <v>0</v>
      </c>
      <c r="O143" s="149">
        <f>SUMPRODUCT(O$8:O$127,--($U$8:$U$127=TRUE),--($V$8:$V$127=FALSE)/INDEX('Aegypti Mortality'!$A$3:$Z$52,MATCH("Infected + NOT Disseminated",'Aegypti Mortality'!$A$3:$A$52,0)+1,MATCH(O$7,'Aegypti Mortality'!$A$3:$Z$3,0)-1))</f>
        <v>0</v>
      </c>
      <c r="P143" s="149">
        <f>SUMPRODUCT(P$8:P$127,--($U$8:$U$127=TRUE),--($V$8:$V$127=FALSE)/INDEX('Aegypti Mortality'!$A$3:$Z$52,MATCH("Infected + NOT Disseminated",'Aegypti Mortality'!$A$3:$A$52,0)+1,MATCH(P$7,'Aegypti Mortality'!$A$3:$Z$3,0)-1))</f>
        <v>29</v>
      </c>
      <c r="Q143" s="149">
        <f>SUMPRODUCT(Q$8:Q$127,--($U$8:$U$127=TRUE),--($V$8:$V$127=FALSE)/INDEX('Aegypti Mortality'!$A$3:$Z$52,MATCH("Infected + NOT Disseminated",'Aegypti Mortality'!$A$3:$A$52,0)+1,MATCH(Q$7,'Aegypti Mortality'!$A$3:$Z$3,0)-1))</f>
        <v>0</v>
      </c>
      <c r="R143" s="149">
        <f>SUMPRODUCT(R$8:R$127,--($U$8:$U$127=TRUE),--($V$8:$V$127=FALSE)/INDEX('Aegypti Mortality'!$A$3:$Z$52,MATCH("Infected + NOT Disseminated",'Aegypti Mortality'!$A$3:$A$52,0)+1,MATCH(R$7,'Aegypti Mortality'!$A$3:$Z$3,0)-1))</f>
        <v>5</v>
      </c>
      <c r="S143" s="313"/>
    </row>
    <row r="144" spans="1:44" x14ac:dyDescent="0.25">
      <c r="A144" s="402"/>
      <c r="B144" s="289" t="s">
        <v>143</v>
      </c>
      <c r="C144" s="229">
        <f>C142/C141%</f>
        <v>42.857142857142861</v>
      </c>
      <c r="D144" s="149" t="s">
        <v>140</v>
      </c>
      <c r="E144" s="149">
        <f t="array" ref="E144">IFERROR(SUMPRODUCT(--($U$8:$U$127=TRUE),--($V$8:$V$127=FALSE),IFERROR(E$8:E$127/$W$8:$W$127,0))/E$141,0)</f>
        <v>1</v>
      </c>
      <c r="F144" s="149">
        <f t="array" ref="F144">IFERROR(SUMPRODUCT(--($U$8:$U$127=TRUE),--($V$8:$V$127=FALSE),IFERROR(F$8:F$127/$W$8:$W$127,0))/F$141,0)</f>
        <v>0.70007326007326021</v>
      </c>
      <c r="G144" s="149">
        <f t="array" ref="G144">IFERROR(SUMPRODUCT(--($U$8:$U$127=TRUE),--($V$8:$V$127=FALSE),IFERROR(G$8:G$127/$W$8:$W$127,0))/G$141,0)</f>
        <v>0.3</v>
      </c>
      <c r="H144" s="149">
        <f t="array" ref="H144">IFERROR(SUMPRODUCT(--($U$8:$U$127=TRUE),--($V$8:$V$127=FALSE),IFERROR(H$8:H$127/$W$8:$W$127,0))/H$141,0)</f>
        <v>1</v>
      </c>
      <c r="I144" s="149">
        <f t="array" ref="I144">IFERROR(SUMPRODUCT(--($U$8:$U$127=TRUE),--($V$8:$V$127=FALSE),IFERROR(I$8:I$127/$W$8:$W$127,0))/I$141,0)</f>
        <v>1</v>
      </c>
      <c r="J144" s="149">
        <f t="array" ref="J144">IFERROR(SUMPRODUCT(--($U$8:$U$127=TRUE),--($V$8:$V$127=FALSE),IFERROR(J$8:J$127/$W$8:$W$127,0))/J$141,0)</f>
        <v>0</v>
      </c>
      <c r="K144" s="149">
        <f t="array" ref="K144">IFERROR(SUMPRODUCT(--($U$8:$U$127=TRUE),--($V$8:$V$127=FALSE),IFERROR(K$8:K$127/$W$8:$W$127,0))/K$141,0)</f>
        <v>1</v>
      </c>
      <c r="L144" s="149">
        <f t="array" ref="L144">IFERROR(SUMPRODUCT(--($U$8:$U$127=TRUE),--($V$8:$V$127=FALSE),IFERROR(L$8:L$127/$W$8:$W$127,0))/L$141,0)</f>
        <v>0</v>
      </c>
      <c r="M144" s="149">
        <f t="array" ref="M144">IFERROR(SUMPRODUCT(--($U$8:$U$127=TRUE),--($V$8:$V$127=FALSE),IFERROR(M$8:M$127/$W$8:$W$127,0))/M$141,0)</f>
        <v>0</v>
      </c>
      <c r="N144" s="149">
        <f t="array" ref="N144">IFERROR(SUMPRODUCT(--($U$8:$U$127=TRUE),--($V$8:$V$127=FALSE),IFERROR(N$8:N$127/$W$8:$W$127,0))/N$141,0)</f>
        <v>0</v>
      </c>
      <c r="O144" s="149">
        <f t="array" ref="O144">IFERROR(SUMPRODUCT(--($U$8:$U$127=TRUE),--($V$8:$V$127=FALSE),IFERROR(O$8:O$127/$W$8:$W$127,0))/O$141,0)</f>
        <v>0</v>
      </c>
      <c r="P144" s="149">
        <f t="array" ref="P144">IFERROR(SUMPRODUCT(--($U$8:$U$127=TRUE),--($V$8:$V$127=FALSE),IFERROR(P$8:P$127/$W$8:$W$127,0))/P$141,0)</f>
        <v>0.37179487179487181</v>
      </c>
      <c r="Q144" s="149">
        <f t="array" ref="Q144">IFERROR(SUMPRODUCT(--($U$8:$U$127=TRUE),--($V$8:$V$127=FALSE),IFERROR(Q$8:Q$127/$W$8:$W$127,0))/Q$141,0)</f>
        <v>0</v>
      </c>
      <c r="R144" s="149">
        <f t="array" ref="R144">IFERROR(SUMPRODUCT(--($U$8:$U$127=TRUE),--($V$8:$V$127=FALSE),IFERROR(R$8:R$127/$W$8:$W$127,0))/R$141,0)</f>
        <v>6.4102564102564097E-2</v>
      </c>
      <c r="S144" s="313"/>
    </row>
    <row r="145" spans="1:19" ht="15.75" thickBot="1" x14ac:dyDescent="0.3">
      <c r="A145" s="403"/>
      <c r="B145" s="290" t="s">
        <v>184</v>
      </c>
      <c r="C145" s="339">
        <f t="array" ref="C145">SUM($E145:$R145/$C141)</f>
        <v>18.904761904761905</v>
      </c>
      <c r="D145" s="310" t="s">
        <v>132</v>
      </c>
      <c r="E145" s="310">
        <f t="shared" ref="E145:R145" si="64">SUMPRODUCT(E$8:E$127,--($U$8:$U$127=TRUE),--($V$8:$V$127=FALSE))</f>
        <v>50</v>
      </c>
      <c r="F145" s="310">
        <f t="shared" si="64"/>
        <v>156</v>
      </c>
      <c r="G145" s="310">
        <f t="shared" si="64"/>
        <v>6</v>
      </c>
      <c r="H145" s="310">
        <f t="shared" si="64"/>
        <v>21</v>
      </c>
      <c r="I145" s="310">
        <f t="shared" si="64"/>
        <v>52</v>
      </c>
      <c r="J145" s="310">
        <f t="shared" si="64"/>
        <v>0</v>
      </c>
      <c r="K145" s="310">
        <f t="shared" si="64"/>
        <v>78</v>
      </c>
      <c r="L145" s="310">
        <f t="shared" si="64"/>
        <v>0</v>
      </c>
      <c r="M145" s="310">
        <f t="shared" si="64"/>
        <v>0</v>
      </c>
      <c r="N145" s="310">
        <f t="shared" si="64"/>
        <v>0</v>
      </c>
      <c r="O145" s="310">
        <f t="shared" si="64"/>
        <v>0</v>
      </c>
      <c r="P145" s="310">
        <f t="shared" si="64"/>
        <v>29</v>
      </c>
      <c r="Q145" s="310">
        <f t="shared" si="64"/>
        <v>0</v>
      </c>
      <c r="R145" s="310">
        <f t="shared" si="64"/>
        <v>5</v>
      </c>
      <c r="S145" s="313"/>
    </row>
    <row r="146" spans="1:19" ht="15" customHeight="1" x14ac:dyDescent="0.25">
      <c r="A146" s="404" t="s">
        <v>81</v>
      </c>
      <c r="B146" s="312" t="s">
        <v>172</v>
      </c>
      <c r="C146" s="308">
        <f>SUMPRODUCT(--($U$8:$U$127=TRUE),--($V$8:$V$127=TRUE))</f>
        <v>68</v>
      </c>
      <c r="D146" s="227" t="s">
        <v>136</v>
      </c>
      <c r="E146" s="307">
        <f t="shared" ref="E146:R146" si="65">SUMPRODUCT(--(E$8:E$127&gt;0),--($U$8:$U$127=TRUE),--($V$8:$V$127=TRUE))</f>
        <v>0</v>
      </c>
      <c r="F146" s="307">
        <f t="shared" si="65"/>
        <v>26</v>
      </c>
      <c r="G146" s="307">
        <f t="shared" si="65"/>
        <v>5</v>
      </c>
      <c r="H146" s="307">
        <f t="shared" si="65"/>
        <v>1</v>
      </c>
      <c r="I146" s="307">
        <f t="shared" si="65"/>
        <v>10</v>
      </c>
      <c r="J146" s="307">
        <f t="shared" si="65"/>
        <v>2</v>
      </c>
      <c r="K146" s="307">
        <f t="shared" si="65"/>
        <v>10</v>
      </c>
      <c r="L146" s="307">
        <f t="shared" si="65"/>
        <v>2</v>
      </c>
      <c r="M146" s="307">
        <f t="shared" si="65"/>
        <v>2</v>
      </c>
      <c r="N146" s="307">
        <f t="shared" si="65"/>
        <v>0</v>
      </c>
      <c r="O146" s="307">
        <f t="shared" si="65"/>
        <v>1</v>
      </c>
      <c r="P146" s="307">
        <f t="shared" si="65"/>
        <v>3</v>
      </c>
      <c r="Q146" s="307">
        <f t="shared" si="65"/>
        <v>3</v>
      </c>
      <c r="R146" s="307">
        <f t="shared" si="65"/>
        <v>0</v>
      </c>
      <c r="S146" s="313"/>
    </row>
    <row r="147" spans="1:19" x14ac:dyDescent="0.25">
      <c r="A147" s="402"/>
      <c r="B147" s="289" t="s">
        <v>173</v>
      </c>
      <c r="C147" s="229">
        <f>SUMPRODUCT(--($U$8:$U$127=TRUE),--($V$8:$V$127=TRUE),--($W$8:$W$127&gt;0))</f>
        <v>39</v>
      </c>
      <c r="D147" s="149" t="s">
        <v>137</v>
      </c>
      <c r="E147" s="43">
        <f>E146/INDEX('Aegypti Mortality'!$A$3:$Z$52,MATCH("Infected + Disseminated",'Aegypti Mortality'!$A$3:$A$52,0)+1,MATCH(E$7,'Aegypti Mortality'!$A$3:$Z$3,0)-1)%</f>
        <v>0</v>
      </c>
      <c r="F147" s="43">
        <f>F146/INDEX('Aegypti Mortality'!$A$3:$Z$52,MATCH("Infected + Disseminated",'Aegypti Mortality'!$A$3:$A$52,0)+1,MATCH(F$7,'Aegypti Mortality'!$A$3:$Z$3,0)-1)%</f>
        <v>38.235294117647058</v>
      </c>
      <c r="G147" s="43">
        <f>G146/INDEX('Aegypti Mortality'!$A$3:$Z$52,MATCH("Infected + Disseminated",'Aegypti Mortality'!$A$3:$A$52,0)+1,MATCH(G$7,'Aegypti Mortality'!$A$3:$Z$3,0)-1)%</f>
        <v>8.7719298245614041</v>
      </c>
      <c r="H147" s="43">
        <f>H146/INDEX('Aegypti Mortality'!$A$3:$Z$52,MATCH("Infected + Disseminated",'Aegypti Mortality'!$A$3:$A$52,0)+1,MATCH(H$7,'Aegypti Mortality'!$A$3:$Z$3,0)-1)%</f>
        <v>2.0833333333333335</v>
      </c>
      <c r="I147" s="43">
        <f>I146/INDEX('Aegypti Mortality'!$A$3:$Z$52,MATCH("Infected + Disseminated",'Aegypti Mortality'!$A$3:$A$52,0)+1,MATCH(I$7,'Aegypti Mortality'!$A$3:$Z$3,0)-1)%</f>
        <v>27.027027027027028</v>
      </c>
      <c r="J147" s="43">
        <f>J146/INDEX('Aegypti Mortality'!$A$3:$Z$52,MATCH("Infected + Disseminated",'Aegypti Mortality'!$A$3:$A$52,0)+1,MATCH(J$7,'Aegypti Mortality'!$A$3:$Z$3,0)-1)%</f>
        <v>5.7142857142857144</v>
      </c>
      <c r="K147" s="43">
        <f>K146/INDEX('Aegypti Mortality'!$A$3:$Z$52,MATCH("Infected + Disseminated",'Aegypti Mortality'!$A$3:$A$52,0)+1,MATCH(K$7,'Aegypti Mortality'!$A$3:$Z$3,0)-1)%</f>
        <v>37.037037037037038</v>
      </c>
      <c r="L147" s="43">
        <f>L146/INDEX('Aegypti Mortality'!$A$3:$Z$52,MATCH("Infected + Disseminated",'Aegypti Mortality'!$A$3:$A$52,0)+1,MATCH(L$7,'Aegypti Mortality'!$A$3:$Z$3,0)-1)%</f>
        <v>12.5</v>
      </c>
      <c r="M147" s="43">
        <f>M146/INDEX('Aegypti Mortality'!$A$3:$Z$52,MATCH("Infected + Disseminated",'Aegypti Mortality'!$A$3:$A$52,0)+1,MATCH(M$7,'Aegypti Mortality'!$A$3:$Z$3,0)-1)%</f>
        <v>14.285714285714285</v>
      </c>
      <c r="N147" s="43">
        <f>N146/INDEX('Aegypti Mortality'!$A$3:$Z$52,MATCH("Infected + Disseminated",'Aegypti Mortality'!$A$3:$A$52,0)+1,MATCH(N$7,'Aegypti Mortality'!$A$3:$Z$3,0)-1)%</f>
        <v>0</v>
      </c>
      <c r="O147" s="43">
        <f>O146/INDEX('Aegypti Mortality'!$A$3:$Z$52,MATCH("Infected + Disseminated",'Aegypti Mortality'!$A$3:$A$52,0)+1,MATCH(O$7,'Aegypti Mortality'!$A$3:$Z$3,0)-1)%</f>
        <v>10</v>
      </c>
      <c r="P147" s="43">
        <f>P146/INDEX('Aegypti Mortality'!$A$3:$Z$52,MATCH("Infected + Disseminated",'Aegypti Mortality'!$A$3:$A$52,0)+1,MATCH(P$7,'Aegypti Mortality'!$A$3:$Z$3,0)-1)%</f>
        <v>37.5</v>
      </c>
      <c r="Q147" s="43">
        <f>Q146/INDEX('Aegypti Mortality'!$A$3:$Z$52,MATCH("Infected + Disseminated",'Aegypti Mortality'!$A$3:$A$52,0)+1,MATCH(Q$7,'Aegypti Mortality'!$A$3:$Z$3,0)-1)%</f>
        <v>50</v>
      </c>
      <c r="R147" s="43">
        <f>R146/INDEX('Aegypti Mortality'!$A$3:$Z$52,MATCH("Infected + Disseminated",'Aegypti Mortality'!$A$3:$A$52,0)+1,MATCH(R$7,'Aegypti Mortality'!$A$3:$Z$3,0)-1)%</f>
        <v>0</v>
      </c>
      <c r="S147" s="289"/>
    </row>
    <row r="148" spans="1:19" x14ac:dyDescent="0.25">
      <c r="A148" s="402"/>
      <c r="B148" s="289" t="s">
        <v>142</v>
      </c>
      <c r="C148" s="229">
        <f>C146-C147</f>
        <v>29</v>
      </c>
      <c r="D148" s="149" t="s">
        <v>138</v>
      </c>
      <c r="E148" s="149">
        <f>SUMPRODUCT(E$8:E$127,--($U$8:$U$127=TRUE),--($V$8:$V$127=TRUE)/INDEX('Aegypti Mortality'!$A$3:$Z$52,MATCH("Infected + Disseminated",'Aegypti Mortality'!$A$3:$A$52,0)+1,MATCH(E$7,'Aegypti Mortality'!$A$3:$Z$3,0)-1))</f>
        <v>0</v>
      </c>
      <c r="F148" s="149">
        <f>SUMPRODUCT(F$8:F$127,--($U$8:$U$127=TRUE),--($V$8:$V$127=TRUE)/INDEX('Aegypti Mortality'!$A$3:$Z$52,MATCH("Infected + Disseminated",'Aegypti Mortality'!$A$3:$A$52,0)+1,MATCH(F$7,'Aegypti Mortality'!$A$3:$Z$3,0)-1))</f>
        <v>9.75</v>
      </c>
      <c r="G148" s="149">
        <f>SUMPRODUCT(G$8:G$127,--($U$8:$U$127=TRUE),--($V$8:$V$127=TRUE)/INDEX('Aegypti Mortality'!$A$3:$Z$52,MATCH("Infected + Disseminated",'Aegypti Mortality'!$A$3:$A$52,0)+1,MATCH(G$7,'Aegypti Mortality'!$A$3:$Z$3,0)-1))</f>
        <v>0.63157894736842102</v>
      </c>
      <c r="H148" s="149">
        <f>SUMPRODUCT(H$8:H$127,--($U$8:$U$127=TRUE),--($V$8:$V$127=TRUE)/INDEX('Aegypti Mortality'!$A$3:$Z$52,MATCH("Infected + Disseminated",'Aegypti Mortality'!$A$3:$A$52,0)+1,MATCH(H$7,'Aegypti Mortality'!$A$3:$Z$3,0)-1))</f>
        <v>0.14583333333333331</v>
      </c>
      <c r="I148" s="149">
        <f>SUMPRODUCT(I$8:I$127,--($U$8:$U$127=TRUE),--($V$8:$V$127=TRUE)/INDEX('Aegypti Mortality'!$A$3:$Z$52,MATCH("Infected + Disseminated",'Aegypti Mortality'!$A$3:$A$52,0)+1,MATCH(I$7,'Aegypti Mortality'!$A$3:$Z$3,0)-1))</f>
        <v>5.2162162162162167</v>
      </c>
      <c r="J148" s="149">
        <f>SUMPRODUCT(J$8:J$127,--($U$8:$U$127=TRUE),--($V$8:$V$127=TRUE)/INDEX('Aegypti Mortality'!$A$3:$Z$52,MATCH("Infected + Disseminated",'Aegypti Mortality'!$A$3:$A$52,0)+1,MATCH(J$7,'Aegypti Mortality'!$A$3:$Z$3,0)-1))</f>
        <v>2.0857142857142854</v>
      </c>
      <c r="K148" s="149">
        <f>SUMPRODUCT(K$8:K$127,--($U$8:$U$127=TRUE),--($V$8:$V$127=TRUE)/INDEX('Aegypti Mortality'!$A$3:$Z$52,MATCH("Infected + Disseminated",'Aegypti Mortality'!$A$3:$A$52,0)+1,MATCH(K$7,'Aegypti Mortality'!$A$3:$Z$3,0)-1))</f>
        <v>4.2592592592592586</v>
      </c>
      <c r="L148" s="149">
        <f>SUMPRODUCT(L$8:L$127,--($U$8:$U$127=TRUE),--($V$8:$V$127=TRUE)/INDEX('Aegypti Mortality'!$A$3:$Z$52,MATCH("Infected + Disseminated",'Aegypti Mortality'!$A$3:$A$52,0)+1,MATCH(L$7,'Aegypti Mortality'!$A$3:$Z$3,0)-1))</f>
        <v>3.25</v>
      </c>
      <c r="M148" s="149">
        <f>SUMPRODUCT(M$8:M$127,--($U$8:$U$127=TRUE),--($V$8:$V$127=TRUE)/INDEX('Aegypti Mortality'!$A$3:$Z$52,MATCH("Infected + Disseminated",'Aegypti Mortality'!$A$3:$A$52,0)+1,MATCH(M$7,'Aegypti Mortality'!$A$3:$Z$3,0)-1))</f>
        <v>1.5714285714285712</v>
      </c>
      <c r="N148" s="149">
        <f>SUMPRODUCT(N$8:N$127,--($U$8:$U$127=TRUE),--($V$8:$V$127=TRUE)/INDEX('Aegypti Mortality'!$A$3:$Z$52,MATCH("Infected + Disseminated",'Aegypti Mortality'!$A$3:$A$52,0)+1,MATCH(N$7,'Aegypti Mortality'!$A$3:$Z$3,0)-1))</f>
        <v>0</v>
      </c>
      <c r="O148" s="149">
        <f>SUMPRODUCT(O$8:O$127,--($U$8:$U$127=TRUE),--($V$8:$V$127=TRUE)/INDEX('Aegypti Mortality'!$A$3:$Z$52,MATCH("Infected + Disseminated",'Aegypti Mortality'!$A$3:$A$52,0)+1,MATCH(O$7,'Aegypti Mortality'!$A$3:$Z$3,0)-1))</f>
        <v>0.4</v>
      </c>
      <c r="P148" s="149">
        <f>SUMPRODUCT(P$8:P$127,--($U$8:$U$127=TRUE),--($V$8:$V$127=TRUE)/INDEX('Aegypti Mortality'!$A$3:$Z$52,MATCH("Infected + Disseminated",'Aegypti Mortality'!$A$3:$A$52,0)+1,MATCH(P$7,'Aegypti Mortality'!$A$3:$Z$3,0)-1))</f>
        <v>3.5</v>
      </c>
      <c r="Q148" s="149">
        <f>SUMPRODUCT(Q$8:Q$127,--($U$8:$U$127=TRUE),--($V$8:$V$127=TRUE)/INDEX('Aegypti Mortality'!$A$3:$Z$52,MATCH("Infected + Disseminated",'Aegypti Mortality'!$A$3:$A$52,0)+1,MATCH(Q$7,'Aegypti Mortality'!$A$3:$Z$3,0)-1))</f>
        <v>1.9999999999999998</v>
      </c>
      <c r="R148" s="149">
        <f>SUMPRODUCT(R$8:R$127,--($U$8:$U$127=TRUE),--($V$8:$V$127=TRUE)/INDEX('Aegypti Mortality'!$A$3:$Z$52,MATCH("Infected + Disseminated",'Aegypti Mortality'!$A$3:$A$52,0)+1,MATCH(R$7,'Aegypti Mortality'!$A$3:$Z$3,0)-1))</f>
        <v>0</v>
      </c>
      <c r="S148" s="313"/>
    </row>
    <row r="149" spans="1:19" x14ac:dyDescent="0.25">
      <c r="A149" s="402"/>
      <c r="B149" s="289" t="s">
        <v>143</v>
      </c>
      <c r="C149" s="229">
        <f>C147/C146%</f>
        <v>57.352941176470587</v>
      </c>
      <c r="D149" s="149" t="s">
        <v>140</v>
      </c>
      <c r="E149" s="149">
        <f t="array" ref="E149">IFERROR(SUMPRODUCT(--($U$8:$U$127=TRUE),--($V$8:$V$127=TRUE),IFERROR(E$8:E$127/$W$8:$W$127,0))/E$146,0)</f>
        <v>0</v>
      </c>
      <c r="F149" s="149">
        <f t="array" ref="F149">IFERROR(SUMPRODUCT(--($U$8:$U$127=TRUE),--($V$8:$V$127=TRUE),IFERROR(F$8:F$127/$W$8:$W$127,0))/F$146,0)</f>
        <v>0.86423853923853922</v>
      </c>
      <c r="G149" s="149">
        <f t="array" ref="G149">IFERROR(SUMPRODUCT(--($U$8:$U$127=TRUE),--($V$8:$V$127=TRUE),IFERROR(G$8:G$127/$W$8:$W$127,0))/G$146,0)</f>
        <v>0.63857142857142857</v>
      </c>
      <c r="H149" s="149">
        <f t="array" ref="H149">IFERROR(SUMPRODUCT(--($U$8:$U$127=TRUE),--($V$8:$V$127=TRUE),IFERROR(H$8:H$127/$W$8:$W$127,0))/H$146,0)</f>
        <v>1</v>
      </c>
      <c r="I149" s="149">
        <f t="array" ref="I149">IFERROR(SUMPRODUCT(--($U$8:$U$127=TRUE),--($V$8:$V$127=TRUE),IFERROR(I$8:I$127/$W$8:$W$127,0))/I$146,0)</f>
        <v>0.44444402925860726</v>
      </c>
      <c r="J149" s="149">
        <f t="array" ref="J149">IFERROR(SUMPRODUCT(--($U$8:$U$127=TRUE),--($V$8:$V$127=TRUE),IFERROR(J$8:J$127/$W$8:$W$127,0))/J$146,0)</f>
        <v>0.88461538461538458</v>
      </c>
      <c r="K149" s="149">
        <f t="array" ref="K149">IFERROR(SUMPRODUCT(--($U$8:$U$127=TRUE),--($V$8:$V$127=TRUE),IFERROR(K$8:K$127/$W$8:$W$127,0))/K$146,0)</f>
        <v>0.63590909090909098</v>
      </c>
      <c r="L149" s="149">
        <f t="array" ref="L149">IFERROR(SUMPRODUCT(--($U$8:$U$127=TRUE),--($V$8:$V$127=TRUE),IFERROR(L$8:L$127/$W$8:$W$127,0))/L$146,0)</f>
        <v>1</v>
      </c>
      <c r="M149" s="149">
        <f t="array" ref="M149">IFERROR(SUMPRODUCT(--($U$8:$U$127=TRUE),--($V$8:$V$127=TRUE),IFERROR(M$8:M$127/$W$8:$W$127,0))/M$146,0)</f>
        <v>0.24545454545454548</v>
      </c>
      <c r="N149" s="149">
        <f t="array" ref="N149">IFERROR(SUMPRODUCT(--($U$8:$U$127=TRUE),--($V$8:$V$127=TRUE),IFERROR(N$8:N$127/$W$8:$W$127,0))/N$146,0)</f>
        <v>0</v>
      </c>
      <c r="O149" s="149">
        <f t="array" ref="O149">IFERROR(SUMPRODUCT(--($U$8:$U$127=TRUE),--($V$8:$V$127=TRUE),IFERROR(O$8:O$127/$W$8:$W$127,0))/O$146,0)</f>
        <v>0.18181818181818182</v>
      </c>
      <c r="P149" s="149">
        <f t="array" ref="P149">IFERROR(SUMPRODUCT(--($U$8:$U$127=TRUE),--($V$8:$V$127=TRUE),IFERROR(P$8:P$127/$W$8:$W$127,0))/P$146,0)</f>
        <v>0.68181818181818177</v>
      </c>
      <c r="Q149" s="149">
        <f t="array" ref="Q149">IFERROR(SUMPRODUCT(--($U$8:$U$127=TRUE),--($V$8:$V$127=TRUE),IFERROR(Q$8:Q$127/$W$8:$W$127,0))/Q$146,0)</f>
        <v>0.30216450216450214</v>
      </c>
      <c r="R149" s="149">
        <f t="array" ref="R149">IFERROR(SUMPRODUCT(--($U$8:$U$127=TRUE),--($V$8:$V$127=TRUE),IFERROR(R$8:R$127/$W$8:$W$127,0))/R$146,0)</f>
        <v>0</v>
      </c>
      <c r="S149" s="313"/>
    </row>
    <row r="150" spans="1:19" ht="15.75" thickBot="1" x14ac:dyDescent="0.3">
      <c r="A150" s="403"/>
      <c r="B150" s="290" t="s">
        <v>184</v>
      </c>
      <c r="C150" s="339">
        <f t="array" ref="C150">SUM($E150:$R150/$C146)</f>
        <v>17.720588235294116</v>
      </c>
      <c r="D150" s="310" t="s">
        <v>132</v>
      </c>
      <c r="E150" s="310">
        <f t="shared" ref="E150:R150" si="66">SUMPRODUCT(E$8:E$127,--($U$8:$U$127=TRUE),--($V$8:$V$127=TRUE))</f>
        <v>0</v>
      </c>
      <c r="F150" s="310">
        <f t="shared" si="66"/>
        <v>663</v>
      </c>
      <c r="G150" s="310">
        <f t="shared" si="66"/>
        <v>36</v>
      </c>
      <c r="H150" s="310">
        <f t="shared" si="66"/>
        <v>7</v>
      </c>
      <c r="I150" s="310">
        <f t="shared" si="66"/>
        <v>193</v>
      </c>
      <c r="J150" s="310">
        <f t="shared" si="66"/>
        <v>73</v>
      </c>
      <c r="K150" s="310">
        <f t="shared" si="66"/>
        <v>115</v>
      </c>
      <c r="L150" s="310">
        <f t="shared" si="66"/>
        <v>52</v>
      </c>
      <c r="M150" s="310">
        <f t="shared" si="66"/>
        <v>22</v>
      </c>
      <c r="N150" s="310">
        <f t="shared" si="66"/>
        <v>0</v>
      </c>
      <c r="O150" s="310">
        <f t="shared" si="66"/>
        <v>4</v>
      </c>
      <c r="P150" s="310">
        <f t="shared" si="66"/>
        <v>28</v>
      </c>
      <c r="Q150" s="310">
        <f t="shared" si="66"/>
        <v>12</v>
      </c>
      <c r="R150" s="310">
        <f t="shared" si="66"/>
        <v>0</v>
      </c>
      <c r="S150" s="313"/>
    </row>
    <row r="151" spans="1:19" x14ac:dyDescent="0.25">
      <c r="A151" s="404" t="s">
        <v>70</v>
      </c>
      <c r="B151" s="312" t="s">
        <v>172</v>
      </c>
      <c r="C151" s="308">
        <v>120</v>
      </c>
      <c r="D151" s="227" t="s">
        <v>136</v>
      </c>
      <c r="E151" s="307">
        <f>SUMPRODUCT(--(E$8:E$127&gt;0))</f>
        <v>1</v>
      </c>
      <c r="F151" s="307">
        <f t="shared" ref="F151:R151" si="67">SUMPRODUCT(--(F$8:F$127&gt;0))</f>
        <v>55</v>
      </c>
      <c r="G151" s="307">
        <f t="shared" si="67"/>
        <v>7</v>
      </c>
      <c r="H151" s="307">
        <f t="shared" si="67"/>
        <v>2</v>
      </c>
      <c r="I151" s="307">
        <f t="shared" si="67"/>
        <v>18</v>
      </c>
      <c r="J151" s="307">
        <f t="shared" si="67"/>
        <v>5</v>
      </c>
      <c r="K151" s="307">
        <f t="shared" si="67"/>
        <v>22</v>
      </c>
      <c r="L151" s="307">
        <f t="shared" si="67"/>
        <v>5</v>
      </c>
      <c r="M151" s="307">
        <f t="shared" si="67"/>
        <v>2</v>
      </c>
      <c r="N151" s="307">
        <f t="shared" si="67"/>
        <v>0</v>
      </c>
      <c r="O151" s="307">
        <f t="shared" si="67"/>
        <v>1</v>
      </c>
      <c r="P151" s="307">
        <f t="shared" si="67"/>
        <v>5</v>
      </c>
      <c r="Q151" s="307">
        <f t="shared" si="67"/>
        <v>4</v>
      </c>
      <c r="R151" s="307">
        <f t="shared" si="67"/>
        <v>1</v>
      </c>
      <c r="S151" s="313"/>
    </row>
    <row r="152" spans="1:19" x14ac:dyDescent="0.25">
      <c r="A152" s="402"/>
      <c r="B152" s="289" t="s">
        <v>173</v>
      </c>
      <c r="C152" s="229">
        <f>SUMPRODUCT(--($W$8:$W$127&gt;0))</f>
        <v>76</v>
      </c>
      <c r="D152" s="149" t="s">
        <v>137</v>
      </c>
      <c r="E152" s="43">
        <f>E151/INDEX('Aegypti Mortality'!$A$3:$Z$52,MATCH("Total (Exposed)",'Aegypti Mortality'!$A$3:$A$52,0)+1,MATCH(E$7,'Aegypti Mortality'!$A$3:$Z$3,0)-1)%</f>
        <v>0.84033613445378152</v>
      </c>
      <c r="F152" s="43">
        <f>F151/INDEX('Aegypti Mortality'!$A$3:$Z$52,MATCH("Total (Exposed)",'Aegypti Mortality'!$A$3:$A$52,0)+1,MATCH(F$7,'Aegypti Mortality'!$A$3:$Z$3,0)-1)%</f>
        <v>57.291666666666671</v>
      </c>
      <c r="G152" s="43">
        <f>G151/INDEX('Aegypti Mortality'!$A$3:$Z$52,MATCH("Total (Exposed)",'Aegypti Mortality'!$A$3:$A$52,0)+1,MATCH(G$7,'Aegypti Mortality'!$A$3:$Z$3,0)-1)%</f>
        <v>8.8607594936708853</v>
      </c>
      <c r="H152" s="43">
        <f>H151/INDEX('Aegypti Mortality'!$A$3:$Z$52,MATCH("Total (Exposed)",'Aegypti Mortality'!$A$3:$A$52,0)+1,MATCH(H$7,'Aegypti Mortality'!$A$3:$Z$3,0)-1)%</f>
        <v>3.1746031746031744</v>
      </c>
      <c r="I152" s="43">
        <f>I151/INDEX('Aegypti Mortality'!$A$3:$Z$52,MATCH("Total (Exposed)",'Aegypti Mortality'!$A$3:$A$52,0)+1,MATCH(I$7,'Aegypti Mortality'!$A$3:$Z$3,0)-1)%</f>
        <v>31.578947368421055</v>
      </c>
      <c r="J152" s="43">
        <f>J151/INDEX('Aegypti Mortality'!$A$3:$Z$52,MATCH("Total (Exposed)",'Aegypti Mortality'!$A$3:$A$52,0)+1,MATCH(J$7,'Aegypti Mortality'!$A$3:$Z$3,0)-1)%</f>
        <v>10.869565217391305</v>
      </c>
      <c r="K152" s="43">
        <f>K151/INDEX('Aegypti Mortality'!$A$3:$Z$52,MATCH("Total (Exposed)",'Aegypti Mortality'!$A$3:$A$52,0)+1,MATCH(K$7,'Aegypti Mortality'!$A$3:$Z$3,0)-1)%</f>
        <v>81.481481481481481</v>
      </c>
      <c r="L152" s="43">
        <f>L151/INDEX('Aegypti Mortality'!$A$3:$Z$52,MATCH("Total (Exposed)",'Aegypti Mortality'!$A$3:$A$52,0)+1,MATCH(L$7,'Aegypti Mortality'!$A$3:$Z$3,0)-1)%</f>
        <v>27.777777777777779</v>
      </c>
      <c r="M152" s="43">
        <f>M151/INDEX('Aegypti Mortality'!$A$3:$Z$52,MATCH("Total (Exposed)",'Aegypti Mortality'!$A$3:$A$52,0)+1,MATCH(M$7,'Aegypti Mortality'!$A$3:$Z$3,0)-1)%</f>
        <v>14.285714285714285</v>
      </c>
      <c r="N152" s="43">
        <f>N151/INDEX('Aegypti Mortality'!$A$3:$Z$52,MATCH("Total (Exposed)",'Aegypti Mortality'!$A$3:$A$52,0)+1,MATCH(N$7,'Aegypti Mortality'!$A$3:$Z$3,0)-1)%</f>
        <v>0</v>
      </c>
      <c r="O152" s="43">
        <f>O151/INDEX('Aegypti Mortality'!$A$3:$Z$52,MATCH("Total (Exposed)",'Aegypti Mortality'!$A$3:$A$52,0)+1,MATCH(O$7,'Aegypti Mortality'!$A$3:$Z$3,0)-1)%</f>
        <v>9.0909090909090917</v>
      </c>
      <c r="P152" s="43">
        <f>P151/INDEX('Aegypti Mortality'!$A$3:$Z$52,MATCH("Total (Exposed)",'Aegypti Mortality'!$A$3:$A$52,0)+1,MATCH(P$7,'Aegypti Mortality'!$A$3:$Z$3,0)-1)%</f>
        <v>55.555555555555557</v>
      </c>
      <c r="Q152" s="43">
        <f>Q151/INDEX('Aegypti Mortality'!$A$3:$Z$52,MATCH("Total (Exposed)",'Aegypti Mortality'!$A$3:$A$52,0)+1,MATCH(Q$7,'Aegypti Mortality'!$A$3:$Z$3,0)-1)%</f>
        <v>80</v>
      </c>
      <c r="R152" s="43">
        <f>R151/INDEX('Aegypti Mortality'!$A$3:$Z$52,MATCH("Total (Exposed)",'Aegypti Mortality'!$A$3:$A$52,0)+1,MATCH(R$7,'Aegypti Mortality'!$A$3:$Z$3,0)-1)%</f>
        <v>100</v>
      </c>
      <c r="S152" s="289"/>
    </row>
    <row r="153" spans="1:19" x14ac:dyDescent="0.25">
      <c r="A153" s="402"/>
      <c r="B153" s="289" t="s">
        <v>142</v>
      </c>
      <c r="C153" s="229">
        <f>C151-C152</f>
        <v>44</v>
      </c>
      <c r="D153" s="149" t="s">
        <v>138</v>
      </c>
      <c r="E153" s="149">
        <f>SUMPRODUCT(E$8:E$127)/INDEX('Aegypti Mortality'!$A$3:$Z$52,MATCH("Total (Exposed)",'Aegypti Mortality'!$A$3:$A$52,0)+1,MATCH(E$7,'Aegypti Mortality'!$A$3:$Z$3,0)-1)</f>
        <v>0.42016806722689076</v>
      </c>
      <c r="F153" s="149">
        <f>SUMPRODUCT(F$8:F$127)/INDEX('Aegypti Mortality'!$A$3:$Z$52,MATCH("Total (Exposed)",'Aegypti Mortality'!$A$3:$A$52,0)+1,MATCH(F$7,'Aegypti Mortality'!$A$3:$Z$3,0)-1)</f>
        <v>14.291666666666666</v>
      </c>
      <c r="G153" s="149">
        <f>SUMPRODUCT(G$8:G$127)/INDEX('Aegypti Mortality'!$A$3:$Z$52,MATCH("Total (Exposed)",'Aegypti Mortality'!$A$3:$A$52,0)+1,MATCH(G$7,'Aegypti Mortality'!$A$3:$Z$3,0)-1)</f>
        <v>0.94936708860759489</v>
      </c>
      <c r="H153" s="149">
        <f>SUMPRODUCT(H$8:H$127)/INDEX('Aegypti Mortality'!$A$3:$Z$52,MATCH("Total (Exposed)",'Aegypti Mortality'!$A$3:$A$52,0)+1,MATCH(H$7,'Aegypti Mortality'!$A$3:$Z$3,0)-1)</f>
        <v>0.44444444444444442</v>
      </c>
      <c r="I153" s="149">
        <f>SUMPRODUCT(I$8:I$127)/INDEX('Aegypti Mortality'!$A$3:$Z$52,MATCH("Total (Exposed)",'Aegypti Mortality'!$A$3:$A$52,0)+1,MATCH(I$7,'Aegypti Mortality'!$A$3:$Z$3,0)-1)</f>
        <v>6.1578947368421053</v>
      </c>
      <c r="J153" s="149">
        <f>SUMPRODUCT(J$8:J$127)/INDEX('Aegypti Mortality'!$A$3:$Z$52,MATCH("Total (Exposed)",'Aegypti Mortality'!$A$3:$A$52,0)+1,MATCH(J$7,'Aegypti Mortality'!$A$3:$Z$3,0)-1)</f>
        <v>2.4565217391304346</v>
      </c>
      <c r="K153" s="149">
        <f>SUMPRODUCT(K$8:K$127)/INDEX('Aegypti Mortality'!$A$3:$Z$52,MATCH("Total (Exposed)",'Aegypti Mortality'!$A$3:$A$52,0)+1,MATCH(K$7,'Aegypti Mortality'!$A$3:$Z$3,0)-1)</f>
        <v>14.037037037037036</v>
      </c>
      <c r="L153" s="149">
        <f>SUMPRODUCT(L$8:L$127)/INDEX('Aegypti Mortality'!$A$3:$Z$52,MATCH("Total (Exposed)",'Aegypti Mortality'!$A$3:$A$52,0)+1,MATCH(L$7,'Aegypti Mortality'!$A$3:$Z$3,0)-1)</f>
        <v>4.4444444444444446</v>
      </c>
      <c r="M153" s="149">
        <f>SUMPRODUCT(M$8:M$127)/INDEX('Aegypti Mortality'!$A$3:$Z$52,MATCH("Total (Exposed)",'Aegypti Mortality'!$A$3:$A$52,0)+1,MATCH(M$7,'Aegypti Mortality'!$A$3:$Z$3,0)-1)</f>
        <v>1.5714285714285714</v>
      </c>
      <c r="N153" s="149">
        <f>SUMPRODUCT(N$8:N$127)/INDEX('Aegypti Mortality'!$A$3:$Z$52,MATCH("Total (Exposed)",'Aegypti Mortality'!$A$3:$A$52,0)+1,MATCH(N$7,'Aegypti Mortality'!$A$3:$Z$3,0)-1)</f>
        <v>0</v>
      </c>
      <c r="O153" s="149">
        <f>SUMPRODUCT(O$8:O$127)/INDEX('Aegypti Mortality'!$A$3:$Z$52,MATCH("Total (Exposed)",'Aegypti Mortality'!$A$3:$A$52,0)+1,MATCH(O$7,'Aegypti Mortality'!$A$3:$Z$3,0)-1)</f>
        <v>0.36363636363636365</v>
      </c>
      <c r="P153" s="149">
        <f>SUMPRODUCT(P$8:P$127)/INDEX('Aegypti Mortality'!$A$3:$Z$52,MATCH("Total (Exposed)",'Aegypti Mortality'!$A$3:$A$52,0)+1,MATCH(P$7,'Aegypti Mortality'!$A$3:$Z$3,0)-1)</f>
        <v>6.5555555555555554</v>
      </c>
      <c r="Q153" s="149">
        <f>SUMPRODUCT(Q$8:Q$127)/INDEX('Aegypti Mortality'!$A$3:$Z$52,MATCH("Total (Exposed)",'Aegypti Mortality'!$A$3:$A$52,0)+1,MATCH(Q$7,'Aegypti Mortality'!$A$3:$Z$3,0)-1)</f>
        <v>8.4</v>
      </c>
      <c r="R153" s="149">
        <f>SUMPRODUCT(R$8:R$127)/INDEX('Aegypti Mortality'!$A$3:$Z$52,MATCH("Total (Exposed)",'Aegypti Mortality'!$A$3:$A$52,0)+1,MATCH(R$7,'Aegypti Mortality'!$A$3:$Z$3,0)-1)</f>
        <v>5</v>
      </c>
      <c r="S153" s="313"/>
    </row>
    <row r="154" spans="1:19" x14ac:dyDescent="0.25">
      <c r="A154" s="402"/>
      <c r="B154" s="289" t="s">
        <v>143</v>
      </c>
      <c r="C154" s="229">
        <f>C152/C151%</f>
        <v>63.333333333333336</v>
      </c>
      <c r="D154" s="149" t="s">
        <v>140</v>
      </c>
      <c r="E154" s="149">
        <f t="array" ref="E154">IFERROR(SUM(IFERROR(E$8:E$127/$W$8:$W$127,0))/E$151,0)</f>
        <v>1</v>
      </c>
      <c r="F154" s="149">
        <f t="array" ref="F154">IFERROR(SUM(IFERROR(F$8:F$127/$W$8:$W$127,0))/F$151,0)</f>
        <v>0.84245196285684643</v>
      </c>
      <c r="G154" s="149">
        <f t="array" ref="G154">IFERROR(SUM(IFERROR(G$8:G$127/$W$8:$W$127,0))/G$151,0)</f>
        <v>0.64183673469387759</v>
      </c>
      <c r="H154" s="149">
        <f t="array" ref="H154">IFERROR(SUM(IFERROR(H$8:H$127/$W$8:$W$127,0))/H$151,0)</f>
        <v>1</v>
      </c>
      <c r="I154" s="149">
        <f t="array" ref="I154">IFERROR(SUM(IFERROR(I$8:I$127/$W$8:$W$127,0))/I$151,0)</f>
        <v>0.56850726493203052</v>
      </c>
      <c r="J154" s="149">
        <f t="array" ref="J154">IFERROR(SUM(IFERROR(J$8:J$127/$W$8:$W$127,0))/J$151,0)</f>
        <v>0.7615384615384615</v>
      </c>
      <c r="K154" s="149">
        <f t="array" ref="K154">IFERROR(SUM(IFERROR(K$8:K$127/$W$8:$W$127,0))/K$151,0)</f>
        <v>0.62898541314561274</v>
      </c>
      <c r="L154" s="149">
        <f t="array" ref="L154">IFERROR(SUM(IFERROR(L$8:L$127/$W$8:$W$127,0))/L$151,0)</f>
        <v>0.5526470021206864</v>
      </c>
      <c r="M154" s="149">
        <f t="array" ref="M154">IFERROR(SUM(IFERROR(M$8:M$127/$W$8:$W$127,0))/M$151,0)</f>
        <v>0.24545454545454548</v>
      </c>
      <c r="N154" s="149">
        <f t="array" ref="N154">IFERROR(SUM(IFERROR(N$8:N$127/$W$8:$W$127,0))/N$151,0)</f>
        <v>0</v>
      </c>
      <c r="O154" s="149">
        <f t="array" ref="O154">IFERROR(SUM(IFERROR(O$8:O$127/$W$8:$W$127,0))/O$151,0)</f>
        <v>0.18181818181818182</v>
      </c>
      <c r="P154" s="149">
        <f t="array" ref="P154">IFERROR(SUM(IFERROR(P$8:P$127/$W$8:$W$127,0))/P$151,0)</f>
        <v>0.49678321678321674</v>
      </c>
      <c r="Q154" s="149">
        <f t="array" ref="Q154">IFERROR(SUM(IFERROR(Q$8:Q$127/$W$8:$W$127,0))/Q$151,0)</f>
        <v>0.47662337662337662</v>
      </c>
      <c r="R154" s="149">
        <f t="array" ref="R154">IFERROR(SUM(IFERROR(R$8:R$127/$W$8:$W$127,0))/R$151,0)</f>
        <v>6.4102564102564097E-2</v>
      </c>
      <c r="S154" s="313"/>
    </row>
    <row r="155" spans="1:19" ht="15.75" thickBot="1" x14ac:dyDescent="0.3">
      <c r="A155" s="403"/>
      <c r="B155" s="290" t="s">
        <v>184</v>
      </c>
      <c r="C155" s="339">
        <f t="array" ref="C155">SUM($E155:$R155/$C151)</f>
        <v>21.500000000000007</v>
      </c>
      <c r="D155" s="310" t="s">
        <v>132</v>
      </c>
      <c r="E155" s="310">
        <f>SUMPRODUCT(E$8:E$127)</f>
        <v>50</v>
      </c>
      <c r="F155" s="310">
        <f t="shared" ref="F155:R155" si="68">SUMPRODUCT(F$8:F$127)</f>
        <v>1372</v>
      </c>
      <c r="G155" s="310">
        <f t="shared" si="68"/>
        <v>75</v>
      </c>
      <c r="H155" s="310">
        <f t="shared" si="68"/>
        <v>28</v>
      </c>
      <c r="I155" s="310">
        <f t="shared" si="68"/>
        <v>351</v>
      </c>
      <c r="J155" s="310">
        <f t="shared" si="68"/>
        <v>113</v>
      </c>
      <c r="K155" s="310">
        <f t="shared" si="68"/>
        <v>379</v>
      </c>
      <c r="L155" s="310">
        <f t="shared" si="68"/>
        <v>80</v>
      </c>
      <c r="M155" s="310">
        <f t="shared" si="68"/>
        <v>22</v>
      </c>
      <c r="N155" s="310">
        <f t="shared" si="68"/>
        <v>0</v>
      </c>
      <c r="O155" s="310">
        <f t="shared" si="68"/>
        <v>4</v>
      </c>
      <c r="P155" s="310">
        <f t="shared" si="68"/>
        <v>59</v>
      </c>
      <c r="Q155" s="310">
        <f t="shared" si="68"/>
        <v>42</v>
      </c>
      <c r="R155" s="310">
        <f t="shared" si="68"/>
        <v>5</v>
      </c>
      <c r="S155" s="313"/>
    </row>
    <row r="156" spans="1:19" x14ac:dyDescent="0.25">
      <c r="A156" s="402" t="s">
        <v>6</v>
      </c>
      <c r="B156" s="312" t="s">
        <v>172</v>
      </c>
      <c r="C156" s="309">
        <v>40</v>
      </c>
      <c r="D156" s="288" t="s">
        <v>136</v>
      </c>
      <c r="E156" s="307">
        <f>SUMPRODUCT(--(E$172:E$211&gt;0))</f>
        <v>0</v>
      </c>
      <c r="F156" s="307">
        <f t="shared" ref="F156:R156" si="69">SUMPRODUCT(--(F$172:F$211&gt;0))</f>
        <v>21</v>
      </c>
      <c r="G156" s="307">
        <f t="shared" si="69"/>
        <v>0</v>
      </c>
      <c r="H156" s="307">
        <f t="shared" si="69"/>
        <v>0</v>
      </c>
      <c r="I156" s="307">
        <f t="shared" si="69"/>
        <v>5</v>
      </c>
      <c r="J156" s="307">
        <f t="shared" si="69"/>
        <v>0</v>
      </c>
      <c r="K156" s="307">
        <f t="shared" si="69"/>
        <v>5</v>
      </c>
      <c r="L156" s="307">
        <f t="shared" si="69"/>
        <v>1</v>
      </c>
      <c r="M156" s="307">
        <f t="shared" si="69"/>
        <v>1</v>
      </c>
      <c r="N156" s="307">
        <f t="shared" si="69"/>
        <v>0</v>
      </c>
      <c r="O156" s="307">
        <f t="shared" si="69"/>
        <v>2</v>
      </c>
      <c r="P156" s="307">
        <f t="shared" si="69"/>
        <v>2</v>
      </c>
      <c r="Q156" s="307">
        <f t="shared" si="69"/>
        <v>1</v>
      </c>
      <c r="R156" s="308">
        <f t="shared" si="69"/>
        <v>1</v>
      </c>
      <c r="S156" s="313"/>
    </row>
    <row r="157" spans="1:19" x14ac:dyDescent="0.25">
      <c r="A157" s="402"/>
      <c r="B157" s="289" t="s">
        <v>173</v>
      </c>
      <c r="C157" s="229">
        <f>SUMPRODUCT(--($U$172:$U$211&gt;0))</f>
        <v>23</v>
      </c>
      <c r="D157" s="313" t="s">
        <v>137</v>
      </c>
      <c r="E157" s="43">
        <f>E156/INDEX('Aegypti Mortality'!$A$3:$Z$52,MATCH("Control",'Aegypti Mortality'!$A$3:$A$52,0)+1,MATCH(E$7,'Aegypti Mortality'!$A$3:$Z$3,0)-1)%</f>
        <v>0</v>
      </c>
      <c r="F157" s="43">
        <f>F156/INDEX('Aegypti Mortality'!$A$3:$Z$52,MATCH("Control",'Aegypti Mortality'!$A$3:$A$52,0)+1,MATCH(F$7,'Aegypti Mortality'!$A$3:$Z$3,0)-1)%</f>
        <v>72.413793103448285</v>
      </c>
      <c r="G157" s="43">
        <f>G156/INDEX('Aegypti Mortality'!$A$3:$Z$52,MATCH("Control",'Aegypti Mortality'!$A$3:$A$52,0)+1,MATCH(G$7,'Aegypti Mortality'!$A$3:$Z$3,0)-1)%</f>
        <v>0</v>
      </c>
      <c r="H157" s="43">
        <f>H156/INDEX('Aegypti Mortality'!$A$3:$Z$52,MATCH("Control",'Aegypti Mortality'!$A$3:$A$52,0)+1,MATCH(H$7,'Aegypti Mortality'!$A$3:$Z$3,0)-1)%</f>
        <v>0</v>
      </c>
      <c r="I157" s="43">
        <f>I156/INDEX('Aegypti Mortality'!$A$3:$Z$52,MATCH("Control",'Aegypti Mortality'!$A$3:$A$52,0)+1,MATCH(I$7,'Aegypti Mortality'!$A$3:$Z$3,0)-1)%</f>
        <v>35.714285714285708</v>
      </c>
      <c r="J157" s="43">
        <f>J156/INDEX('Aegypti Mortality'!$A$3:$Z$52,MATCH("Control",'Aegypti Mortality'!$A$3:$A$52,0)+1,MATCH(J$7,'Aegypti Mortality'!$A$3:$Z$3,0)-1)%</f>
        <v>0</v>
      </c>
      <c r="K157" s="43">
        <f>K156/INDEX('Aegypti Mortality'!$A$3:$Z$52,MATCH("Control",'Aegypti Mortality'!$A$3:$A$52,0)+1,MATCH(K$7,'Aegypti Mortality'!$A$3:$Z$3,0)-1)%</f>
        <v>38.46153846153846</v>
      </c>
      <c r="L157" s="43">
        <f>L156/INDEX('Aegypti Mortality'!$A$3:$Z$52,MATCH("Control",'Aegypti Mortality'!$A$3:$A$52,0)+1,MATCH(L$7,'Aegypti Mortality'!$A$3:$Z$3,0)-1)%</f>
        <v>20</v>
      </c>
      <c r="M157" s="43">
        <f>M156/INDEX('Aegypti Mortality'!$A$3:$Z$52,MATCH("Control",'Aegypti Mortality'!$A$3:$A$52,0)+1,MATCH(M$7,'Aegypti Mortality'!$A$3:$Z$3,0)-1)%</f>
        <v>33.333333333333336</v>
      </c>
      <c r="N157" s="43">
        <f>N156/INDEX('Aegypti Mortality'!$A$3:$Z$52,MATCH("Control",'Aegypti Mortality'!$A$3:$A$52,0)+1,MATCH(N$7,'Aegypti Mortality'!$A$3:$Z$3,0)-1)%</f>
        <v>0</v>
      </c>
      <c r="O157" s="43">
        <f>O156/INDEX('Aegypti Mortality'!$A$3:$Z$52,MATCH("Control",'Aegypti Mortality'!$A$3:$A$52,0)+1,MATCH(O$7,'Aegypti Mortality'!$A$3:$Z$3,0)-1)%</f>
        <v>100</v>
      </c>
      <c r="P157" s="43">
        <f>P156/INDEX('Aegypti Mortality'!$A$3:$Z$52,MATCH("Control",'Aegypti Mortality'!$A$3:$A$52,0)+1,MATCH(P$7,'Aegypti Mortality'!$A$3:$Z$3,0)-1)%</f>
        <v>100</v>
      </c>
      <c r="Q157" s="43">
        <f>Q156/INDEX('Aegypti Mortality'!$A$3:$Z$52,MATCH("Control",'Aegypti Mortality'!$A$3:$A$52,0)+1,MATCH(Q$7,'Aegypti Mortality'!$A$3:$Z$3,0)-1)%</f>
        <v>50</v>
      </c>
      <c r="R157" s="229">
        <f>R156/INDEX('Aegypti Mortality'!$A$3:$Z$52,MATCH("Control",'Aegypti Mortality'!$A$3:$A$52,0)+1,MATCH(R$7,'Aegypti Mortality'!$A$3:$Z$3,0)-1)%</f>
        <v>100</v>
      </c>
      <c r="S157" s="313"/>
    </row>
    <row r="158" spans="1:19" x14ac:dyDescent="0.25">
      <c r="A158" s="402"/>
      <c r="B158" s="289" t="s">
        <v>142</v>
      </c>
      <c r="C158" s="229">
        <f>C156-C157</f>
        <v>17</v>
      </c>
      <c r="D158" s="313" t="s">
        <v>138</v>
      </c>
      <c r="E158" s="149">
        <f>SUMPRODUCT(E$8:E$127,--($U$8:$U$127=FALSE))/INDEX('Aegypti Mortality'!$A$3:$Z$52,MATCH("Control",'Aegypti Mortality'!$A$3:$A$52,0)+1,MATCH(E$7,'Aegypti Mortality'!$A$3:$Z$3,0)-1)</f>
        <v>0</v>
      </c>
      <c r="F158" s="149">
        <f>SUMPRODUCT(F$8:F$127,--($U$8:$U$127=FALSE))/INDEX('Aegypti Mortality'!$A$3:$Z$52,MATCH("Control",'Aegypti Mortality'!$A$3:$A$52,0)+1,MATCH(F$7,'Aegypti Mortality'!$A$3:$Z$3,0)-1)</f>
        <v>16.689655172413794</v>
      </c>
      <c r="G158" s="149">
        <f>SUMPRODUCT(G$8:G$127,--($U$8:$U$127=FALSE))/INDEX('Aegypti Mortality'!$A$3:$Z$52,MATCH("Control",'Aegypti Mortality'!$A$3:$A$52,0)+1,MATCH(G$7,'Aegypti Mortality'!$A$3:$Z$3,0)-1)</f>
        <v>1.5714285714285714</v>
      </c>
      <c r="H158" s="149">
        <f>SUMPRODUCT(H$8:H$127,--($U$8:$U$127=FALSE))/INDEX('Aegypti Mortality'!$A$3:$Z$52,MATCH("Control",'Aegypti Mortality'!$A$3:$A$52,0)+1,MATCH(H$7,'Aegypti Mortality'!$A$3:$Z$3,0)-1)</f>
        <v>0</v>
      </c>
      <c r="I158" s="149">
        <f>SUMPRODUCT(I$8:I$127,--($U$8:$U$127=FALSE))/INDEX('Aegypti Mortality'!$A$3:$Z$52,MATCH("Control",'Aegypti Mortality'!$A$3:$A$52,0)+1,MATCH(I$7,'Aegypti Mortality'!$A$3:$Z$3,0)-1)</f>
        <v>7.2857142857142856</v>
      </c>
      <c r="J158" s="149">
        <f>SUMPRODUCT(J$8:J$127,--($U$8:$U$127=FALSE))/INDEX('Aegypti Mortality'!$A$3:$Z$52,MATCH("Control",'Aegypti Mortality'!$A$3:$A$52,0)+1,MATCH(J$7,'Aegypti Mortality'!$A$3:$Z$3,0)-1)</f>
        <v>2.8571428571428572</v>
      </c>
      <c r="K158" s="149">
        <f>SUMPRODUCT(K$8:K$127,--($U$8:$U$127=FALSE))/INDEX('Aegypti Mortality'!$A$3:$Z$52,MATCH("Control",'Aegypti Mortality'!$A$3:$A$52,0)+1,MATCH(K$7,'Aegypti Mortality'!$A$3:$Z$3,0)-1)</f>
        <v>11.538461538461538</v>
      </c>
      <c r="L158" s="149">
        <f>SUMPRODUCT(L$8:L$127,--($U$8:$U$127=FALSE))/INDEX('Aegypti Mortality'!$A$3:$Z$52,MATCH("Control",'Aegypti Mortality'!$A$3:$A$52,0)+1,MATCH(L$7,'Aegypti Mortality'!$A$3:$Z$3,0)-1)</f>
        <v>5.6</v>
      </c>
      <c r="M158" s="149">
        <f>SUMPRODUCT(M$8:M$127,--($U$8:$U$127=FALSE))/INDEX('Aegypti Mortality'!$A$3:$Z$52,MATCH("Control",'Aegypti Mortality'!$A$3:$A$52,0)+1,MATCH(M$7,'Aegypti Mortality'!$A$3:$Z$3,0)-1)</f>
        <v>0</v>
      </c>
      <c r="N158" s="149">
        <f>SUMPRODUCT(N$8:N$127,--($U$8:$U$127=FALSE))/INDEX('Aegypti Mortality'!$A$3:$Z$52,MATCH("Control",'Aegypti Mortality'!$A$3:$A$52,0)+1,MATCH(N$7,'Aegypti Mortality'!$A$3:$Z$3,0)-1)</f>
        <v>0</v>
      </c>
      <c r="O158" s="149">
        <f>SUMPRODUCT(O$8:O$127,--($U$8:$U$127=FALSE))/INDEX('Aegypti Mortality'!$A$3:$Z$52,MATCH("Control",'Aegypti Mortality'!$A$3:$A$52,0)+1,MATCH(O$7,'Aegypti Mortality'!$A$3:$Z$3,0)-1)</f>
        <v>0</v>
      </c>
      <c r="P158" s="149">
        <f>SUMPRODUCT(P$8:P$127,--($U$8:$U$127=FALSE))/INDEX('Aegypti Mortality'!$A$3:$Z$52,MATCH("Control",'Aegypti Mortality'!$A$3:$A$52,0)+1,MATCH(P$7,'Aegypti Mortality'!$A$3:$Z$3,0)-1)</f>
        <v>1</v>
      </c>
      <c r="Q158" s="149">
        <f>SUMPRODUCT(Q$8:Q$127,--($U$8:$U$127=FALSE))/INDEX('Aegypti Mortality'!$A$3:$Z$52,MATCH("Control",'Aegypti Mortality'!$A$3:$A$52,0)+1,MATCH(Q$7,'Aegypti Mortality'!$A$3:$Z$3,0)-1)</f>
        <v>15</v>
      </c>
      <c r="R158" s="309">
        <f>SUMPRODUCT(R$8:R$127,--($U$8:$U$127=FALSE))/INDEX('Aegypti Mortality'!$A$3:$Z$52,MATCH("Control",'Aegypti Mortality'!$A$3:$A$52,0)+1,MATCH(R$7,'Aegypti Mortality'!$A$3:$Z$3,0)-1)</f>
        <v>0</v>
      </c>
      <c r="S158" s="313"/>
    </row>
    <row r="159" spans="1:19" x14ac:dyDescent="0.25">
      <c r="A159" s="402"/>
      <c r="B159" s="289" t="s">
        <v>143</v>
      </c>
      <c r="C159" s="229">
        <f>C157/C156%</f>
        <v>57.5</v>
      </c>
      <c r="D159" s="313" t="s">
        <v>140</v>
      </c>
      <c r="E159" s="149">
        <f t="array" ref="E159">IFERROR(SUM(IFERROR(E$172:E$211/$W$172:$W$211,0))/E$156,0)</f>
        <v>0</v>
      </c>
      <c r="F159" s="149">
        <f t="array" ref="F159">IFERROR(SUM(IFERROR(F$172:F$211/$W$172:$W$211,0))/F$156,0)</f>
        <v>0</v>
      </c>
      <c r="G159" s="149">
        <f t="array" ref="G159">IFERROR(SUM(IFERROR(G$172:G$211/$W$172:$W$211,0))/G$156,0)</f>
        <v>0</v>
      </c>
      <c r="H159" s="149">
        <f t="array" ref="H159">IFERROR(SUM(IFERROR(H$172:H$211/$W$172:$W$211,0))/H$156,0)</f>
        <v>0</v>
      </c>
      <c r="I159" s="149">
        <f t="array" ref="I159">IFERROR(SUM(IFERROR(I$172:I$211/$W$172:$W$211,0))/I$156,0)</f>
        <v>0</v>
      </c>
      <c r="J159" s="149">
        <f t="array" ref="J159">IFERROR(SUM(IFERROR(J$172:J$211/$W$172:$W$211,0))/J$156,0)</f>
        <v>0</v>
      </c>
      <c r="K159" s="149">
        <f t="array" ref="K159">IFERROR(SUM(IFERROR(K$172:K$211/$W$172:$W$211,0))/K$156,0)</f>
        <v>0</v>
      </c>
      <c r="L159" s="149">
        <f t="array" ref="L159">IFERROR(SUM(IFERROR(L$172:L$211/$W$172:$W$211,0))/L$156,0)</f>
        <v>0</v>
      </c>
      <c r="M159" s="149">
        <f t="array" ref="M159">IFERROR(SUM(IFERROR(M$172:M$211/$W$172:$W$211,0))/M$156,0)</f>
        <v>0</v>
      </c>
      <c r="N159" s="149">
        <f t="array" ref="N159">IFERROR(SUM(IFERROR(N$172:N$211/$W$172:$W$211,0))/N$156,0)</f>
        <v>0</v>
      </c>
      <c r="O159" s="149">
        <f t="array" ref="O159">IFERROR(SUM(IFERROR(O$172:O$211/$W$172:$W$211,0))/O$156,0)</f>
        <v>0</v>
      </c>
      <c r="P159" s="149">
        <f t="array" ref="P159">IFERROR(SUM(IFERROR(P$172:P$211/$W$172:$W$211,0))/P$156,0)</f>
        <v>0</v>
      </c>
      <c r="Q159" s="149">
        <f t="array" ref="Q159">IFERROR(SUM(IFERROR(Q$172:Q$211/$W$172:$W$211,0))/Q$156,0)</f>
        <v>0</v>
      </c>
      <c r="R159" s="309">
        <f t="array" ref="R159">IFERROR(SUM(IFERROR(R$172:R$211/$W$172:$W$211,0))/R$156,0)</f>
        <v>0</v>
      </c>
      <c r="S159" s="313"/>
    </row>
    <row r="160" spans="1:19" ht="15.75" thickBot="1" x14ac:dyDescent="0.3">
      <c r="A160" s="403"/>
      <c r="B160" s="290" t="s">
        <v>184</v>
      </c>
      <c r="C160" s="339">
        <f t="array" ref="C160">SUM($E160:$R160/$C156)</f>
        <v>33.274999999999999</v>
      </c>
      <c r="D160" s="338" t="s">
        <v>132</v>
      </c>
      <c r="E160" s="310">
        <f>SUMPRODUCT(E$172:E$211)</f>
        <v>0</v>
      </c>
      <c r="F160" s="310">
        <f t="shared" ref="F160:R160" si="70">SUMPRODUCT(F$172:F$211)</f>
        <v>871</v>
      </c>
      <c r="G160" s="310">
        <f t="shared" si="70"/>
        <v>0</v>
      </c>
      <c r="H160" s="310">
        <f t="shared" si="70"/>
        <v>0</v>
      </c>
      <c r="I160" s="310">
        <f t="shared" si="70"/>
        <v>216</v>
      </c>
      <c r="J160" s="310">
        <f t="shared" si="70"/>
        <v>0</v>
      </c>
      <c r="K160" s="310">
        <f t="shared" si="70"/>
        <v>107</v>
      </c>
      <c r="L160" s="310">
        <f t="shared" si="70"/>
        <v>5</v>
      </c>
      <c r="M160" s="310">
        <f t="shared" si="70"/>
        <v>8</v>
      </c>
      <c r="N160" s="310">
        <f t="shared" si="70"/>
        <v>0</v>
      </c>
      <c r="O160" s="310">
        <f t="shared" si="70"/>
        <v>16</v>
      </c>
      <c r="P160" s="310">
        <f t="shared" si="70"/>
        <v>37</v>
      </c>
      <c r="Q160" s="310">
        <f t="shared" si="70"/>
        <v>70</v>
      </c>
      <c r="R160" s="311">
        <f t="shared" si="70"/>
        <v>1</v>
      </c>
      <c r="S160" s="313"/>
    </row>
    <row r="161" spans="1:63" x14ac:dyDescent="0.25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</row>
    <row r="162" spans="1:63" x14ac:dyDescent="0.25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</row>
    <row r="163" spans="1:63" x14ac:dyDescent="0.25">
      <c r="A163" s="149"/>
      <c r="B163" t="s">
        <v>187</v>
      </c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</row>
    <row r="164" spans="1:63" x14ac:dyDescent="0.25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</row>
    <row r="165" spans="1:63" x14ac:dyDescent="0.2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</row>
    <row r="166" spans="1:63" ht="14.25" customHeight="1" x14ac:dyDescent="0.25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</row>
    <row r="167" spans="1:63" ht="11.25" customHeight="1" x14ac:dyDescent="0.25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</row>
    <row r="168" spans="1:63" x14ac:dyDescent="0.25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</row>
    <row r="169" spans="1:63" x14ac:dyDescent="0.25">
      <c r="A169" s="149"/>
      <c r="B169" s="149"/>
      <c r="C169" s="149"/>
      <c r="D169" s="156">
        <v>42838</v>
      </c>
      <c r="E169" s="41">
        <v>42839</v>
      </c>
      <c r="F169" s="41">
        <v>42842</v>
      </c>
      <c r="G169" s="156">
        <v>42843</v>
      </c>
      <c r="H169" s="41">
        <v>42844</v>
      </c>
      <c r="I169" s="41">
        <v>42845</v>
      </c>
      <c r="J169" s="156">
        <v>42846</v>
      </c>
      <c r="K169" s="41">
        <v>42849</v>
      </c>
      <c r="L169" s="156">
        <v>42850</v>
      </c>
      <c r="M169" s="41">
        <v>42851</v>
      </c>
      <c r="N169" s="41">
        <v>42852</v>
      </c>
      <c r="O169" s="156">
        <v>42853</v>
      </c>
      <c r="P169" s="41">
        <v>42856</v>
      </c>
      <c r="Q169" s="156">
        <v>42857</v>
      </c>
      <c r="R169" s="150">
        <v>42858</v>
      </c>
      <c r="AL169" t="s">
        <v>6</v>
      </c>
    </row>
    <row r="170" spans="1:63" x14ac:dyDescent="0.25">
      <c r="C170" s="45" t="s">
        <v>15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 t="s">
        <v>16</v>
      </c>
      <c r="U170" t="s">
        <v>144</v>
      </c>
      <c r="V170" t="s">
        <v>97</v>
      </c>
      <c r="AL170" t="s">
        <v>159</v>
      </c>
      <c r="AO170" s="122">
        <v>42929</v>
      </c>
    </row>
    <row r="171" spans="1:63" x14ac:dyDescent="0.25">
      <c r="C171" s="212"/>
      <c r="AR171" t="s">
        <v>161</v>
      </c>
      <c r="AS171" t="s">
        <v>162</v>
      </c>
      <c r="AU171" t="s">
        <v>176</v>
      </c>
      <c r="BA171" t="s">
        <v>72</v>
      </c>
      <c r="BC171" t="s">
        <v>177</v>
      </c>
      <c r="BI171" t="s">
        <v>72</v>
      </c>
      <c r="BK171" t="s">
        <v>179</v>
      </c>
    </row>
    <row r="172" spans="1:63" x14ac:dyDescent="0.25">
      <c r="C172" s="208">
        <v>1</v>
      </c>
      <c r="D172" s="54"/>
      <c r="E172" s="54"/>
      <c r="F172">
        <v>64</v>
      </c>
      <c r="T172">
        <f t="shared" ref="T172:T208" si="71">SUM(D172:S172)</f>
        <v>64</v>
      </c>
      <c r="U172">
        <f t="shared" ref="U172:U208" si="72">IFERROR(LARGE(D172:S172,1),0)</f>
        <v>64</v>
      </c>
      <c r="V172">
        <f t="shared" ref="V172:V211" si="73">COUNTIF(D172:R172,"&gt;"&amp;0)</f>
        <v>1</v>
      </c>
      <c r="AL172" s="236">
        <v>1</v>
      </c>
      <c r="AM172" s="232">
        <v>64</v>
      </c>
      <c r="AN172" s="100"/>
      <c r="AO172" s="100"/>
      <c r="AP172" s="100"/>
      <c r="AQ172" s="212"/>
      <c r="AR172">
        <f>COUNTIF(AM172:AQ172,"&gt;"&amp;0)</f>
        <v>1</v>
      </c>
      <c r="AS172">
        <f>SUM(AM172:AQ172)</f>
        <v>64</v>
      </c>
      <c r="AU172" s="232">
        <v>1</v>
      </c>
      <c r="AV172" s="232">
        <f t="shared" ref="AV172:AV211" si="74">IFERROR(LARGE($AM172:$AQ172,COLUMN(A:A)),"")</f>
        <v>64</v>
      </c>
      <c r="AW172" s="100" t="str">
        <f t="shared" ref="AW172:AW211" si="75">IFERROR(LARGE($AM172:$AQ172,COLUMN(B:B)),"")</f>
        <v/>
      </c>
      <c r="AX172" s="100" t="str">
        <f t="shared" ref="AX172:AX211" si="76">IFERROR(LARGE($AM172:$AQ172,COLUMN(C:C)),"")</f>
        <v/>
      </c>
      <c r="AY172" s="100" t="str">
        <f t="shared" ref="AY172:AY211" si="77">IFERROR(LARGE($AM172:$AQ172,COLUMN(D:D)),"")</f>
        <v/>
      </c>
      <c r="AZ172" s="212" t="str">
        <f t="shared" ref="AZ172:AZ211" si="78">IFERROR(LARGE($AM172:$AQ172,COLUMN(E:E)),"")</f>
        <v/>
      </c>
      <c r="BA172" s="153">
        <f>SUM(AV172:AZ172)</f>
        <v>64</v>
      </c>
      <c r="BC172" s="232">
        <v>1</v>
      </c>
      <c r="BD172" s="232">
        <f t="shared" ref="BD172:BD211" si="79">IFERROR(LARGE($D172:$R172,COLUMN(A:A)),"")</f>
        <v>64</v>
      </c>
      <c r="BE172" s="100" t="str">
        <f t="shared" ref="BE172:BE211" si="80">IFERROR(LARGE($D172:$R172,COLUMN(B:B)),"")</f>
        <v/>
      </c>
      <c r="BF172" s="100" t="str">
        <f t="shared" ref="BF172:BF211" si="81">IFERROR(LARGE($D172:$R172,COLUMN(C:C)),"")</f>
        <v/>
      </c>
      <c r="BG172" s="100" t="str">
        <f t="shared" ref="BG172:BG211" si="82">IFERROR(LARGE($D172:$R172,COLUMN(D:D)),"")</f>
        <v/>
      </c>
      <c r="BH172" s="212" t="str">
        <f t="shared" ref="BH172:BH211" si="83">IFERROR(LARGE($D172:$R172,COLUMN(E:E)),"")</f>
        <v/>
      </c>
      <c r="BI172" s="153">
        <f>SUM(BD172:BH172)</f>
        <v>64</v>
      </c>
      <c r="BK172">
        <f>BI172-BA172</f>
        <v>0</v>
      </c>
    </row>
    <row r="173" spans="1:63" x14ac:dyDescent="0.25">
      <c r="C173" s="208">
        <v>2</v>
      </c>
      <c r="D173" s="54"/>
      <c r="E173" s="54"/>
      <c r="T173">
        <f t="shared" si="71"/>
        <v>0</v>
      </c>
      <c r="U173">
        <f t="shared" si="72"/>
        <v>0</v>
      </c>
      <c r="V173">
        <f t="shared" si="73"/>
        <v>0</v>
      </c>
      <c r="AL173" s="134">
        <v>2</v>
      </c>
      <c r="AM173" s="127">
        <v>0</v>
      </c>
      <c r="AN173" s="43"/>
      <c r="AO173" s="43"/>
      <c r="AP173" s="43"/>
      <c r="AQ173" s="128"/>
      <c r="AR173">
        <f t="shared" ref="AR173:AR211" si="84">COUNTIF(AM173:AQ173,"&gt;"&amp;0)</f>
        <v>0</v>
      </c>
      <c r="AS173">
        <f t="shared" ref="AS173:AS211" si="85">SUM(AM173:AQ173)</f>
        <v>0</v>
      </c>
      <c r="AU173" s="127">
        <v>2</v>
      </c>
      <c r="AV173" s="127">
        <f t="shared" si="74"/>
        <v>0</v>
      </c>
      <c r="AW173" s="43" t="str">
        <f t="shared" si="75"/>
        <v/>
      </c>
      <c r="AX173" s="43" t="str">
        <f t="shared" si="76"/>
        <v/>
      </c>
      <c r="AY173" s="43" t="str">
        <f t="shared" si="77"/>
        <v/>
      </c>
      <c r="AZ173" s="128" t="str">
        <f t="shared" si="78"/>
        <v/>
      </c>
      <c r="BA173" s="153">
        <f t="shared" ref="BA173:BA211" si="86">SUM(AV173:AZ173)</f>
        <v>0</v>
      </c>
      <c r="BC173" s="127">
        <v>2</v>
      </c>
      <c r="BD173" s="127" t="str">
        <f t="shared" si="79"/>
        <v/>
      </c>
      <c r="BE173" s="43" t="str">
        <f t="shared" si="80"/>
        <v/>
      </c>
      <c r="BF173" s="43" t="str">
        <f t="shared" si="81"/>
        <v/>
      </c>
      <c r="BG173" s="43" t="str">
        <f t="shared" si="82"/>
        <v/>
      </c>
      <c r="BH173" s="128" t="str">
        <f t="shared" si="83"/>
        <v/>
      </c>
      <c r="BI173" s="153">
        <f t="shared" ref="BI173:BI211" si="87">SUM(BD173:BH173)</f>
        <v>0</v>
      </c>
      <c r="BK173">
        <f t="shared" ref="BK173:BK211" si="88">BI173-BA173</f>
        <v>0</v>
      </c>
    </row>
    <row r="174" spans="1:63" x14ac:dyDescent="0.25">
      <c r="C174" s="208">
        <v>3</v>
      </c>
      <c r="D174" s="54"/>
      <c r="E174" s="54"/>
      <c r="T174">
        <f t="shared" si="71"/>
        <v>0</v>
      </c>
      <c r="U174">
        <f t="shared" si="72"/>
        <v>0</v>
      </c>
      <c r="V174">
        <f t="shared" si="73"/>
        <v>0</v>
      </c>
      <c r="AL174" s="134">
        <v>3</v>
      </c>
      <c r="AM174" s="127">
        <v>0</v>
      </c>
      <c r="AN174" s="43"/>
      <c r="AO174" s="43"/>
      <c r="AP174" s="43"/>
      <c r="AQ174" s="128"/>
      <c r="AR174">
        <f t="shared" si="84"/>
        <v>0</v>
      </c>
      <c r="AS174">
        <f t="shared" si="85"/>
        <v>0</v>
      </c>
      <c r="AU174" s="127">
        <v>3</v>
      </c>
      <c r="AV174" s="127">
        <f t="shared" si="74"/>
        <v>0</v>
      </c>
      <c r="AW174" s="43" t="str">
        <f t="shared" si="75"/>
        <v/>
      </c>
      <c r="AX174" s="43" t="str">
        <f t="shared" si="76"/>
        <v/>
      </c>
      <c r="AY174" s="43" t="str">
        <f t="shared" si="77"/>
        <v/>
      </c>
      <c r="AZ174" s="128" t="str">
        <f t="shared" si="78"/>
        <v/>
      </c>
      <c r="BA174" s="153">
        <f t="shared" si="86"/>
        <v>0</v>
      </c>
      <c r="BC174" s="127">
        <v>3</v>
      </c>
      <c r="BD174" s="127" t="str">
        <f t="shared" si="79"/>
        <v/>
      </c>
      <c r="BE174" s="43" t="str">
        <f t="shared" si="80"/>
        <v/>
      </c>
      <c r="BF174" s="43" t="str">
        <f t="shared" si="81"/>
        <v/>
      </c>
      <c r="BG174" s="43" t="str">
        <f t="shared" si="82"/>
        <v/>
      </c>
      <c r="BH174" s="128" t="str">
        <f t="shared" si="83"/>
        <v/>
      </c>
      <c r="BI174" s="153">
        <f t="shared" si="87"/>
        <v>0</v>
      </c>
      <c r="BK174">
        <f t="shared" si="88"/>
        <v>0</v>
      </c>
    </row>
    <row r="175" spans="1:63" x14ac:dyDescent="0.25">
      <c r="C175" s="208">
        <v>4</v>
      </c>
      <c r="D175" s="54"/>
      <c r="E175" s="54"/>
      <c r="F175">
        <v>33</v>
      </c>
      <c r="K175">
        <v>8</v>
      </c>
      <c r="T175">
        <f t="shared" si="71"/>
        <v>41</v>
      </c>
      <c r="U175">
        <f t="shared" si="72"/>
        <v>33</v>
      </c>
      <c r="V175">
        <f t="shared" si="73"/>
        <v>2</v>
      </c>
      <c r="AL175" s="134">
        <v>4</v>
      </c>
      <c r="AM175" s="127">
        <v>33</v>
      </c>
      <c r="AN175" s="43">
        <v>8</v>
      </c>
      <c r="AO175" s="43"/>
      <c r="AP175" s="43"/>
      <c r="AQ175" s="128"/>
      <c r="AR175">
        <f t="shared" si="84"/>
        <v>2</v>
      </c>
      <c r="AS175">
        <f t="shared" si="85"/>
        <v>41</v>
      </c>
      <c r="AU175" s="127">
        <v>4</v>
      </c>
      <c r="AV175" s="127">
        <f t="shared" si="74"/>
        <v>33</v>
      </c>
      <c r="AW175" s="43">
        <f t="shared" si="75"/>
        <v>8</v>
      </c>
      <c r="AX175" s="43" t="str">
        <f t="shared" si="76"/>
        <v/>
      </c>
      <c r="AY175" s="43" t="str">
        <f t="shared" si="77"/>
        <v/>
      </c>
      <c r="AZ175" s="128" t="str">
        <f t="shared" si="78"/>
        <v/>
      </c>
      <c r="BA175" s="153">
        <f t="shared" si="86"/>
        <v>41</v>
      </c>
      <c r="BC175" s="127">
        <v>4</v>
      </c>
      <c r="BD175" s="127">
        <f t="shared" si="79"/>
        <v>33</v>
      </c>
      <c r="BE175" s="43">
        <f t="shared" si="80"/>
        <v>8</v>
      </c>
      <c r="BF175" s="43" t="str">
        <f t="shared" si="81"/>
        <v/>
      </c>
      <c r="BG175" s="43" t="str">
        <f t="shared" si="82"/>
        <v/>
      </c>
      <c r="BH175" s="128" t="str">
        <f t="shared" si="83"/>
        <v/>
      </c>
      <c r="BI175" s="153">
        <f t="shared" si="87"/>
        <v>41</v>
      </c>
      <c r="BK175">
        <f t="shared" si="88"/>
        <v>0</v>
      </c>
    </row>
    <row r="176" spans="1:63" x14ac:dyDescent="0.25">
      <c r="C176" s="208">
        <v>5</v>
      </c>
      <c r="D176" s="54"/>
      <c r="E176" s="54"/>
      <c r="F176">
        <v>27</v>
      </c>
      <c r="K176">
        <v>0</v>
      </c>
      <c r="L176">
        <v>0</v>
      </c>
      <c r="T176">
        <f t="shared" si="71"/>
        <v>27</v>
      </c>
      <c r="U176">
        <f t="shared" si="72"/>
        <v>27</v>
      </c>
      <c r="V176">
        <f t="shared" si="73"/>
        <v>1</v>
      </c>
      <c r="AL176" s="134">
        <v>5</v>
      </c>
      <c r="AM176" s="127">
        <v>27</v>
      </c>
      <c r="AN176" s="43"/>
      <c r="AO176" s="43"/>
      <c r="AP176" s="43"/>
      <c r="AQ176" s="128"/>
      <c r="AR176">
        <f t="shared" si="84"/>
        <v>1</v>
      </c>
      <c r="AS176">
        <f t="shared" si="85"/>
        <v>27</v>
      </c>
      <c r="AU176" s="127">
        <v>5</v>
      </c>
      <c r="AV176" s="127">
        <f t="shared" si="74"/>
        <v>27</v>
      </c>
      <c r="AW176" s="43" t="str">
        <f t="shared" si="75"/>
        <v/>
      </c>
      <c r="AX176" s="43" t="str">
        <f t="shared" si="76"/>
        <v/>
      </c>
      <c r="AY176" s="43" t="str">
        <f t="shared" si="77"/>
        <v/>
      </c>
      <c r="AZ176" s="128" t="str">
        <f t="shared" si="78"/>
        <v/>
      </c>
      <c r="BA176" s="153">
        <f t="shared" si="86"/>
        <v>27</v>
      </c>
      <c r="BC176" s="127">
        <v>5</v>
      </c>
      <c r="BD176" s="127">
        <f t="shared" si="79"/>
        <v>27</v>
      </c>
      <c r="BE176" s="43">
        <f t="shared" si="80"/>
        <v>0</v>
      </c>
      <c r="BF176" s="43">
        <f t="shared" si="81"/>
        <v>0</v>
      </c>
      <c r="BG176" s="43" t="str">
        <f t="shared" si="82"/>
        <v/>
      </c>
      <c r="BH176" s="128" t="str">
        <f t="shared" si="83"/>
        <v/>
      </c>
      <c r="BI176" s="153">
        <f t="shared" si="87"/>
        <v>27</v>
      </c>
      <c r="BK176">
        <f t="shared" si="88"/>
        <v>0</v>
      </c>
    </row>
    <row r="177" spans="3:63" x14ac:dyDescent="0.25">
      <c r="C177" s="208">
        <v>6</v>
      </c>
      <c r="D177" s="54"/>
      <c r="E177" s="54"/>
      <c r="F177">
        <v>1</v>
      </c>
      <c r="I177">
        <v>40</v>
      </c>
      <c r="K177">
        <v>0</v>
      </c>
      <c r="O177">
        <v>11</v>
      </c>
      <c r="P177">
        <v>24</v>
      </c>
      <c r="R177">
        <v>1</v>
      </c>
      <c r="T177">
        <f t="shared" si="71"/>
        <v>77</v>
      </c>
      <c r="U177">
        <f t="shared" si="72"/>
        <v>40</v>
      </c>
      <c r="V177">
        <f t="shared" si="73"/>
        <v>5</v>
      </c>
      <c r="AL177" s="134">
        <v>6</v>
      </c>
      <c r="AM177" s="127">
        <v>1</v>
      </c>
      <c r="AN177" s="43">
        <v>40</v>
      </c>
      <c r="AO177" s="43">
        <v>11</v>
      </c>
      <c r="AP177" s="43">
        <v>24</v>
      </c>
      <c r="AQ177" s="128">
        <v>1</v>
      </c>
      <c r="AR177">
        <f t="shared" si="84"/>
        <v>5</v>
      </c>
      <c r="AS177">
        <f t="shared" si="85"/>
        <v>77</v>
      </c>
      <c r="AU177" s="127">
        <v>6</v>
      </c>
      <c r="AV177" s="127">
        <f t="shared" si="74"/>
        <v>40</v>
      </c>
      <c r="AW177" s="43">
        <f t="shared" si="75"/>
        <v>24</v>
      </c>
      <c r="AX177" s="43">
        <f t="shared" si="76"/>
        <v>11</v>
      </c>
      <c r="AY177" s="43">
        <f t="shared" si="77"/>
        <v>1</v>
      </c>
      <c r="AZ177" s="128">
        <f t="shared" si="78"/>
        <v>1</v>
      </c>
      <c r="BA177" s="153">
        <f t="shared" si="86"/>
        <v>77</v>
      </c>
      <c r="BC177" s="127">
        <v>6</v>
      </c>
      <c r="BD177" s="127">
        <f t="shared" si="79"/>
        <v>40</v>
      </c>
      <c r="BE177" s="43">
        <f t="shared" si="80"/>
        <v>24</v>
      </c>
      <c r="BF177" s="43">
        <f t="shared" si="81"/>
        <v>11</v>
      </c>
      <c r="BG177" s="43">
        <f t="shared" si="82"/>
        <v>1</v>
      </c>
      <c r="BH177" s="128">
        <f t="shared" si="83"/>
        <v>1</v>
      </c>
      <c r="BI177" s="153">
        <f t="shared" si="87"/>
        <v>77</v>
      </c>
      <c r="BK177">
        <f t="shared" si="88"/>
        <v>0</v>
      </c>
    </row>
    <row r="178" spans="3:63" x14ac:dyDescent="0.25">
      <c r="C178" s="208">
        <v>7</v>
      </c>
      <c r="D178" s="54"/>
      <c r="E178" s="54"/>
      <c r="T178">
        <f t="shared" si="71"/>
        <v>0</v>
      </c>
      <c r="U178">
        <f t="shared" si="72"/>
        <v>0</v>
      </c>
      <c r="V178">
        <f t="shared" si="73"/>
        <v>0</v>
      </c>
      <c r="AL178" s="134">
        <v>7</v>
      </c>
      <c r="AM178" s="127">
        <v>0</v>
      </c>
      <c r="AN178" s="43"/>
      <c r="AO178" s="43"/>
      <c r="AP178" s="43"/>
      <c r="AQ178" s="128"/>
      <c r="AR178">
        <f t="shared" si="84"/>
        <v>0</v>
      </c>
      <c r="AS178">
        <f t="shared" si="85"/>
        <v>0</v>
      </c>
      <c r="AU178" s="127">
        <v>7</v>
      </c>
      <c r="AV178" s="127">
        <f t="shared" si="74"/>
        <v>0</v>
      </c>
      <c r="AW178" s="43" t="str">
        <f t="shared" si="75"/>
        <v/>
      </c>
      <c r="AX178" s="43" t="str">
        <f t="shared" si="76"/>
        <v/>
      </c>
      <c r="AY178" s="43" t="str">
        <f t="shared" si="77"/>
        <v/>
      </c>
      <c r="AZ178" s="128" t="str">
        <f t="shared" si="78"/>
        <v/>
      </c>
      <c r="BA178" s="153">
        <f t="shared" si="86"/>
        <v>0</v>
      </c>
      <c r="BC178" s="127">
        <v>7</v>
      </c>
      <c r="BD178" s="127" t="str">
        <f t="shared" si="79"/>
        <v/>
      </c>
      <c r="BE178" s="43" t="str">
        <f t="shared" si="80"/>
        <v/>
      </c>
      <c r="BF178" s="43" t="str">
        <f t="shared" si="81"/>
        <v/>
      </c>
      <c r="BG178" s="43" t="str">
        <f t="shared" si="82"/>
        <v/>
      </c>
      <c r="BH178" s="128" t="str">
        <f t="shared" si="83"/>
        <v/>
      </c>
      <c r="BI178" s="153">
        <f t="shared" si="87"/>
        <v>0</v>
      </c>
      <c r="BK178">
        <f t="shared" si="88"/>
        <v>0</v>
      </c>
    </row>
    <row r="179" spans="3:63" x14ac:dyDescent="0.25">
      <c r="C179" s="208">
        <v>8</v>
      </c>
      <c r="D179" s="54"/>
      <c r="E179" s="54"/>
      <c r="T179">
        <f t="shared" si="71"/>
        <v>0</v>
      </c>
      <c r="U179">
        <f t="shared" si="72"/>
        <v>0</v>
      </c>
      <c r="V179">
        <f t="shared" si="73"/>
        <v>0</v>
      </c>
      <c r="AL179" s="134">
        <v>8</v>
      </c>
      <c r="AM179" s="127">
        <v>0</v>
      </c>
      <c r="AN179" s="43"/>
      <c r="AO179" s="43"/>
      <c r="AP179" s="43"/>
      <c r="AQ179" s="128"/>
      <c r="AR179">
        <f t="shared" si="84"/>
        <v>0</v>
      </c>
      <c r="AS179">
        <f t="shared" si="85"/>
        <v>0</v>
      </c>
      <c r="AU179" s="127">
        <v>8</v>
      </c>
      <c r="AV179" s="127">
        <f t="shared" si="74"/>
        <v>0</v>
      </c>
      <c r="AW179" s="43" t="str">
        <f t="shared" si="75"/>
        <v/>
      </c>
      <c r="AX179" s="43" t="str">
        <f t="shared" si="76"/>
        <v/>
      </c>
      <c r="AY179" s="43" t="str">
        <f t="shared" si="77"/>
        <v/>
      </c>
      <c r="AZ179" s="128" t="str">
        <f t="shared" si="78"/>
        <v/>
      </c>
      <c r="BA179" s="153">
        <f t="shared" si="86"/>
        <v>0</v>
      </c>
      <c r="BC179" s="127">
        <v>8</v>
      </c>
      <c r="BD179" s="127" t="str">
        <f t="shared" si="79"/>
        <v/>
      </c>
      <c r="BE179" s="43" t="str">
        <f t="shared" si="80"/>
        <v/>
      </c>
      <c r="BF179" s="43" t="str">
        <f t="shared" si="81"/>
        <v/>
      </c>
      <c r="BG179" s="43" t="str">
        <f t="shared" si="82"/>
        <v/>
      </c>
      <c r="BH179" s="128" t="str">
        <f t="shared" si="83"/>
        <v/>
      </c>
      <c r="BI179" s="153">
        <f t="shared" si="87"/>
        <v>0</v>
      </c>
      <c r="BK179">
        <f t="shared" si="88"/>
        <v>0</v>
      </c>
    </row>
    <row r="180" spans="3:63" x14ac:dyDescent="0.25">
      <c r="C180" s="208">
        <v>9</v>
      </c>
      <c r="D180" s="54"/>
      <c r="E180" s="54"/>
      <c r="F180">
        <v>18</v>
      </c>
      <c r="T180">
        <f t="shared" si="71"/>
        <v>18</v>
      </c>
      <c r="U180">
        <f t="shared" si="72"/>
        <v>18</v>
      </c>
      <c r="V180">
        <f t="shared" si="73"/>
        <v>1</v>
      </c>
      <c r="AL180" s="134">
        <v>9</v>
      </c>
      <c r="AM180" s="127">
        <v>18</v>
      </c>
      <c r="AN180" s="43"/>
      <c r="AO180" s="43"/>
      <c r="AP180" s="43"/>
      <c r="AQ180" s="128"/>
      <c r="AR180">
        <f t="shared" si="84"/>
        <v>1</v>
      </c>
      <c r="AS180">
        <f t="shared" si="85"/>
        <v>18</v>
      </c>
      <c r="AU180" s="127">
        <v>9</v>
      </c>
      <c r="AV180" s="127">
        <f t="shared" si="74"/>
        <v>18</v>
      </c>
      <c r="AW180" s="43" t="str">
        <f t="shared" si="75"/>
        <v/>
      </c>
      <c r="AX180" s="43" t="str">
        <f t="shared" si="76"/>
        <v/>
      </c>
      <c r="AY180" s="43" t="str">
        <f t="shared" si="77"/>
        <v/>
      </c>
      <c r="AZ180" s="128" t="str">
        <f t="shared" si="78"/>
        <v/>
      </c>
      <c r="BA180" s="153">
        <f t="shared" si="86"/>
        <v>18</v>
      </c>
      <c r="BC180" s="127">
        <v>9</v>
      </c>
      <c r="BD180" s="127">
        <f t="shared" si="79"/>
        <v>18</v>
      </c>
      <c r="BE180" s="43" t="str">
        <f t="shared" si="80"/>
        <v/>
      </c>
      <c r="BF180" s="43" t="str">
        <f t="shared" si="81"/>
        <v/>
      </c>
      <c r="BG180" s="43" t="str">
        <f t="shared" si="82"/>
        <v/>
      </c>
      <c r="BH180" s="128" t="str">
        <f t="shared" si="83"/>
        <v/>
      </c>
      <c r="BI180" s="153">
        <f t="shared" si="87"/>
        <v>18</v>
      </c>
      <c r="BK180">
        <f t="shared" si="88"/>
        <v>0</v>
      </c>
    </row>
    <row r="181" spans="3:63" x14ac:dyDescent="0.25">
      <c r="C181" s="208">
        <v>10</v>
      </c>
      <c r="D181" s="54"/>
      <c r="E181" s="54"/>
      <c r="T181">
        <f t="shared" si="71"/>
        <v>0</v>
      </c>
      <c r="U181">
        <f t="shared" si="72"/>
        <v>0</v>
      </c>
      <c r="V181">
        <f t="shared" si="73"/>
        <v>0</v>
      </c>
      <c r="AL181" s="134">
        <v>10</v>
      </c>
      <c r="AM181" s="127"/>
      <c r="AN181" s="43"/>
      <c r="AO181" s="43"/>
      <c r="AP181" s="43"/>
      <c r="AQ181" s="128"/>
      <c r="AR181">
        <f t="shared" si="84"/>
        <v>0</v>
      </c>
      <c r="AS181">
        <f t="shared" si="85"/>
        <v>0</v>
      </c>
      <c r="AU181" s="127">
        <v>10</v>
      </c>
      <c r="AV181" s="127" t="str">
        <f t="shared" si="74"/>
        <v/>
      </c>
      <c r="AW181" s="43" t="str">
        <f t="shared" si="75"/>
        <v/>
      </c>
      <c r="AX181" s="43" t="str">
        <f t="shared" si="76"/>
        <v/>
      </c>
      <c r="AY181" s="43" t="str">
        <f t="shared" si="77"/>
        <v/>
      </c>
      <c r="AZ181" s="128" t="str">
        <f t="shared" si="78"/>
        <v/>
      </c>
      <c r="BA181" s="153">
        <f t="shared" si="86"/>
        <v>0</v>
      </c>
      <c r="BC181" s="127">
        <v>10</v>
      </c>
      <c r="BD181" s="127" t="str">
        <f t="shared" si="79"/>
        <v/>
      </c>
      <c r="BE181" s="43" t="str">
        <f t="shared" si="80"/>
        <v/>
      </c>
      <c r="BF181" s="43" t="str">
        <f t="shared" si="81"/>
        <v/>
      </c>
      <c r="BG181" s="43" t="str">
        <f t="shared" si="82"/>
        <v/>
      </c>
      <c r="BH181" s="128" t="str">
        <f t="shared" si="83"/>
        <v/>
      </c>
      <c r="BI181" s="153">
        <f t="shared" si="87"/>
        <v>0</v>
      </c>
      <c r="BK181">
        <f t="shared" si="88"/>
        <v>0</v>
      </c>
    </row>
    <row r="182" spans="3:63" x14ac:dyDescent="0.25">
      <c r="C182" s="208">
        <v>11</v>
      </c>
      <c r="D182" s="54"/>
      <c r="E182" s="54"/>
      <c r="F182">
        <v>65</v>
      </c>
      <c r="I182">
        <v>19</v>
      </c>
      <c r="T182">
        <f t="shared" si="71"/>
        <v>84</v>
      </c>
      <c r="U182">
        <f t="shared" si="72"/>
        <v>65</v>
      </c>
      <c r="V182">
        <f t="shared" si="73"/>
        <v>2</v>
      </c>
      <c r="AL182" s="134">
        <v>11</v>
      </c>
      <c r="AM182" s="127">
        <v>65</v>
      </c>
      <c r="AN182" s="43">
        <v>19</v>
      </c>
      <c r="AO182" s="43"/>
      <c r="AP182" s="43"/>
      <c r="AQ182" s="128"/>
      <c r="AR182">
        <f t="shared" si="84"/>
        <v>2</v>
      </c>
      <c r="AS182">
        <f t="shared" si="85"/>
        <v>84</v>
      </c>
      <c r="AU182" s="127">
        <v>11</v>
      </c>
      <c r="AV182" s="127">
        <f t="shared" si="74"/>
        <v>65</v>
      </c>
      <c r="AW182" s="43">
        <f t="shared" si="75"/>
        <v>19</v>
      </c>
      <c r="AX182" s="43" t="str">
        <f t="shared" si="76"/>
        <v/>
      </c>
      <c r="AY182" s="43" t="str">
        <f t="shared" si="77"/>
        <v/>
      </c>
      <c r="AZ182" s="128" t="str">
        <f t="shared" si="78"/>
        <v/>
      </c>
      <c r="BA182" s="153">
        <f t="shared" si="86"/>
        <v>84</v>
      </c>
      <c r="BC182" s="127">
        <v>11</v>
      </c>
      <c r="BD182" s="127">
        <f t="shared" si="79"/>
        <v>65</v>
      </c>
      <c r="BE182" s="43">
        <f t="shared" si="80"/>
        <v>19</v>
      </c>
      <c r="BF182" s="43" t="str">
        <f t="shared" si="81"/>
        <v/>
      </c>
      <c r="BG182" s="43" t="str">
        <f t="shared" si="82"/>
        <v/>
      </c>
      <c r="BH182" s="128" t="str">
        <f t="shared" si="83"/>
        <v/>
      </c>
      <c r="BI182" s="153">
        <f t="shared" si="87"/>
        <v>84</v>
      </c>
      <c r="BK182">
        <f t="shared" si="88"/>
        <v>0</v>
      </c>
    </row>
    <row r="183" spans="3:63" x14ac:dyDescent="0.25">
      <c r="C183" s="208">
        <v>12</v>
      </c>
      <c r="D183" s="54"/>
      <c r="E183" s="54"/>
      <c r="T183">
        <f t="shared" si="71"/>
        <v>0</v>
      </c>
      <c r="U183">
        <f t="shared" si="72"/>
        <v>0</v>
      </c>
      <c r="V183">
        <f t="shared" si="73"/>
        <v>0</v>
      </c>
      <c r="AL183" s="134">
        <v>12</v>
      </c>
      <c r="AM183" s="127">
        <v>0</v>
      </c>
      <c r="AN183" s="43"/>
      <c r="AO183" s="43"/>
      <c r="AP183" s="43"/>
      <c r="AQ183" s="128"/>
      <c r="AR183">
        <f t="shared" si="84"/>
        <v>0</v>
      </c>
      <c r="AS183">
        <f t="shared" si="85"/>
        <v>0</v>
      </c>
      <c r="AU183" s="127">
        <v>12</v>
      </c>
      <c r="AV183" s="127">
        <f t="shared" si="74"/>
        <v>0</v>
      </c>
      <c r="AW183" s="43" t="str">
        <f t="shared" si="75"/>
        <v/>
      </c>
      <c r="AX183" s="43" t="str">
        <f t="shared" si="76"/>
        <v/>
      </c>
      <c r="AY183" s="43" t="str">
        <f t="shared" si="77"/>
        <v/>
      </c>
      <c r="AZ183" s="128" t="str">
        <f t="shared" si="78"/>
        <v/>
      </c>
      <c r="BA183" s="153">
        <f t="shared" si="86"/>
        <v>0</v>
      </c>
      <c r="BC183" s="127">
        <v>12</v>
      </c>
      <c r="BD183" s="127" t="str">
        <f t="shared" si="79"/>
        <v/>
      </c>
      <c r="BE183" s="43" t="str">
        <f t="shared" si="80"/>
        <v/>
      </c>
      <c r="BF183" s="43" t="str">
        <f t="shared" si="81"/>
        <v/>
      </c>
      <c r="BG183" s="43" t="str">
        <f t="shared" si="82"/>
        <v/>
      </c>
      <c r="BH183" s="128" t="str">
        <f t="shared" si="83"/>
        <v/>
      </c>
      <c r="BI183" s="153">
        <f t="shared" si="87"/>
        <v>0</v>
      </c>
      <c r="BK183">
        <f t="shared" si="88"/>
        <v>0</v>
      </c>
    </row>
    <row r="184" spans="3:63" x14ac:dyDescent="0.25">
      <c r="C184" s="208">
        <v>13</v>
      </c>
      <c r="D184" s="54"/>
      <c r="E184" s="54"/>
      <c r="T184">
        <f t="shared" si="71"/>
        <v>0</v>
      </c>
      <c r="U184">
        <f t="shared" si="72"/>
        <v>0</v>
      </c>
      <c r="V184">
        <f t="shared" si="73"/>
        <v>0</v>
      </c>
      <c r="AL184" s="134">
        <v>13</v>
      </c>
      <c r="AM184" s="127">
        <v>0</v>
      </c>
      <c r="AN184" s="43"/>
      <c r="AO184" s="43"/>
      <c r="AP184" s="43"/>
      <c r="AQ184" s="128"/>
      <c r="AR184">
        <f t="shared" si="84"/>
        <v>0</v>
      </c>
      <c r="AS184">
        <f t="shared" si="85"/>
        <v>0</v>
      </c>
      <c r="AU184" s="127">
        <v>13</v>
      </c>
      <c r="AV184" s="127">
        <f t="shared" si="74"/>
        <v>0</v>
      </c>
      <c r="AW184" s="43" t="str">
        <f t="shared" si="75"/>
        <v/>
      </c>
      <c r="AX184" s="43" t="str">
        <f t="shared" si="76"/>
        <v/>
      </c>
      <c r="AY184" s="43" t="str">
        <f t="shared" si="77"/>
        <v/>
      </c>
      <c r="AZ184" s="128" t="str">
        <f t="shared" si="78"/>
        <v/>
      </c>
      <c r="BA184" s="153">
        <f t="shared" si="86"/>
        <v>0</v>
      </c>
      <c r="BC184" s="127">
        <v>13</v>
      </c>
      <c r="BD184" s="127" t="str">
        <f t="shared" si="79"/>
        <v/>
      </c>
      <c r="BE184" s="43" t="str">
        <f t="shared" si="80"/>
        <v/>
      </c>
      <c r="BF184" s="43" t="str">
        <f t="shared" si="81"/>
        <v/>
      </c>
      <c r="BG184" s="43" t="str">
        <f t="shared" si="82"/>
        <v/>
      </c>
      <c r="BH184" s="128" t="str">
        <f t="shared" si="83"/>
        <v/>
      </c>
      <c r="BI184" s="153">
        <f t="shared" si="87"/>
        <v>0</v>
      </c>
      <c r="BK184">
        <f t="shared" si="88"/>
        <v>0</v>
      </c>
    </row>
    <row r="185" spans="3:63" x14ac:dyDescent="0.25">
      <c r="C185" s="208">
        <v>14</v>
      </c>
      <c r="D185" s="54"/>
      <c r="E185" s="54"/>
      <c r="T185">
        <f t="shared" si="71"/>
        <v>0</v>
      </c>
      <c r="U185">
        <f t="shared" si="72"/>
        <v>0</v>
      </c>
      <c r="V185">
        <f t="shared" si="73"/>
        <v>0</v>
      </c>
      <c r="AL185" s="134">
        <v>14</v>
      </c>
      <c r="AM185" s="127">
        <v>0</v>
      </c>
      <c r="AN185" s="43"/>
      <c r="AO185" s="43"/>
      <c r="AP185" s="43"/>
      <c r="AQ185" s="128"/>
      <c r="AR185">
        <f t="shared" si="84"/>
        <v>0</v>
      </c>
      <c r="AS185">
        <f t="shared" si="85"/>
        <v>0</v>
      </c>
      <c r="AU185" s="127">
        <v>14</v>
      </c>
      <c r="AV185" s="127">
        <f t="shared" si="74"/>
        <v>0</v>
      </c>
      <c r="AW185" s="43" t="str">
        <f t="shared" si="75"/>
        <v/>
      </c>
      <c r="AX185" s="43" t="str">
        <f t="shared" si="76"/>
        <v/>
      </c>
      <c r="AY185" s="43" t="str">
        <f t="shared" si="77"/>
        <v/>
      </c>
      <c r="AZ185" s="128" t="str">
        <f t="shared" si="78"/>
        <v/>
      </c>
      <c r="BA185" s="153">
        <f t="shared" si="86"/>
        <v>0</v>
      </c>
      <c r="BC185" s="127">
        <v>14</v>
      </c>
      <c r="BD185" s="127" t="str">
        <f t="shared" si="79"/>
        <v/>
      </c>
      <c r="BE185" s="43" t="str">
        <f t="shared" si="80"/>
        <v/>
      </c>
      <c r="BF185" s="43" t="str">
        <f t="shared" si="81"/>
        <v/>
      </c>
      <c r="BG185" s="43" t="str">
        <f t="shared" si="82"/>
        <v/>
      </c>
      <c r="BH185" s="128" t="str">
        <f t="shared" si="83"/>
        <v/>
      </c>
      <c r="BI185" s="153">
        <f t="shared" si="87"/>
        <v>0</v>
      </c>
      <c r="BK185">
        <f t="shared" si="88"/>
        <v>0</v>
      </c>
    </row>
    <row r="186" spans="3:63" x14ac:dyDescent="0.25">
      <c r="C186" s="208">
        <v>15</v>
      </c>
      <c r="D186" s="54"/>
      <c r="E186" s="54"/>
      <c r="F186">
        <v>48</v>
      </c>
      <c r="T186">
        <f t="shared" si="71"/>
        <v>48</v>
      </c>
      <c r="U186">
        <f t="shared" si="72"/>
        <v>48</v>
      </c>
      <c r="V186">
        <f t="shared" si="73"/>
        <v>1</v>
      </c>
      <c r="AL186" s="134">
        <v>15</v>
      </c>
      <c r="AM186" s="127">
        <v>48</v>
      </c>
      <c r="AN186" s="43"/>
      <c r="AO186" s="43"/>
      <c r="AP186" s="43"/>
      <c r="AQ186" s="128"/>
      <c r="AR186">
        <f t="shared" si="84"/>
        <v>1</v>
      </c>
      <c r="AS186">
        <f t="shared" si="85"/>
        <v>48</v>
      </c>
      <c r="AU186" s="127">
        <v>15</v>
      </c>
      <c r="AV186" s="127">
        <f t="shared" si="74"/>
        <v>48</v>
      </c>
      <c r="AW186" s="43" t="str">
        <f t="shared" si="75"/>
        <v/>
      </c>
      <c r="AX186" s="43" t="str">
        <f t="shared" si="76"/>
        <v/>
      </c>
      <c r="AY186" s="43" t="str">
        <f t="shared" si="77"/>
        <v/>
      </c>
      <c r="AZ186" s="128" t="str">
        <f t="shared" si="78"/>
        <v/>
      </c>
      <c r="BA186" s="153">
        <f t="shared" si="86"/>
        <v>48</v>
      </c>
      <c r="BC186" s="127">
        <v>15</v>
      </c>
      <c r="BD186" s="127">
        <f t="shared" si="79"/>
        <v>48</v>
      </c>
      <c r="BE186" s="43" t="str">
        <f t="shared" si="80"/>
        <v/>
      </c>
      <c r="BF186" s="43" t="str">
        <f t="shared" si="81"/>
        <v/>
      </c>
      <c r="BG186" s="43" t="str">
        <f t="shared" si="82"/>
        <v/>
      </c>
      <c r="BH186" s="128" t="str">
        <f t="shared" si="83"/>
        <v/>
      </c>
      <c r="BI186" s="153">
        <f t="shared" si="87"/>
        <v>48</v>
      </c>
      <c r="BK186">
        <f t="shared" si="88"/>
        <v>0</v>
      </c>
    </row>
    <row r="187" spans="3:63" x14ac:dyDescent="0.25">
      <c r="C187" s="208">
        <v>16</v>
      </c>
      <c r="D187" s="54"/>
      <c r="E187" s="54"/>
      <c r="F187">
        <v>8</v>
      </c>
      <c r="I187">
        <v>20</v>
      </c>
      <c r="K187">
        <v>21</v>
      </c>
      <c r="T187">
        <f t="shared" si="71"/>
        <v>49</v>
      </c>
      <c r="U187">
        <f t="shared" si="72"/>
        <v>21</v>
      </c>
      <c r="V187">
        <f t="shared" si="73"/>
        <v>3</v>
      </c>
      <c r="AL187" s="134">
        <v>16</v>
      </c>
      <c r="AM187" s="127">
        <v>8</v>
      </c>
      <c r="AN187" s="43">
        <v>20</v>
      </c>
      <c r="AO187" s="43">
        <v>21</v>
      </c>
      <c r="AP187" s="43"/>
      <c r="AQ187" s="128"/>
      <c r="AR187">
        <f t="shared" si="84"/>
        <v>3</v>
      </c>
      <c r="AS187">
        <f t="shared" si="85"/>
        <v>49</v>
      </c>
      <c r="AU187" s="127">
        <v>16</v>
      </c>
      <c r="AV187" s="127">
        <f t="shared" si="74"/>
        <v>21</v>
      </c>
      <c r="AW187" s="43">
        <f t="shared" si="75"/>
        <v>20</v>
      </c>
      <c r="AX187" s="43">
        <f t="shared" si="76"/>
        <v>8</v>
      </c>
      <c r="AY187" s="43" t="str">
        <f t="shared" si="77"/>
        <v/>
      </c>
      <c r="AZ187" s="128" t="str">
        <f t="shared" si="78"/>
        <v/>
      </c>
      <c r="BA187" s="153">
        <f t="shared" si="86"/>
        <v>49</v>
      </c>
      <c r="BC187" s="127">
        <v>16</v>
      </c>
      <c r="BD187" s="127">
        <f t="shared" si="79"/>
        <v>21</v>
      </c>
      <c r="BE187" s="43">
        <f t="shared" si="80"/>
        <v>20</v>
      </c>
      <c r="BF187" s="43">
        <f t="shared" si="81"/>
        <v>8</v>
      </c>
      <c r="BG187" s="43" t="str">
        <f t="shared" si="82"/>
        <v/>
      </c>
      <c r="BH187" s="128" t="str">
        <f t="shared" si="83"/>
        <v/>
      </c>
      <c r="BI187" s="153">
        <f t="shared" si="87"/>
        <v>49</v>
      </c>
      <c r="BK187">
        <f t="shared" si="88"/>
        <v>0</v>
      </c>
    </row>
    <row r="188" spans="3:63" x14ac:dyDescent="0.25">
      <c r="C188" s="208">
        <v>17</v>
      </c>
      <c r="D188" s="54"/>
      <c r="E188" s="54"/>
      <c r="F188">
        <v>46</v>
      </c>
      <c r="T188">
        <f t="shared" si="71"/>
        <v>46</v>
      </c>
      <c r="U188">
        <f t="shared" si="72"/>
        <v>46</v>
      </c>
      <c r="V188">
        <f t="shared" si="73"/>
        <v>1</v>
      </c>
      <c r="AL188" s="134">
        <v>17</v>
      </c>
      <c r="AM188" s="127">
        <v>46</v>
      </c>
      <c r="AN188" s="43"/>
      <c r="AO188" s="43"/>
      <c r="AP188" s="43"/>
      <c r="AQ188" s="128"/>
      <c r="AR188">
        <f t="shared" si="84"/>
        <v>1</v>
      </c>
      <c r="AS188">
        <f t="shared" si="85"/>
        <v>46</v>
      </c>
      <c r="AU188" s="127">
        <v>17</v>
      </c>
      <c r="AV188" s="127">
        <f t="shared" si="74"/>
        <v>46</v>
      </c>
      <c r="AW188" s="43" t="str">
        <f t="shared" si="75"/>
        <v/>
      </c>
      <c r="AX188" s="43" t="str">
        <f t="shared" si="76"/>
        <v/>
      </c>
      <c r="AY188" s="43" t="str">
        <f t="shared" si="77"/>
        <v/>
      </c>
      <c r="AZ188" s="128" t="str">
        <f t="shared" si="78"/>
        <v/>
      </c>
      <c r="BA188" s="153">
        <f t="shared" si="86"/>
        <v>46</v>
      </c>
      <c r="BC188" s="127">
        <v>17</v>
      </c>
      <c r="BD188" s="127">
        <f t="shared" si="79"/>
        <v>46</v>
      </c>
      <c r="BE188" s="43" t="str">
        <f t="shared" si="80"/>
        <v/>
      </c>
      <c r="BF188" s="43" t="str">
        <f t="shared" si="81"/>
        <v/>
      </c>
      <c r="BG188" s="43" t="str">
        <f t="shared" si="82"/>
        <v/>
      </c>
      <c r="BH188" s="128" t="str">
        <f t="shared" si="83"/>
        <v/>
      </c>
      <c r="BI188" s="153">
        <f t="shared" si="87"/>
        <v>46</v>
      </c>
      <c r="BK188">
        <f t="shared" si="88"/>
        <v>0</v>
      </c>
    </row>
    <row r="189" spans="3:63" x14ac:dyDescent="0.25">
      <c r="C189" s="208">
        <v>18</v>
      </c>
      <c r="D189" s="54"/>
      <c r="E189" s="54"/>
      <c r="F189">
        <v>70</v>
      </c>
      <c r="I189">
        <v>0</v>
      </c>
      <c r="T189">
        <f t="shared" si="71"/>
        <v>70</v>
      </c>
      <c r="U189">
        <f t="shared" si="72"/>
        <v>70</v>
      </c>
      <c r="V189">
        <f t="shared" si="73"/>
        <v>1</v>
      </c>
      <c r="AL189" s="134">
        <v>18</v>
      </c>
      <c r="AM189" s="127">
        <v>70</v>
      </c>
      <c r="AN189" s="43"/>
      <c r="AO189" s="43"/>
      <c r="AP189" s="43"/>
      <c r="AQ189" s="128"/>
      <c r="AR189">
        <f t="shared" si="84"/>
        <v>1</v>
      </c>
      <c r="AS189">
        <f t="shared" si="85"/>
        <v>70</v>
      </c>
      <c r="AU189" s="127">
        <v>18</v>
      </c>
      <c r="AV189" s="127">
        <f t="shared" si="74"/>
        <v>70</v>
      </c>
      <c r="AW189" s="43" t="str">
        <f t="shared" si="75"/>
        <v/>
      </c>
      <c r="AX189" s="43" t="str">
        <f t="shared" si="76"/>
        <v/>
      </c>
      <c r="AY189" s="43" t="str">
        <f t="shared" si="77"/>
        <v/>
      </c>
      <c r="AZ189" s="128" t="str">
        <f t="shared" si="78"/>
        <v/>
      </c>
      <c r="BA189" s="153">
        <f t="shared" si="86"/>
        <v>70</v>
      </c>
      <c r="BC189" s="127">
        <v>18</v>
      </c>
      <c r="BD189" s="127">
        <f t="shared" si="79"/>
        <v>70</v>
      </c>
      <c r="BE189" s="43">
        <f t="shared" si="80"/>
        <v>0</v>
      </c>
      <c r="BF189" s="43" t="str">
        <f t="shared" si="81"/>
        <v/>
      </c>
      <c r="BG189" s="43" t="str">
        <f t="shared" si="82"/>
        <v/>
      </c>
      <c r="BH189" s="128" t="str">
        <f t="shared" si="83"/>
        <v/>
      </c>
      <c r="BI189" s="153">
        <f t="shared" si="87"/>
        <v>70</v>
      </c>
      <c r="BK189">
        <f t="shared" si="88"/>
        <v>0</v>
      </c>
    </row>
    <row r="190" spans="3:63" x14ac:dyDescent="0.25">
      <c r="C190" s="208">
        <v>19</v>
      </c>
      <c r="D190" s="54"/>
      <c r="E190" s="54"/>
      <c r="T190">
        <f t="shared" si="71"/>
        <v>0</v>
      </c>
      <c r="U190">
        <f t="shared" si="72"/>
        <v>0</v>
      </c>
      <c r="V190">
        <f t="shared" si="73"/>
        <v>0</v>
      </c>
      <c r="AL190" s="134">
        <v>19</v>
      </c>
      <c r="AM190" s="127">
        <v>0</v>
      </c>
      <c r="AN190" s="43"/>
      <c r="AO190" s="43"/>
      <c r="AP190" s="43"/>
      <c r="AQ190" s="128"/>
      <c r="AR190">
        <f t="shared" si="84"/>
        <v>0</v>
      </c>
      <c r="AS190">
        <f t="shared" si="85"/>
        <v>0</v>
      </c>
      <c r="AU190" s="127">
        <v>19</v>
      </c>
      <c r="AV190" s="127">
        <f t="shared" si="74"/>
        <v>0</v>
      </c>
      <c r="AW190" s="43" t="str">
        <f t="shared" si="75"/>
        <v/>
      </c>
      <c r="AX190" s="43" t="str">
        <f t="shared" si="76"/>
        <v/>
      </c>
      <c r="AY190" s="43" t="str">
        <f t="shared" si="77"/>
        <v/>
      </c>
      <c r="AZ190" s="128" t="str">
        <f t="shared" si="78"/>
        <v/>
      </c>
      <c r="BA190" s="153">
        <f t="shared" si="86"/>
        <v>0</v>
      </c>
      <c r="BC190" s="127">
        <v>19</v>
      </c>
      <c r="BD190" s="127" t="str">
        <f t="shared" si="79"/>
        <v/>
      </c>
      <c r="BE190" s="43" t="str">
        <f t="shared" si="80"/>
        <v/>
      </c>
      <c r="BF190" s="43" t="str">
        <f t="shared" si="81"/>
        <v/>
      </c>
      <c r="BG190" s="43" t="str">
        <f t="shared" si="82"/>
        <v/>
      </c>
      <c r="BH190" s="128" t="str">
        <f t="shared" si="83"/>
        <v/>
      </c>
      <c r="BI190" s="153">
        <f t="shared" si="87"/>
        <v>0</v>
      </c>
      <c r="BK190">
        <f t="shared" si="88"/>
        <v>0</v>
      </c>
    </row>
    <row r="191" spans="3:63" x14ac:dyDescent="0.25">
      <c r="C191" s="208">
        <v>20</v>
      </c>
      <c r="D191" s="54"/>
      <c r="E191" s="54"/>
      <c r="F191">
        <v>65</v>
      </c>
      <c r="T191">
        <f t="shared" si="71"/>
        <v>65</v>
      </c>
      <c r="U191">
        <f t="shared" si="72"/>
        <v>65</v>
      </c>
      <c r="V191">
        <f t="shared" si="73"/>
        <v>1</v>
      </c>
      <c r="AL191" s="134">
        <v>20</v>
      </c>
      <c r="AM191" s="127">
        <v>65</v>
      </c>
      <c r="AN191" s="43"/>
      <c r="AO191" s="43"/>
      <c r="AP191" s="43"/>
      <c r="AQ191" s="128"/>
      <c r="AR191">
        <f t="shared" si="84"/>
        <v>1</v>
      </c>
      <c r="AS191">
        <f t="shared" si="85"/>
        <v>65</v>
      </c>
      <c r="AU191" s="127">
        <v>20</v>
      </c>
      <c r="AV191" s="127">
        <f t="shared" si="74"/>
        <v>65</v>
      </c>
      <c r="AW191" s="43" t="str">
        <f t="shared" si="75"/>
        <v/>
      </c>
      <c r="AX191" s="43" t="str">
        <f t="shared" si="76"/>
        <v/>
      </c>
      <c r="AY191" s="43" t="str">
        <f t="shared" si="77"/>
        <v/>
      </c>
      <c r="AZ191" s="128" t="str">
        <f t="shared" si="78"/>
        <v/>
      </c>
      <c r="BA191" s="153">
        <f t="shared" si="86"/>
        <v>65</v>
      </c>
      <c r="BC191" s="127">
        <v>20</v>
      </c>
      <c r="BD191" s="127">
        <f t="shared" si="79"/>
        <v>65</v>
      </c>
      <c r="BE191" s="43" t="str">
        <f t="shared" si="80"/>
        <v/>
      </c>
      <c r="BF191" s="43" t="str">
        <f t="shared" si="81"/>
        <v/>
      </c>
      <c r="BG191" s="43" t="str">
        <f t="shared" si="82"/>
        <v/>
      </c>
      <c r="BH191" s="128" t="str">
        <f t="shared" si="83"/>
        <v/>
      </c>
      <c r="BI191" s="153">
        <f t="shared" si="87"/>
        <v>65</v>
      </c>
      <c r="BK191">
        <f t="shared" si="88"/>
        <v>0</v>
      </c>
    </row>
    <row r="192" spans="3:63" x14ac:dyDescent="0.25">
      <c r="C192" s="208">
        <v>21</v>
      </c>
      <c r="D192" s="54"/>
      <c r="E192" s="54"/>
      <c r="K192">
        <v>35</v>
      </c>
      <c r="T192">
        <f t="shared" si="71"/>
        <v>35</v>
      </c>
      <c r="U192">
        <f t="shared" si="72"/>
        <v>35</v>
      </c>
      <c r="V192">
        <f t="shared" si="73"/>
        <v>1</v>
      </c>
      <c r="AL192" s="134">
        <v>21</v>
      </c>
      <c r="AM192" s="127">
        <v>35</v>
      </c>
      <c r="AN192" s="43"/>
      <c r="AO192" s="43"/>
      <c r="AP192" s="43"/>
      <c r="AQ192" s="128"/>
      <c r="AR192">
        <f t="shared" si="84"/>
        <v>1</v>
      </c>
      <c r="AS192">
        <f t="shared" si="85"/>
        <v>35</v>
      </c>
      <c r="AU192" s="127">
        <v>21</v>
      </c>
      <c r="AV192" s="127">
        <f t="shared" si="74"/>
        <v>35</v>
      </c>
      <c r="AW192" s="43" t="str">
        <f t="shared" si="75"/>
        <v/>
      </c>
      <c r="AX192" s="43" t="str">
        <f t="shared" si="76"/>
        <v/>
      </c>
      <c r="AY192" s="43" t="str">
        <f t="shared" si="77"/>
        <v/>
      </c>
      <c r="AZ192" s="128" t="str">
        <f t="shared" si="78"/>
        <v/>
      </c>
      <c r="BA192" s="153">
        <f t="shared" si="86"/>
        <v>35</v>
      </c>
      <c r="BC192" s="127">
        <v>21</v>
      </c>
      <c r="BD192" s="127">
        <f t="shared" si="79"/>
        <v>35</v>
      </c>
      <c r="BE192" s="43" t="str">
        <f t="shared" si="80"/>
        <v/>
      </c>
      <c r="BF192" s="43" t="str">
        <f t="shared" si="81"/>
        <v/>
      </c>
      <c r="BG192" s="43" t="str">
        <f t="shared" si="82"/>
        <v/>
      </c>
      <c r="BH192" s="128" t="str">
        <f t="shared" si="83"/>
        <v/>
      </c>
      <c r="BI192" s="153">
        <f t="shared" si="87"/>
        <v>35</v>
      </c>
      <c r="BK192">
        <f t="shared" si="88"/>
        <v>0</v>
      </c>
    </row>
    <row r="193" spans="3:63" x14ac:dyDescent="0.25">
      <c r="C193" s="208">
        <v>22</v>
      </c>
      <c r="D193" s="54"/>
      <c r="E193" s="54"/>
      <c r="F193">
        <v>40</v>
      </c>
      <c r="T193">
        <f t="shared" si="71"/>
        <v>40</v>
      </c>
      <c r="U193">
        <f t="shared" si="72"/>
        <v>40</v>
      </c>
      <c r="V193">
        <f t="shared" si="73"/>
        <v>1</v>
      </c>
      <c r="AL193" s="134">
        <v>22</v>
      </c>
      <c r="AM193" s="127">
        <v>40</v>
      </c>
      <c r="AN193" s="43"/>
      <c r="AO193" s="43"/>
      <c r="AP193" s="43"/>
      <c r="AQ193" s="128"/>
      <c r="AR193">
        <f t="shared" si="84"/>
        <v>1</v>
      </c>
      <c r="AS193">
        <f t="shared" si="85"/>
        <v>40</v>
      </c>
      <c r="AU193" s="127">
        <v>22</v>
      </c>
      <c r="AV193" s="127">
        <f t="shared" si="74"/>
        <v>40</v>
      </c>
      <c r="AW193" s="43" t="str">
        <f t="shared" si="75"/>
        <v/>
      </c>
      <c r="AX193" s="43" t="str">
        <f t="shared" si="76"/>
        <v/>
      </c>
      <c r="AY193" s="43" t="str">
        <f t="shared" si="77"/>
        <v/>
      </c>
      <c r="AZ193" s="128" t="str">
        <f t="shared" si="78"/>
        <v/>
      </c>
      <c r="BA193" s="153">
        <f t="shared" si="86"/>
        <v>40</v>
      </c>
      <c r="BC193" s="127">
        <v>22</v>
      </c>
      <c r="BD193" s="127">
        <f t="shared" si="79"/>
        <v>40</v>
      </c>
      <c r="BE193" s="43" t="str">
        <f t="shared" si="80"/>
        <v/>
      </c>
      <c r="BF193" s="43" t="str">
        <f t="shared" si="81"/>
        <v/>
      </c>
      <c r="BG193" s="43" t="str">
        <f t="shared" si="82"/>
        <v/>
      </c>
      <c r="BH193" s="128" t="str">
        <f t="shared" si="83"/>
        <v/>
      </c>
      <c r="BI193" s="153">
        <f t="shared" si="87"/>
        <v>40</v>
      </c>
      <c r="BK193">
        <f t="shared" si="88"/>
        <v>0</v>
      </c>
    </row>
    <row r="194" spans="3:63" x14ac:dyDescent="0.25">
      <c r="C194" s="208">
        <v>23</v>
      </c>
      <c r="D194" s="54"/>
      <c r="E194" s="54"/>
      <c r="F194">
        <v>32</v>
      </c>
      <c r="T194">
        <f t="shared" si="71"/>
        <v>32</v>
      </c>
      <c r="U194">
        <f t="shared" si="72"/>
        <v>32</v>
      </c>
      <c r="V194">
        <f t="shared" si="73"/>
        <v>1</v>
      </c>
      <c r="AL194" s="134">
        <v>23</v>
      </c>
      <c r="AM194" s="127">
        <v>32</v>
      </c>
      <c r="AN194" s="43"/>
      <c r="AO194" s="43"/>
      <c r="AP194" s="43"/>
      <c r="AQ194" s="128"/>
      <c r="AR194">
        <f t="shared" si="84"/>
        <v>1</v>
      </c>
      <c r="AS194">
        <f t="shared" si="85"/>
        <v>32</v>
      </c>
      <c r="AU194" s="127">
        <v>23</v>
      </c>
      <c r="AV194" s="127">
        <f t="shared" si="74"/>
        <v>32</v>
      </c>
      <c r="AW194" s="43" t="str">
        <f t="shared" si="75"/>
        <v/>
      </c>
      <c r="AX194" s="43" t="str">
        <f t="shared" si="76"/>
        <v/>
      </c>
      <c r="AY194" s="43" t="str">
        <f t="shared" si="77"/>
        <v/>
      </c>
      <c r="AZ194" s="128" t="str">
        <f t="shared" si="78"/>
        <v/>
      </c>
      <c r="BA194" s="153">
        <f t="shared" si="86"/>
        <v>32</v>
      </c>
      <c r="BC194" s="127">
        <v>23</v>
      </c>
      <c r="BD194" s="127">
        <f t="shared" si="79"/>
        <v>32</v>
      </c>
      <c r="BE194" s="43" t="str">
        <f t="shared" si="80"/>
        <v/>
      </c>
      <c r="BF194" s="43" t="str">
        <f t="shared" si="81"/>
        <v/>
      </c>
      <c r="BG194" s="43" t="str">
        <f t="shared" si="82"/>
        <v/>
      </c>
      <c r="BH194" s="128" t="str">
        <f t="shared" si="83"/>
        <v/>
      </c>
      <c r="BI194" s="153">
        <f t="shared" si="87"/>
        <v>32</v>
      </c>
      <c r="BK194">
        <f t="shared" si="88"/>
        <v>0</v>
      </c>
    </row>
    <row r="195" spans="3:63" x14ac:dyDescent="0.25">
      <c r="C195" s="208">
        <v>24</v>
      </c>
      <c r="D195" s="54"/>
      <c r="E195" s="54"/>
      <c r="F195">
        <v>69</v>
      </c>
      <c r="T195">
        <f t="shared" si="71"/>
        <v>69</v>
      </c>
      <c r="U195">
        <f t="shared" si="72"/>
        <v>69</v>
      </c>
      <c r="V195">
        <f t="shared" si="73"/>
        <v>1</v>
      </c>
      <c r="AL195" s="134">
        <v>24</v>
      </c>
      <c r="AM195" s="127">
        <v>69</v>
      </c>
      <c r="AN195" s="43"/>
      <c r="AO195" s="43"/>
      <c r="AP195" s="43"/>
      <c r="AQ195" s="128"/>
      <c r="AR195">
        <f t="shared" si="84"/>
        <v>1</v>
      </c>
      <c r="AS195">
        <f t="shared" si="85"/>
        <v>69</v>
      </c>
      <c r="AU195" s="127">
        <v>24</v>
      </c>
      <c r="AV195" s="127">
        <f t="shared" si="74"/>
        <v>69</v>
      </c>
      <c r="AW195" s="43" t="str">
        <f t="shared" si="75"/>
        <v/>
      </c>
      <c r="AX195" s="43" t="str">
        <f t="shared" si="76"/>
        <v/>
      </c>
      <c r="AY195" s="43" t="str">
        <f t="shared" si="77"/>
        <v/>
      </c>
      <c r="AZ195" s="128" t="str">
        <f t="shared" si="78"/>
        <v/>
      </c>
      <c r="BA195" s="153">
        <f t="shared" si="86"/>
        <v>69</v>
      </c>
      <c r="BC195" s="127">
        <v>24</v>
      </c>
      <c r="BD195" s="127">
        <f t="shared" si="79"/>
        <v>69</v>
      </c>
      <c r="BE195" s="43" t="str">
        <f t="shared" si="80"/>
        <v/>
      </c>
      <c r="BF195" s="43" t="str">
        <f t="shared" si="81"/>
        <v/>
      </c>
      <c r="BG195" s="43" t="str">
        <f t="shared" si="82"/>
        <v/>
      </c>
      <c r="BH195" s="128" t="str">
        <f t="shared" si="83"/>
        <v/>
      </c>
      <c r="BI195" s="153">
        <f t="shared" si="87"/>
        <v>69</v>
      </c>
      <c r="BK195">
        <f t="shared" si="88"/>
        <v>0</v>
      </c>
    </row>
    <row r="196" spans="3:63" x14ac:dyDescent="0.25">
      <c r="C196" s="208">
        <v>25</v>
      </c>
      <c r="D196" s="54"/>
      <c r="E196" s="54"/>
      <c r="F196">
        <v>31</v>
      </c>
      <c r="T196">
        <f t="shared" si="71"/>
        <v>31</v>
      </c>
      <c r="U196">
        <f t="shared" si="72"/>
        <v>31</v>
      </c>
      <c r="V196">
        <f t="shared" si="73"/>
        <v>1</v>
      </c>
      <c r="AL196" s="134">
        <v>25</v>
      </c>
      <c r="AM196" s="127">
        <v>31</v>
      </c>
      <c r="AN196" s="43"/>
      <c r="AO196" s="43"/>
      <c r="AP196" s="43"/>
      <c r="AQ196" s="128"/>
      <c r="AR196">
        <f t="shared" si="84"/>
        <v>1</v>
      </c>
      <c r="AS196">
        <f t="shared" si="85"/>
        <v>31</v>
      </c>
      <c r="AU196" s="127">
        <v>25</v>
      </c>
      <c r="AV196" s="127">
        <f t="shared" si="74"/>
        <v>31</v>
      </c>
      <c r="AW196" s="43" t="str">
        <f t="shared" si="75"/>
        <v/>
      </c>
      <c r="AX196" s="43" t="str">
        <f t="shared" si="76"/>
        <v/>
      </c>
      <c r="AY196" s="43" t="str">
        <f t="shared" si="77"/>
        <v/>
      </c>
      <c r="AZ196" s="128" t="str">
        <f t="shared" si="78"/>
        <v/>
      </c>
      <c r="BA196" s="153">
        <f t="shared" si="86"/>
        <v>31</v>
      </c>
      <c r="BC196" s="127">
        <v>25</v>
      </c>
      <c r="BD196" s="127">
        <f t="shared" si="79"/>
        <v>31</v>
      </c>
      <c r="BE196" s="43" t="str">
        <f t="shared" si="80"/>
        <v/>
      </c>
      <c r="BF196" s="43" t="str">
        <f t="shared" si="81"/>
        <v/>
      </c>
      <c r="BG196" s="43" t="str">
        <f t="shared" si="82"/>
        <v/>
      </c>
      <c r="BH196" s="128" t="str">
        <f t="shared" si="83"/>
        <v/>
      </c>
      <c r="BI196" s="153">
        <f t="shared" si="87"/>
        <v>31</v>
      </c>
      <c r="BK196">
        <f t="shared" si="88"/>
        <v>0</v>
      </c>
    </row>
    <row r="197" spans="3:63" x14ac:dyDescent="0.25">
      <c r="C197" s="208">
        <v>26</v>
      </c>
      <c r="D197" s="54"/>
      <c r="E197" s="54"/>
      <c r="F197">
        <v>64</v>
      </c>
      <c r="K197">
        <v>0</v>
      </c>
      <c r="L197">
        <v>5</v>
      </c>
      <c r="T197">
        <f t="shared" si="71"/>
        <v>69</v>
      </c>
      <c r="U197">
        <f t="shared" si="72"/>
        <v>64</v>
      </c>
      <c r="V197">
        <f t="shared" si="73"/>
        <v>2</v>
      </c>
      <c r="AL197" s="134">
        <v>26</v>
      </c>
      <c r="AM197" s="127">
        <v>64</v>
      </c>
      <c r="AN197" s="43">
        <v>5</v>
      </c>
      <c r="AO197" s="43"/>
      <c r="AP197" s="43"/>
      <c r="AQ197" s="128"/>
      <c r="AR197">
        <f t="shared" si="84"/>
        <v>2</v>
      </c>
      <c r="AS197">
        <f t="shared" si="85"/>
        <v>69</v>
      </c>
      <c r="AU197" s="127">
        <v>26</v>
      </c>
      <c r="AV197" s="127">
        <f t="shared" si="74"/>
        <v>64</v>
      </c>
      <c r="AW197" s="43">
        <f t="shared" si="75"/>
        <v>5</v>
      </c>
      <c r="AX197" s="43" t="str">
        <f t="shared" si="76"/>
        <v/>
      </c>
      <c r="AY197" s="43" t="str">
        <f t="shared" si="77"/>
        <v/>
      </c>
      <c r="AZ197" s="128" t="str">
        <f t="shared" si="78"/>
        <v/>
      </c>
      <c r="BA197" s="153">
        <f t="shared" si="86"/>
        <v>69</v>
      </c>
      <c r="BC197" s="127">
        <v>26</v>
      </c>
      <c r="BD197" s="127">
        <f t="shared" si="79"/>
        <v>64</v>
      </c>
      <c r="BE197" s="43">
        <f t="shared" si="80"/>
        <v>5</v>
      </c>
      <c r="BF197" s="43">
        <f t="shared" si="81"/>
        <v>0</v>
      </c>
      <c r="BG197" s="43" t="str">
        <f t="shared" si="82"/>
        <v/>
      </c>
      <c r="BH197" s="128" t="str">
        <f t="shared" si="83"/>
        <v/>
      </c>
      <c r="BI197" s="153">
        <f t="shared" si="87"/>
        <v>69</v>
      </c>
      <c r="BK197">
        <f t="shared" si="88"/>
        <v>0</v>
      </c>
    </row>
    <row r="198" spans="3:63" x14ac:dyDescent="0.25">
      <c r="C198" s="208">
        <v>27</v>
      </c>
      <c r="D198" s="54"/>
      <c r="E198" s="54"/>
      <c r="T198">
        <f t="shared" si="71"/>
        <v>0</v>
      </c>
      <c r="U198">
        <f t="shared" si="72"/>
        <v>0</v>
      </c>
      <c r="V198">
        <f t="shared" si="73"/>
        <v>0</v>
      </c>
      <c r="AL198" s="134">
        <v>27</v>
      </c>
      <c r="AM198" s="127">
        <v>0</v>
      </c>
      <c r="AN198" s="43"/>
      <c r="AO198" s="43"/>
      <c r="AP198" s="43"/>
      <c r="AQ198" s="128"/>
      <c r="AR198">
        <f t="shared" si="84"/>
        <v>0</v>
      </c>
      <c r="AS198">
        <f t="shared" si="85"/>
        <v>0</v>
      </c>
      <c r="AU198" s="127">
        <v>27</v>
      </c>
      <c r="AV198" s="127">
        <f t="shared" si="74"/>
        <v>0</v>
      </c>
      <c r="AW198" s="43" t="str">
        <f t="shared" si="75"/>
        <v/>
      </c>
      <c r="AX198" s="43" t="str">
        <f t="shared" si="76"/>
        <v/>
      </c>
      <c r="AY198" s="43" t="str">
        <f t="shared" si="77"/>
        <v/>
      </c>
      <c r="AZ198" s="128" t="str">
        <f t="shared" si="78"/>
        <v/>
      </c>
      <c r="BA198" s="153">
        <f t="shared" si="86"/>
        <v>0</v>
      </c>
      <c r="BC198" s="127">
        <v>27</v>
      </c>
      <c r="BD198" s="127" t="str">
        <f t="shared" si="79"/>
        <v/>
      </c>
      <c r="BE198" s="43" t="str">
        <f t="shared" si="80"/>
        <v/>
      </c>
      <c r="BF198" s="43" t="str">
        <f t="shared" si="81"/>
        <v/>
      </c>
      <c r="BG198" s="43" t="str">
        <f t="shared" si="82"/>
        <v/>
      </c>
      <c r="BH198" s="128" t="str">
        <f t="shared" si="83"/>
        <v/>
      </c>
      <c r="BI198" s="153">
        <f t="shared" si="87"/>
        <v>0</v>
      </c>
      <c r="BK198">
        <f t="shared" si="88"/>
        <v>0</v>
      </c>
    </row>
    <row r="199" spans="3:63" x14ac:dyDescent="0.25">
      <c r="C199" s="208">
        <v>28</v>
      </c>
      <c r="D199" s="54"/>
      <c r="E199" s="54"/>
      <c r="F199">
        <v>53</v>
      </c>
      <c r="K199">
        <v>26</v>
      </c>
      <c r="T199">
        <f t="shared" si="71"/>
        <v>79</v>
      </c>
      <c r="U199">
        <f t="shared" si="72"/>
        <v>53</v>
      </c>
      <c r="V199">
        <f t="shared" si="73"/>
        <v>2</v>
      </c>
      <c r="AL199" s="134">
        <v>28</v>
      </c>
      <c r="AM199" s="127">
        <v>53</v>
      </c>
      <c r="AN199" s="43">
        <v>26</v>
      </c>
      <c r="AO199" s="43"/>
      <c r="AP199" s="43"/>
      <c r="AQ199" s="128"/>
      <c r="AR199">
        <f t="shared" si="84"/>
        <v>2</v>
      </c>
      <c r="AS199">
        <f t="shared" si="85"/>
        <v>79</v>
      </c>
      <c r="AU199" s="127">
        <v>28</v>
      </c>
      <c r="AV199" s="127">
        <f t="shared" si="74"/>
        <v>53</v>
      </c>
      <c r="AW199" s="43">
        <f t="shared" si="75"/>
        <v>26</v>
      </c>
      <c r="AX199" s="43" t="str">
        <f t="shared" si="76"/>
        <v/>
      </c>
      <c r="AY199" s="43" t="str">
        <f t="shared" si="77"/>
        <v/>
      </c>
      <c r="AZ199" s="128" t="str">
        <f t="shared" si="78"/>
        <v/>
      </c>
      <c r="BA199" s="153">
        <f t="shared" si="86"/>
        <v>79</v>
      </c>
      <c r="BC199" s="127">
        <v>28</v>
      </c>
      <c r="BD199" s="127">
        <f t="shared" si="79"/>
        <v>53</v>
      </c>
      <c r="BE199" s="43">
        <f t="shared" si="80"/>
        <v>26</v>
      </c>
      <c r="BF199" s="43" t="str">
        <f t="shared" si="81"/>
        <v/>
      </c>
      <c r="BG199" s="43" t="str">
        <f t="shared" si="82"/>
        <v/>
      </c>
      <c r="BH199" s="128" t="str">
        <f t="shared" si="83"/>
        <v/>
      </c>
      <c r="BI199" s="153">
        <f t="shared" si="87"/>
        <v>79</v>
      </c>
      <c r="BK199">
        <f t="shared" si="88"/>
        <v>0</v>
      </c>
    </row>
    <row r="200" spans="3:63" x14ac:dyDescent="0.25">
      <c r="C200" s="208">
        <v>29</v>
      </c>
      <c r="D200" s="54"/>
      <c r="E200" s="54"/>
      <c r="F200">
        <v>63</v>
      </c>
      <c r="K200">
        <v>0</v>
      </c>
      <c r="M200">
        <v>8</v>
      </c>
      <c r="T200">
        <f t="shared" si="71"/>
        <v>71</v>
      </c>
      <c r="U200">
        <f t="shared" si="72"/>
        <v>63</v>
      </c>
      <c r="V200">
        <f t="shared" si="73"/>
        <v>2</v>
      </c>
      <c r="AL200" s="134">
        <v>29</v>
      </c>
      <c r="AM200" s="127">
        <v>63</v>
      </c>
      <c r="AN200" s="43">
        <v>8</v>
      </c>
      <c r="AO200" s="43"/>
      <c r="AP200" s="43"/>
      <c r="AQ200" s="128"/>
      <c r="AR200">
        <f t="shared" si="84"/>
        <v>2</v>
      </c>
      <c r="AS200">
        <f t="shared" si="85"/>
        <v>71</v>
      </c>
      <c r="AU200" s="127">
        <v>29</v>
      </c>
      <c r="AV200" s="127">
        <f t="shared" si="74"/>
        <v>63</v>
      </c>
      <c r="AW200" s="43">
        <f t="shared" si="75"/>
        <v>8</v>
      </c>
      <c r="AX200" s="43" t="str">
        <f t="shared" si="76"/>
        <v/>
      </c>
      <c r="AY200" s="43" t="str">
        <f t="shared" si="77"/>
        <v/>
      </c>
      <c r="AZ200" s="128" t="str">
        <f t="shared" si="78"/>
        <v/>
      </c>
      <c r="BA200" s="153">
        <f t="shared" si="86"/>
        <v>71</v>
      </c>
      <c r="BC200" s="127">
        <v>29</v>
      </c>
      <c r="BD200" s="127">
        <f t="shared" si="79"/>
        <v>63</v>
      </c>
      <c r="BE200" s="43">
        <f t="shared" si="80"/>
        <v>8</v>
      </c>
      <c r="BF200" s="43">
        <f t="shared" si="81"/>
        <v>0</v>
      </c>
      <c r="BG200" s="43" t="str">
        <f t="shared" si="82"/>
        <v/>
      </c>
      <c r="BH200" s="128" t="str">
        <f t="shared" si="83"/>
        <v/>
      </c>
      <c r="BI200" s="153">
        <f t="shared" si="87"/>
        <v>71</v>
      </c>
      <c r="BK200">
        <f t="shared" si="88"/>
        <v>0</v>
      </c>
    </row>
    <row r="201" spans="3:63" x14ac:dyDescent="0.25">
      <c r="C201" s="208">
        <v>30</v>
      </c>
      <c r="D201" s="54"/>
      <c r="E201" s="54"/>
      <c r="F201">
        <v>39</v>
      </c>
      <c r="T201">
        <f t="shared" si="71"/>
        <v>39</v>
      </c>
      <c r="U201">
        <f t="shared" si="72"/>
        <v>39</v>
      </c>
      <c r="V201">
        <f t="shared" si="73"/>
        <v>1</v>
      </c>
      <c r="AL201" s="134">
        <v>30</v>
      </c>
      <c r="AM201" s="127">
        <v>39</v>
      </c>
      <c r="AN201" s="43"/>
      <c r="AO201" s="43"/>
      <c r="AP201" s="43"/>
      <c r="AQ201" s="128"/>
      <c r="AR201">
        <f t="shared" si="84"/>
        <v>1</v>
      </c>
      <c r="AS201">
        <f t="shared" si="85"/>
        <v>39</v>
      </c>
      <c r="AU201" s="127">
        <v>30</v>
      </c>
      <c r="AV201" s="127">
        <f t="shared" si="74"/>
        <v>39</v>
      </c>
      <c r="AW201" s="43" t="str">
        <f t="shared" si="75"/>
        <v/>
      </c>
      <c r="AX201" s="43" t="str">
        <f t="shared" si="76"/>
        <v/>
      </c>
      <c r="AY201" s="43" t="str">
        <f t="shared" si="77"/>
        <v/>
      </c>
      <c r="AZ201" s="128" t="str">
        <f t="shared" si="78"/>
        <v/>
      </c>
      <c r="BA201" s="153">
        <f t="shared" si="86"/>
        <v>39</v>
      </c>
      <c r="BC201" s="127">
        <v>30</v>
      </c>
      <c r="BD201" s="127">
        <f t="shared" si="79"/>
        <v>39</v>
      </c>
      <c r="BE201" s="43" t="str">
        <f t="shared" si="80"/>
        <v/>
      </c>
      <c r="BF201" s="43" t="str">
        <f t="shared" si="81"/>
        <v/>
      </c>
      <c r="BG201" s="43" t="str">
        <f t="shared" si="82"/>
        <v/>
      </c>
      <c r="BH201" s="128" t="str">
        <f t="shared" si="83"/>
        <v/>
      </c>
      <c r="BI201" s="153">
        <f t="shared" si="87"/>
        <v>39</v>
      </c>
      <c r="BK201">
        <f t="shared" si="88"/>
        <v>0</v>
      </c>
    </row>
    <row r="202" spans="3:63" x14ac:dyDescent="0.25">
      <c r="C202" s="208">
        <v>31</v>
      </c>
      <c r="D202" s="54"/>
      <c r="E202" s="54"/>
      <c r="F202">
        <v>0</v>
      </c>
      <c r="T202">
        <f t="shared" si="71"/>
        <v>0</v>
      </c>
      <c r="U202">
        <f t="shared" si="72"/>
        <v>0</v>
      </c>
      <c r="V202">
        <f t="shared" si="73"/>
        <v>0</v>
      </c>
      <c r="AL202" s="134">
        <v>31</v>
      </c>
      <c r="AM202" s="127">
        <v>0</v>
      </c>
      <c r="AN202" s="43"/>
      <c r="AO202" s="43"/>
      <c r="AP202" s="43"/>
      <c r="AQ202" s="128"/>
      <c r="AR202">
        <f t="shared" si="84"/>
        <v>0</v>
      </c>
      <c r="AS202">
        <f t="shared" si="85"/>
        <v>0</v>
      </c>
      <c r="AU202" s="127">
        <v>31</v>
      </c>
      <c r="AV202" s="127">
        <f t="shared" si="74"/>
        <v>0</v>
      </c>
      <c r="AW202" s="43" t="str">
        <f t="shared" si="75"/>
        <v/>
      </c>
      <c r="AX202" s="43" t="str">
        <f t="shared" si="76"/>
        <v/>
      </c>
      <c r="AY202" s="43" t="str">
        <f t="shared" si="77"/>
        <v/>
      </c>
      <c r="AZ202" s="128" t="str">
        <f t="shared" si="78"/>
        <v/>
      </c>
      <c r="BA202" s="153">
        <f t="shared" si="86"/>
        <v>0</v>
      </c>
      <c r="BC202" s="127">
        <v>31</v>
      </c>
      <c r="BD202" s="127">
        <f t="shared" si="79"/>
        <v>0</v>
      </c>
      <c r="BE202" s="43" t="str">
        <f t="shared" si="80"/>
        <v/>
      </c>
      <c r="BF202" s="43" t="str">
        <f t="shared" si="81"/>
        <v/>
      </c>
      <c r="BG202" s="43" t="str">
        <f t="shared" si="82"/>
        <v/>
      </c>
      <c r="BH202" s="128" t="str">
        <f t="shared" si="83"/>
        <v/>
      </c>
      <c r="BI202" s="153">
        <f t="shared" si="87"/>
        <v>0</v>
      </c>
      <c r="BK202">
        <f t="shared" si="88"/>
        <v>0</v>
      </c>
    </row>
    <row r="203" spans="3:63" x14ac:dyDescent="0.25">
      <c r="C203" s="208">
        <v>32</v>
      </c>
      <c r="D203" s="54"/>
      <c r="E203" s="54"/>
      <c r="T203">
        <f t="shared" si="71"/>
        <v>0</v>
      </c>
      <c r="U203">
        <f t="shared" si="72"/>
        <v>0</v>
      </c>
      <c r="V203">
        <f t="shared" si="73"/>
        <v>0</v>
      </c>
      <c r="AL203" s="134">
        <v>32</v>
      </c>
      <c r="AM203" s="127">
        <v>0</v>
      </c>
      <c r="AN203" s="43"/>
      <c r="AO203" s="43"/>
      <c r="AP203" s="43"/>
      <c r="AQ203" s="128"/>
      <c r="AR203">
        <f t="shared" si="84"/>
        <v>0</v>
      </c>
      <c r="AS203">
        <f t="shared" si="85"/>
        <v>0</v>
      </c>
      <c r="AU203" s="127">
        <v>32</v>
      </c>
      <c r="AV203" s="127">
        <f t="shared" si="74"/>
        <v>0</v>
      </c>
      <c r="AW203" s="43" t="str">
        <f t="shared" si="75"/>
        <v/>
      </c>
      <c r="AX203" s="43" t="str">
        <f t="shared" si="76"/>
        <v/>
      </c>
      <c r="AY203" s="43" t="str">
        <f t="shared" si="77"/>
        <v/>
      </c>
      <c r="AZ203" s="128" t="str">
        <f t="shared" si="78"/>
        <v/>
      </c>
      <c r="BA203" s="153">
        <f t="shared" si="86"/>
        <v>0</v>
      </c>
      <c r="BC203" s="127">
        <v>32</v>
      </c>
      <c r="BD203" s="127" t="str">
        <f t="shared" si="79"/>
        <v/>
      </c>
      <c r="BE203" s="43" t="str">
        <f t="shared" si="80"/>
        <v/>
      </c>
      <c r="BF203" s="43" t="str">
        <f t="shared" si="81"/>
        <v/>
      </c>
      <c r="BG203" s="43" t="str">
        <f t="shared" si="82"/>
        <v/>
      </c>
      <c r="BH203" s="128" t="str">
        <f t="shared" si="83"/>
        <v/>
      </c>
      <c r="BI203" s="153">
        <f t="shared" si="87"/>
        <v>0</v>
      </c>
      <c r="BK203">
        <f t="shared" si="88"/>
        <v>0</v>
      </c>
    </row>
    <row r="204" spans="3:63" x14ac:dyDescent="0.25">
      <c r="C204" s="208">
        <v>33</v>
      </c>
      <c r="D204" s="54"/>
      <c r="E204" s="54"/>
      <c r="F204">
        <v>1</v>
      </c>
      <c r="I204">
        <v>100</v>
      </c>
      <c r="T204">
        <f t="shared" si="71"/>
        <v>101</v>
      </c>
      <c r="U204">
        <f t="shared" si="72"/>
        <v>100</v>
      </c>
      <c r="V204">
        <f t="shared" si="73"/>
        <v>2</v>
      </c>
      <c r="AL204" s="134">
        <v>33</v>
      </c>
      <c r="AM204" s="127">
        <v>1</v>
      </c>
      <c r="AN204" s="43">
        <v>100</v>
      </c>
      <c r="AO204" s="43"/>
      <c r="AP204" s="43"/>
      <c r="AQ204" s="128"/>
      <c r="AR204">
        <f t="shared" si="84"/>
        <v>2</v>
      </c>
      <c r="AS204">
        <f t="shared" si="85"/>
        <v>101</v>
      </c>
      <c r="AU204" s="127">
        <v>33</v>
      </c>
      <c r="AV204" s="127">
        <f t="shared" si="74"/>
        <v>100</v>
      </c>
      <c r="AW204" s="43">
        <f t="shared" si="75"/>
        <v>1</v>
      </c>
      <c r="AX204" s="43" t="str">
        <f t="shared" si="76"/>
        <v/>
      </c>
      <c r="AY204" s="43" t="str">
        <f t="shared" si="77"/>
        <v/>
      </c>
      <c r="AZ204" s="128" t="str">
        <f t="shared" si="78"/>
        <v/>
      </c>
      <c r="BA204" s="153">
        <f t="shared" si="86"/>
        <v>101</v>
      </c>
      <c r="BC204" s="127">
        <v>33</v>
      </c>
      <c r="BD204" s="127">
        <f t="shared" si="79"/>
        <v>100</v>
      </c>
      <c r="BE204" s="43">
        <f t="shared" si="80"/>
        <v>1</v>
      </c>
      <c r="BF204" s="43" t="str">
        <f t="shared" si="81"/>
        <v/>
      </c>
      <c r="BG204" s="43" t="str">
        <f t="shared" si="82"/>
        <v/>
      </c>
      <c r="BH204" s="128" t="str">
        <f t="shared" si="83"/>
        <v/>
      </c>
      <c r="BI204" s="153">
        <f t="shared" si="87"/>
        <v>101</v>
      </c>
      <c r="BK204">
        <f t="shared" si="88"/>
        <v>0</v>
      </c>
    </row>
    <row r="205" spans="3:63" x14ac:dyDescent="0.25">
      <c r="C205" s="208">
        <v>34</v>
      </c>
      <c r="D205" s="54"/>
      <c r="E205" s="54"/>
      <c r="K205">
        <v>0</v>
      </c>
      <c r="T205">
        <f t="shared" si="71"/>
        <v>0</v>
      </c>
      <c r="U205">
        <f t="shared" si="72"/>
        <v>0</v>
      </c>
      <c r="V205">
        <f t="shared" si="73"/>
        <v>0</v>
      </c>
      <c r="AL205" s="134">
        <v>34</v>
      </c>
      <c r="AM205" s="127">
        <v>0</v>
      </c>
      <c r="AN205" s="43"/>
      <c r="AO205" s="43"/>
      <c r="AP205" s="43"/>
      <c r="AQ205" s="128"/>
      <c r="AR205">
        <f t="shared" si="84"/>
        <v>0</v>
      </c>
      <c r="AS205">
        <f t="shared" si="85"/>
        <v>0</v>
      </c>
      <c r="AU205" s="127">
        <v>34</v>
      </c>
      <c r="AV205" s="127">
        <f t="shared" si="74"/>
        <v>0</v>
      </c>
      <c r="AW205" s="43" t="str">
        <f t="shared" si="75"/>
        <v/>
      </c>
      <c r="AX205" s="43" t="str">
        <f t="shared" si="76"/>
        <v/>
      </c>
      <c r="AY205" s="43" t="str">
        <f t="shared" si="77"/>
        <v/>
      </c>
      <c r="AZ205" s="128" t="str">
        <f t="shared" si="78"/>
        <v/>
      </c>
      <c r="BA205" s="153">
        <f t="shared" si="86"/>
        <v>0</v>
      </c>
      <c r="BC205" s="127">
        <v>34</v>
      </c>
      <c r="BD205" s="127">
        <f t="shared" si="79"/>
        <v>0</v>
      </c>
      <c r="BE205" s="43" t="str">
        <f t="shared" si="80"/>
        <v/>
      </c>
      <c r="BF205" s="43" t="str">
        <f t="shared" si="81"/>
        <v/>
      </c>
      <c r="BG205" s="43" t="str">
        <f t="shared" si="82"/>
        <v/>
      </c>
      <c r="BH205" s="128" t="str">
        <f t="shared" si="83"/>
        <v/>
      </c>
      <c r="BI205" s="153">
        <f t="shared" si="87"/>
        <v>0</v>
      </c>
      <c r="BK205">
        <f t="shared" si="88"/>
        <v>0</v>
      </c>
    </row>
    <row r="206" spans="3:63" x14ac:dyDescent="0.25">
      <c r="C206" s="208">
        <v>35</v>
      </c>
      <c r="D206" s="54"/>
      <c r="E206" s="54"/>
      <c r="F206">
        <v>0</v>
      </c>
      <c r="T206">
        <f t="shared" si="71"/>
        <v>0</v>
      </c>
      <c r="U206">
        <f t="shared" si="72"/>
        <v>0</v>
      </c>
      <c r="V206">
        <f t="shared" si="73"/>
        <v>0</v>
      </c>
      <c r="AL206" s="134">
        <v>35</v>
      </c>
      <c r="AM206" s="127">
        <v>0</v>
      </c>
      <c r="AN206" s="43"/>
      <c r="AO206" s="43"/>
      <c r="AP206" s="43"/>
      <c r="AQ206" s="128"/>
      <c r="AR206">
        <f t="shared" si="84"/>
        <v>0</v>
      </c>
      <c r="AS206">
        <f t="shared" si="85"/>
        <v>0</v>
      </c>
      <c r="AU206" s="127">
        <v>35</v>
      </c>
      <c r="AV206" s="127">
        <f t="shared" si="74"/>
        <v>0</v>
      </c>
      <c r="AW206" s="43" t="str">
        <f t="shared" si="75"/>
        <v/>
      </c>
      <c r="AX206" s="43" t="str">
        <f t="shared" si="76"/>
        <v/>
      </c>
      <c r="AY206" s="43" t="str">
        <f t="shared" si="77"/>
        <v/>
      </c>
      <c r="AZ206" s="128" t="str">
        <f t="shared" si="78"/>
        <v/>
      </c>
      <c r="BA206" s="153">
        <f t="shared" si="86"/>
        <v>0</v>
      </c>
      <c r="BC206" s="127">
        <v>35</v>
      </c>
      <c r="BD206" s="127">
        <f t="shared" si="79"/>
        <v>0</v>
      </c>
      <c r="BE206" s="43" t="str">
        <f t="shared" si="80"/>
        <v/>
      </c>
      <c r="BF206" s="43" t="str">
        <f t="shared" si="81"/>
        <v/>
      </c>
      <c r="BG206" s="43" t="str">
        <f t="shared" si="82"/>
        <v/>
      </c>
      <c r="BH206" s="128" t="str">
        <f t="shared" si="83"/>
        <v/>
      </c>
      <c r="BI206" s="153">
        <f t="shared" si="87"/>
        <v>0</v>
      </c>
      <c r="BK206">
        <f t="shared" si="88"/>
        <v>0</v>
      </c>
    </row>
    <row r="207" spans="3:63" x14ac:dyDescent="0.25">
      <c r="C207" s="208">
        <v>36</v>
      </c>
      <c r="D207" s="54"/>
      <c r="E207" s="54"/>
      <c r="T207">
        <f t="shared" si="71"/>
        <v>0</v>
      </c>
      <c r="U207">
        <f t="shared" si="72"/>
        <v>0</v>
      </c>
      <c r="V207">
        <f t="shared" si="73"/>
        <v>0</v>
      </c>
      <c r="AL207" s="134">
        <v>36</v>
      </c>
      <c r="AM207" s="127">
        <v>0</v>
      </c>
      <c r="AN207" s="43"/>
      <c r="AO207" s="43"/>
      <c r="AP207" s="43"/>
      <c r="AQ207" s="128"/>
      <c r="AR207">
        <f t="shared" si="84"/>
        <v>0</v>
      </c>
      <c r="AS207">
        <f t="shared" si="85"/>
        <v>0</v>
      </c>
      <c r="AU207" s="127">
        <v>36</v>
      </c>
      <c r="AV207" s="127">
        <f t="shared" si="74"/>
        <v>0</v>
      </c>
      <c r="AW207" s="43" t="str">
        <f t="shared" si="75"/>
        <v/>
      </c>
      <c r="AX207" s="43" t="str">
        <f t="shared" si="76"/>
        <v/>
      </c>
      <c r="AY207" s="43" t="str">
        <f t="shared" si="77"/>
        <v/>
      </c>
      <c r="AZ207" s="128" t="str">
        <f t="shared" si="78"/>
        <v/>
      </c>
      <c r="BA207" s="153">
        <f t="shared" si="86"/>
        <v>0</v>
      </c>
      <c r="BC207" s="127">
        <v>36</v>
      </c>
      <c r="BD207" s="127" t="str">
        <f t="shared" si="79"/>
        <v/>
      </c>
      <c r="BE207" s="43" t="str">
        <f t="shared" si="80"/>
        <v/>
      </c>
      <c r="BF207" s="43" t="str">
        <f t="shared" si="81"/>
        <v/>
      </c>
      <c r="BG207" s="43" t="str">
        <f t="shared" si="82"/>
        <v/>
      </c>
      <c r="BH207" s="128" t="str">
        <f t="shared" si="83"/>
        <v/>
      </c>
      <c r="BI207" s="153">
        <f t="shared" si="87"/>
        <v>0</v>
      </c>
      <c r="BK207">
        <f t="shared" si="88"/>
        <v>0</v>
      </c>
    </row>
    <row r="208" spans="3:63" x14ac:dyDescent="0.25">
      <c r="C208" s="208">
        <v>37</v>
      </c>
      <c r="D208" s="54"/>
      <c r="E208" s="54"/>
      <c r="F208">
        <v>34</v>
      </c>
      <c r="T208">
        <f t="shared" si="71"/>
        <v>34</v>
      </c>
      <c r="U208">
        <f t="shared" si="72"/>
        <v>34</v>
      </c>
      <c r="V208">
        <f t="shared" si="73"/>
        <v>1</v>
      </c>
      <c r="AL208" s="134">
        <v>37</v>
      </c>
      <c r="AM208" s="127">
        <v>34</v>
      </c>
      <c r="AN208" s="43"/>
      <c r="AO208" s="43"/>
      <c r="AP208" s="43"/>
      <c r="AQ208" s="128"/>
      <c r="AR208">
        <f t="shared" si="84"/>
        <v>1</v>
      </c>
      <c r="AS208">
        <f t="shared" si="85"/>
        <v>34</v>
      </c>
      <c r="AU208" s="127">
        <v>37</v>
      </c>
      <c r="AV208" s="127">
        <f t="shared" si="74"/>
        <v>34</v>
      </c>
      <c r="AW208" s="43" t="str">
        <f t="shared" si="75"/>
        <v/>
      </c>
      <c r="AX208" s="43" t="str">
        <f t="shared" si="76"/>
        <v/>
      </c>
      <c r="AY208" s="43" t="str">
        <f t="shared" si="77"/>
        <v/>
      </c>
      <c r="AZ208" s="128" t="str">
        <f t="shared" si="78"/>
        <v/>
      </c>
      <c r="BA208" s="153">
        <f t="shared" si="86"/>
        <v>34</v>
      </c>
      <c r="BC208" s="127">
        <v>37</v>
      </c>
      <c r="BD208" s="127">
        <f t="shared" si="79"/>
        <v>34</v>
      </c>
      <c r="BE208" s="43" t="str">
        <f t="shared" si="80"/>
        <v/>
      </c>
      <c r="BF208" s="43" t="str">
        <f t="shared" si="81"/>
        <v/>
      </c>
      <c r="BG208" s="43" t="str">
        <f t="shared" si="82"/>
        <v/>
      </c>
      <c r="BH208" s="128" t="str">
        <f t="shared" si="83"/>
        <v/>
      </c>
      <c r="BI208" s="153">
        <f t="shared" si="87"/>
        <v>34</v>
      </c>
      <c r="BK208">
        <f t="shared" si="88"/>
        <v>0</v>
      </c>
    </row>
    <row r="209" spans="3:63" x14ac:dyDescent="0.25">
      <c r="C209" s="208">
        <v>38</v>
      </c>
      <c r="D209" s="54"/>
      <c r="E209" s="54"/>
      <c r="F209">
        <v>0</v>
      </c>
      <c r="I209">
        <v>37</v>
      </c>
      <c r="K209">
        <v>17</v>
      </c>
      <c r="O209">
        <v>5</v>
      </c>
      <c r="P209">
        <v>13</v>
      </c>
      <c r="Q209">
        <v>70</v>
      </c>
      <c r="T209">
        <f>SUM(D209:S209) + 70</f>
        <v>212</v>
      </c>
      <c r="U209">
        <v>70</v>
      </c>
      <c r="V209">
        <f t="shared" si="73"/>
        <v>5</v>
      </c>
      <c r="AL209" s="134">
        <v>38</v>
      </c>
      <c r="AM209" s="127">
        <v>37</v>
      </c>
      <c r="AN209" s="43">
        <v>17</v>
      </c>
      <c r="AO209" s="43">
        <v>5</v>
      </c>
      <c r="AP209" s="43">
        <v>13</v>
      </c>
      <c r="AQ209" s="323">
        <v>70</v>
      </c>
      <c r="AR209">
        <f t="shared" si="84"/>
        <v>5</v>
      </c>
      <c r="AS209">
        <f t="shared" si="85"/>
        <v>142</v>
      </c>
      <c r="AU209" s="127">
        <v>38</v>
      </c>
      <c r="AV209" s="127">
        <f t="shared" si="74"/>
        <v>70</v>
      </c>
      <c r="AW209" s="43">
        <f t="shared" si="75"/>
        <v>37</v>
      </c>
      <c r="AX209" s="43">
        <f t="shared" si="76"/>
        <v>17</v>
      </c>
      <c r="AY209" s="43">
        <f t="shared" si="77"/>
        <v>13</v>
      </c>
      <c r="AZ209" s="128">
        <f t="shared" si="78"/>
        <v>5</v>
      </c>
      <c r="BA209" s="153">
        <f t="shared" si="86"/>
        <v>142</v>
      </c>
      <c r="BC209" s="127">
        <v>38</v>
      </c>
      <c r="BD209" s="127">
        <f t="shared" si="79"/>
        <v>70</v>
      </c>
      <c r="BE209" s="43">
        <f t="shared" si="80"/>
        <v>37</v>
      </c>
      <c r="BF209" s="43">
        <f t="shared" si="81"/>
        <v>17</v>
      </c>
      <c r="BG209" s="43">
        <f t="shared" si="82"/>
        <v>13</v>
      </c>
      <c r="BH209" s="128">
        <f t="shared" si="83"/>
        <v>5</v>
      </c>
      <c r="BI209" s="153">
        <f t="shared" si="87"/>
        <v>142</v>
      </c>
      <c r="BK209">
        <f t="shared" si="88"/>
        <v>0</v>
      </c>
    </row>
    <row r="210" spans="3:63" x14ac:dyDescent="0.25">
      <c r="C210" s="208">
        <v>39</v>
      </c>
      <c r="D210" s="54"/>
      <c r="E210" s="54"/>
      <c r="T210">
        <f>SUM(D210:S210)</f>
        <v>0</v>
      </c>
      <c r="U210">
        <f>IFERROR(LARGE(D210:S210,1),0)</f>
        <v>0</v>
      </c>
      <c r="V210">
        <f t="shared" si="73"/>
        <v>0</v>
      </c>
      <c r="AL210" s="134">
        <v>39</v>
      </c>
      <c r="AM210" s="127">
        <v>0</v>
      </c>
      <c r="AN210" s="43"/>
      <c r="AO210" s="43"/>
      <c r="AP210" s="43"/>
      <c r="AQ210" s="128"/>
      <c r="AR210">
        <f t="shared" si="84"/>
        <v>0</v>
      </c>
      <c r="AS210">
        <f t="shared" si="85"/>
        <v>0</v>
      </c>
      <c r="AU210" s="127">
        <v>39</v>
      </c>
      <c r="AV210" s="127">
        <f t="shared" si="74"/>
        <v>0</v>
      </c>
      <c r="AW210" s="43" t="str">
        <f t="shared" si="75"/>
        <v/>
      </c>
      <c r="AX210" s="43" t="str">
        <f t="shared" si="76"/>
        <v/>
      </c>
      <c r="AY210" s="43" t="str">
        <f t="shared" si="77"/>
        <v/>
      </c>
      <c r="AZ210" s="128" t="str">
        <f t="shared" si="78"/>
        <v/>
      </c>
      <c r="BA210" s="153">
        <f t="shared" si="86"/>
        <v>0</v>
      </c>
      <c r="BC210" s="127">
        <v>39</v>
      </c>
      <c r="BD210" s="127" t="str">
        <f t="shared" si="79"/>
        <v/>
      </c>
      <c r="BE210" s="43" t="str">
        <f t="shared" si="80"/>
        <v/>
      </c>
      <c r="BF210" s="43" t="str">
        <f t="shared" si="81"/>
        <v/>
      </c>
      <c r="BG210" s="43" t="str">
        <f t="shared" si="82"/>
        <v/>
      </c>
      <c r="BH210" s="128" t="str">
        <f t="shared" si="83"/>
        <v/>
      </c>
      <c r="BI210" s="153">
        <f t="shared" si="87"/>
        <v>0</v>
      </c>
      <c r="BK210">
        <f t="shared" si="88"/>
        <v>0</v>
      </c>
    </row>
    <row r="211" spans="3:63" ht="15.75" thickBot="1" x14ac:dyDescent="0.3">
      <c r="C211" s="208">
        <v>40</v>
      </c>
      <c r="D211" s="54"/>
      <c r="E211" s="54"/>
      <c r="T211">
        <f>SUM(D211:S211)</f>
        <v>0</v>
      </c>
      <c r="U211">
        <f>IFERROR(LARGE(D211:S211,1),0)</f>
        <v>0</v>
      </c>
      <c r="V211">
        <f t="shared" si="73"/>
        <v>0</v>
      </c>
      <c r="AL211" s="237">
        <v>40</v>
      </c>
      <c r="AM211" s="129">
        <v>0</v>
      </c>
      <c r="AN211" s="45"/>
      <c r="AO211" s="45"/>
      <c r="AP211" s="45"/>
      <c r="AQ211" s="42"/>
      <c r="AR211">
        <f t="shared" si="84"/>
        <v>0</v>
      </c>
      <c r="AS211">
        <f t="shared" si="85"/>
        <v>0</v>
      </c>
      <c r="AU211" s="129">
        <v>40</v>
      </c>
      <c r="AV211" s="129">
        <f t="shared" si="74"/>
        <v>0</v>
      </c>
      <c r="AW211" s="45" t="str">
        <f t="shared" si="75"/>
        <v/>
      </c>
      <c r="AX211" s="45" t="str">
        <f t="shared" si="76"/>
        <v/>
      </c>
      <c r="AY211" s="45" t="str">
        <f t="shared" si="77"/>
        <v/>
      </c>
      <c r="AZ211" s="42" t="str">
        <f t="shared" si="78"/>
        <v/>
      </c>
      <c r="BA211" s="153">
        <f t="shared" si="86"/>
        <v>0</v>
      </c>
      <c r="BC211" s="129">
        <v>40</v>
      </c>
      <c r="BD211" s="129" t="str">
        <f t="shared" si="79"/>
        <v/>
      </c>
      <c r="BE211" s="45" t="str">
        <f t="shared" si="80"/>
        <v/>
      </c>
      <c r="BF211" s="45" t="str">
        <f t="shared" si="81"/>
        <v/>
      </c>
      <c r="BG211" s="45" t="str">
        <f t="shared" si="82"/>
        <v/>
      </c>
      <c r="BH211" s="42" t="str">
        <f t="shared" si="83"/>
        <v/>
      </c>
      <c r="BI211" s="153">
        <f t="shared" si="87"/>
        <v>0</v>
      </c>
      <c r="BK211">
        <f t="shared" si="88"/>
        <v>0</v>
      </c>
    </row>
    <row r="212" spans="3:63" ht="15.75" thickTop="1" x14ac:dyDescent="0.25">
      <c r="C212" s="213" t="s">
        <v>74</v>
      </c>
      <c r="D212" s="210">
        <f>SUM(D172:D211)</f>
        <v>0</v>
      </c>
      <c r="E212" s="210">
        <f t="shared" ref="E212:T212" si="89">SUM(E172:E211)</f>
        <v>0</v>
      </c>
      <c r="F212" s="210">
        <f t="shared" si="89"/>
        <v>871</v>
      </c>
      <c r="G212" s="210">
        <f t="shared" si="89"/>
        <v>0</v>
      </c>
      <c r="H212" s="210">
        <f t="shared" si="89"/>
        <v>0</v>
      </c>
      <c r="I212" s="210">
        <f t="shared" si="89"/>
        <v>216</v>
      </c>
      <c r="J212" s="210">
        <f t="shared" si="89"/>
        <v>0</v>
      </c>
      <c r="K212" s="210">
        <f t="shared" si="89"/>
        <v>107</v>
      </c>
      <c r="L212" s="210">
        <f t="shared" si="89"/>
        <v>5</v>
      </c>
      <c r="M212" s="210">
        <f t="shared" si="89"/>
        <v>8</v>
      </c>
      <c r="N212" s="210">
        <f t="shared" si="89"/>
        <v>0</v>
      </c>
      <c r="O212" s="210">
        <f t="shared" si="89"/>
        <v>16</v>
      </c>
      <c r="P212" s="210">
        <f t="shared" si="89"/>
        <v>37</v>
      </c>
      <c r="Q212" s="210">
        <f t="shared" si="89"/>
        <v>70</v>
      </c>
      <c r="R212" s="210">
        <f t="shared" si="89"/>
        <v>1</v>
      </c>
      <c r="S212" s="210">
        <f t="shared" si="89"/>
        <v>0</v>
      </c>
      <c r="T212" s="210">
        <f t="shared" si="89"/>
        <v>1401</v>
      </c>
      <c r="AZ212" t="s">
        <v>175</v>
      </c>
      <c r="BA212" s="153">
        <f>SUM(BA172:BA211)</f>
        <v>1331</v>
      </c>
      <c r="BH212" t="s">
        <v>178</v>
      </c>
      <c r="BI212" s="153">
        <f>SUM(BI172:BI211)</f>
        <v>1331</v>
      </c>
    </row>
    <row r="213" spans="3:63" x14ac:dyDescent="0.25">
      <c r="P213" t="s">
        <v>89</v>
      </c>
      <c r="R213">
        <f>COUNTIF(T172:T211,"&gt;"&amp;0)</f>
        <v>23</v>
      </c>
    </row>
    <row r="214" spans="3:63" x14ac:dyDescent="0.25">
      <c r="P214" t="s">
        <v>91</v>
      </c>
      <c r="R214">
        <f>R213/40%</f>
        <v>57.5</v>
      </c>
    </row>
    <row r="215" spans="3:63" x14ac:dyDescent="0.25">
      <c r="P215" t="s">
        <v>90</v>
      </c>
      <c r="R215">
        <f>T212/R213</f>
        <v>60.913043478260867</v>
      </c>
    </row>
  </sheetData>
  <mergeCells count="10">
    <mergeCell ref="AU5:AW5"/>
    <mergeCell ref="E1:I2"/>
    <mergeCell ref="F3:H3"/>
    <mergeCell ref="AA6:AC6"/>
    <mergeCell ref="A156:A160"/>
    <mergeCell ref="A131:A135"/>
    <mergeCell ref="A136:A140"/>
    <mergeCell ref="A141:A145"/>
    <mergeCell ref="A146:A150"/>
    <mergeCell ref="A151:A155"/>
  </mergeCells>
  <conditionalFormatting sqref="A131:S135 E139:R139 E144:S144 E149:S149">
    <cfRule type="expression" dxfId="37" priority="17">
      <formula>"INDEX('Aegypti Mortality'!$A$3:$Z$52,MATCH(""Uninfected"",'Aegypti Mortality'!$A$3:$A$52,0)+1,MATCH(E$6:W$6,'Aegypti Mortality'!$A$3:$Z$3,0))=0"</formula>
    </cfRule>
  </conditionalFormatting>
  <conditionalFormatting sqref="T8:T127">
    <cfRule type="expression" dxfId="36" priority="257">
      <formula>IF($T8&lt;&gt;$AQ8,TRUE,FALSE)</formula>
    </cfRule>
  </conditionalFormatting>
  <conditionalFormatting sqref="B136:B140">
    <cfRule type="expression" dxfId="35" priority="11">
      <formula>"INDEX('Aegypti Mortality'!$A$3:$Z$52,MATCH(""Uninfected"",'Aegypti Mortality'!$A$3:$A$52,0)+1,MATCH(E$6:W$6,'Aegypti Mortality'!$A$3:$Z$3,0))=0"</formula>
    </cfRule>
  </conditionalFormatting>
  <conditionalFormatting sqref="B141:B145">
    <cfRule type="expression" dxfId="34" priority="10">
      <formula>"INDEX('Aegypti Mortality'!$A$3:$Z$52,MATCH(""Uninfected"",'Aegypti Mortality'!$A$3:$A$52,0)+1,MATCH(E$6:W$6,'Aegypti Mortality'!$A$3:$Z$3,0))=0"</formula>
    </cfRule>
  </conditionalFormatting>
  <conditionalFormatting sqref="B146:B150">
    <cfRule type="expression" dxfId="33" priority="9">
      <formula>"INDEX('Aegypti Mortality'!$A$3:$Z$52,MATCH(""Uninfected"",'Aegypti Mortality'!$A$3:$A$52,0)+1,MATCH(E$6:W$6,'Aegypti Mortality'!$A$3:$Z$3,0))=0"</formula>
    </cfRule>
  </conditionalFormatting>
  <conditionalFormatting sqref="B151:B155">
    <cfRule type="expression" dxfId="32" priority="8">
      <formula>"INDEX('Aegypti Mortality'!$A$3:$Z$52,MATCH(""Uninfected"",'Aegypti Mortality'!$A$3:$A$52,0)+1,MATCH(E$6:W$6,'Aegypti Mortality'!$A$3:$Z$3,0))=0"</formula>
    </cfRule>
  </conditionalFormatting>
  <conditionalFormatting sqref="B156:B160">
    <cfRule type="expression" dxfId="31" priority="7">
      <formula>"INDEX('Aegypti Mortality'!$A$3:$Z$52,MATCH(""Uninfected"",'Aegypti Mortality'!$A$3:$A$52,0)+1,MATCH(E$6:W$6,'Aegypti Mortality'!$A$3:$Z$3,0))=0"</formula>
    </cfRule>
  </conditionalFormatting>
  <conditionalFormatting sqref="V172:V211">
    <cfRule type="expression" dxfId="30" priority="258">
      <formula>$V172&lt;&gt;$AR172</formula>
    </cfRule>
  </conditionalFormatting>
  <conditionalFormatting sqref="C140">
    <cfRule type="expression" dxfId="29" priority="5">
      <formula>"INDEX('Aegypti Mortality'!$A$3:$Z$52,MATCH(""Uninfected"",'Aegypti Mortality'!$A$3:$A$52,0)+1,MATCH(E$6:W$6,'Aegypti Mortality'!$A$3:$Z$3,0))=0"</formula>
    </cfRule>
  </conditionalFormatting>
  <conditionalFormatting sqref="C145">
    <cfRule type="expression" dxfId="28" priority="4">
      <formula>"INDEX('Aegypti Mortality'!$A$3:$Z$52,MATCH(""Uninfected"",'Aegypti Mortality'!$A$3:$A$52,0)+1,MATCH(E$6:W$6,'Aegypti Mortality'!$A$3:$Z$3,0))=0"</formula>
    </cfRule>
  </conditionalFormatting>
  <conditionalFormatting sqref="C150">
    <cfRule type="expression" dxfId="27" priority="3">
      <formula>"INDEX('Aegypti Mortality'!$A$3:$Z$52,MATCH(""Uninfected"",'Aegypti Mortality'!$A$3:$A$52,0)+1,MATCH(E$6:W$6,'Aegypti Mortality'!$A$3:$Z$3,0))=0"</formula>
    </cfRule>
  </conditionalFormatting>
  <conditionalFormatting sqref="C155">
    <cfRule type="expression" dxfId="26" priority="2">
      <formula>"INDEX('Aegypti Mortality'!$A$3:$Z$52,MATCH(""Uninfected"",'Aegypti Mortality'!$A$3:$A$52,0)+1,MATCH(E$6:W$6,'Aegypti Mortality'!$A$3:$Z$3,0))=0"</formula>
    </cfRule>
  </conditionalFormatting>
  <conditionalFormatting sqref="C160">
    <cfRule type="expression" dxfId="25" priority="1">
      <formula>"INDEX('Aegypti Mortality'!$A$3:$Z$52,MATCH(""Uninfected"",'Aegypti Mortality'!$A$3:$A$52,0)+1,MATCH(E$6:W$6,'Aegypti Mortality'!$A$3:$Z$3,0))=0"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0"/>
  <sheetViews>
    <sheetView workbookViewId="0"/>
  </sheetViews>
  <sheetFormatPr defaultRowHeight="15" x14ac:dyDescent="0.25"/>
  <cols>
    <col min="3" max="3" width="11.7109375" customWidth="1"/>
    <col min="4" max="4" width="9.5703125" style="341" customWidth="1"/>
    <col min="5" max="5" width="9.42578125" style="341" customWidth="1"/>
    <col min="6" max="6" width="12.140625" customWidth="1"/>
    <col min="7" max="7" width="12" customWidth="1"/>
    <col min="12" max="12" width="11.7109375" customWidth="1"/>
    <col min="13" max="13" width="9.5703125" customWidth="1"/>
    <col min="14" max="14" width="9.42578125" customWidth="1"/>
    <col min="15" max="15" width="12.140625" customWidth="1"/>
    <col min="16" max="17" width="12" customWidth="1"/>
  </cols>
  <sheetData>
    <row r="1" spans="2:19" x14ac:dyDescent="0.25">
      <c r="C1" s="358" t="s">
        <v>200</v>
      </c>
      <c r="D1" s="358"/>
      <c r="E1" s="358"/>
      <c r="L1" s="358" t="s">
        <v>201</v>
      </c>
      <c r="M1" s="358"/>
      <c r="N1" s="358"/>
    </row>
    <row r="3" spans="2:19" x14ac:dyDescent="0.25">
      <c r="B3" t="s">
        <v>193</v>
      </c>
      <c r="C3" t="s">
        <v>188</v>
      </c>
      <c r="D3" s="341" t="s">
        <v>189</v>
      </c>
      <c r="E3" s="341" t="s">
        <v>190</v>
      </c>
      <c r="F3" t="s">
        <v>191</v>
      </c>
      <c r="G3" t="s">
        <v>192</v>
      </c>
      <c r="K3" s="175" t="s">
        <v>193</v>
      </c>
      <c r="L3" s="176" t="s">
        <v>188</v>
      </c>
      <c r="M3" s="342" t="s">
        <v>189</v>
      </c>
      <c r="N3" s="342" t="s">
        <v>190</v>
      </c>
      <c r="O3" s="176" t="s">
        <v>191</v>
      </c>
      <c r="P3" s="185" t="s">
        <v>192</v>
      </c>
      <c r="Q3" s="176" t="s">
        <v>204</v>
      </c>
      <c r="R3" s="176" t="s">
        <v>29</v>
      </c>
      <c r="S3" s="176" t="s">
        <v>33</v>
      </c>
    </row>
    <row r="4" spans="2:19" x14ac:dyDescent="0.25">
      <c r="B4">
        <v>1</v>
      </c>
      <c r="C4">
        <v>1</v>
      </c>
      <c r="D4" s="341">
        <v>2.8620000000000001</v>
      </c>
      <c r="E4" s="341">
        <v>2.847</v>
      </c>
      <c r="F4" t="s">
        <v>197</v>
      </c>
      <c r="G4">
        <v>1</v>
      </c>
      <c r="K4">
        <v>87</v>
      </c>
      <c r="L4">
        <v>1</v>
      </c>
      <c r="M4">
        <v>2.8029999999999999</v>
      </c>
      <c r="N4">
        <v>2.7909999999999999</v>
      </c>
      <c r="Q4">
        <f>AVERAGE(Table913[[#This Row],[Wing A]:[Wing B]])</f>
        <v>2.7969999999999997</v>
      </c>
      <c r="R4" t="b">
        <f>LOOKUP(Table913[[#This Row],[Mosquito]],Table7[Sample Name],Table7[Positive])</f>
        <v>1</v>
      </c>
      <c r="S4" t="b">
        <f>LOOKUP(Table913[[#This Row],[Mosquito]],Table7[Sample Name],Table7[Disseminated])</f>
        <v>0</v>
      </c>
    </row>
    <row r="5" spans="2:19" x14ac:dyDescent="0.25">
      <c r="B5">
        <v>12</v>
      </c>
      <c r="C5">
        <v>2</v>
      </c>
      <c r="D5" s="341">
        <v>2.871</v>
      </c>
      <c r="E5" s="341">
        <v>2.794</v>
      </c>
      <c r="K5">
        <v>1</v>
      </c>
      <c r="L5">
        <v>2</v>
      </c>
      <c r="M5">
        <v>2.6589999999999998</v>
      </c>
      <c r="N5">
        <v>2.8029999999999999</v>
      </c>
      <c r="O5">
        <v>-1</v>
      </c>
      <c r="P5" t="s">
        <v>197</v>
      </c>
      <c r="Q5">
        <f>AVERAGE(Table913[[#This Row],[Wing A]:[Wing B]])</f>
        <v>2.7309999999999999</v>
      </c>
      <c r="R5" t="b">
        <f>LOOKUP(Table913[[#This Row],[Mosquito]],Table7[Sample Name],Table7[Positive])</f>
        <v>1</v>
      </c>
      <c r="S5" t="b">
        <f>LOOKUP(Table913[[#This Row],[Mosquito]],Table7[Sample Name],Table7[Disseminated])</f>
        <v>1</v>
      </c>
    </row>
    <row r="6" spans="2:19" x14ac:dyDescent="0.25">
      <c r="B6">
        <v>3</v>
      </c>
      <c r="C6">
        <v>3</v>
      </c>
      <c r="D6" s="341">
        <v>2.8610000000000002</v>
      </c>
      <c r="E6" s="341">
        <v>2.8959999999999999</v>
      </c>
      <c r="K6">
        <v>6</v>
      </c>
      <c r="L6">
        <v>3</v>
      </c>
      <c r="M6">
        <v>2.98</v>
      </c>
      <c r="N6">
        <v>2.9350000000000001</v>
      </c>
      <c r="Q6">
        <f>AVERAGE(Table913[[#This Row],[Wing A]:[Wing B]])</f>
        <v>2.9575</v>
      </c>
      <c r="R6" t="b">
        <f>LOOKUP(Table913[[#This Row],[Mosquito]],Table7[Sample Name],Table7[Positive])</f>
        <v>1</v>
      </c>
      <c r="S6" t="str">
        <f>LOOKUP(Table913[[#This Row],[Mosquito]],Table7[Sample Name],Table7[Disseminated])</f>
        <v>N/A</v>
      </c>
    </row>
    <row r="7" spans="2:19" x14ac:dyDescent="0.25">
      <c r="B7">
        <v>2</v>
      </c>
      <c r="C7">
        <v>4</v>
      </c>
      <c r="D7" s="341">
        <v>2.6150000000000002</v>
      </c>
      <c r="E7" s="341">
        <v>2.706</v>
      </c>
      <c r="F7">
        <v>0</v>
      </c>
      <c r="G7">
        <v>1</v>
      </c>
      <c r="K7">
        <v>3</v>
      </c>
      <c r="L7">
        <v>4</v>
      </c>
      <c r="M7">
        <v>2.915</v>
      </c>
      <c r="N7">
        <v>2.9180000000000001</v>
      </c>
      <c r="Q7">
        <f>AVERAGE(Table913[[#This Row],[Wing A]:[Wing B]])</f>
        <v>2.9165000000000001</v>
      </c>
      <c r="R7" t="b">
        <f>LOOKUP(Table913[[#This Row],[Mosquito]],Table7[Sample Name],Table7[Positive])</f>
        <v>1</v>
      </c>
      <c r="S7" t="str">
        <f>LOOKUP(Table913[[#This Row],[Mosquito]],Table7[Sample Name],Table7[Disseminated])</f>
        <v>N/A</v>
      </c>
    </row>
    <row r="8" spans="2:19" x14ac:dyDescent="0.25">
      <c r="B8">
        <v>5</v>
      </c>
      <c r="C8">
        <v>5</v>
      </c>
      <c r="D8" s="341">
        <v>2.9940000000000002</v>
      </c>
      <c r="E8" s="341">
        <v>2.9809999999999999</v>
      </c>
      <c r="K8">
        <v>76</v>
      </c>
      <c r="L8">
        <v>5</v>
      </c>
      <c r="M8">
        <v>2.9590000000000001</v>
      </c>
      <c r="N8">
        <v>2.9140000000000001</v>
      </c>
      <c r="Q8">
        <f>AVERAGE(Table913[[#This Row],[Wing A]:[Wing B]])</f>
        <v>2.9365000000000001</v>
      </c>
      <c r="R8" t="b">
        <f>LOOKUP(Table913[[#This Row],[Mosquito]],Table7[Sample Name],Table7[Positive])</f>
        <v>1</v>
      </c>
      <c r="S8" t="b">
        <f>LOOKUP(Table913[[#This Row],[Mosquito]],Table7[Sample Name],Table7[Disseminated])</f>
        <v>1</v>
      </c>
    </row>
    <row r="9" spans="2:19" x14ac:dyDescent="0.25">
      <c r="B9">
        <v>7</v>
      </c>
      <c r="C9">
        <v>6</v>
      </c>
      <c r="D9" s="341">
        <v>3.1160000000000001</v>
      </c>
      <c r="F9">
        <v>0</v>
      </c>
      <c r="K9">
        <v>5</v>
      </c>
      <c r="L9">
        <v>6</v>
      </c>
      <c r="M9">
        <v>3.0910000000000002</v>
      </c>
      <c r="N9">
        <v>3.0680000000000001</v>
      </c>
      <c r="Q9">
        <f>AVERAGE(Table913[[#This Row],[Wing A]:[Wing B]])</f>
        <v>3.0795000000000003</v>
      </c>
      <c r="R9" t="b">
        <f>LOOKUP(Table913[[#This Row],[Mosquito]],Table7[Sample Name],Table7[Positive])</f>
        <v>1</v>
      </c>
      <c r="S9" t="str">
        <f>LOOKUP(Table913[[#This Row],[Mosquito]],Table7[Sample Name],Table7[Disseminated])</f>
        <v>N/A</v>
      </c>
    </row>
    <row r="10" spans="2:19" x14ac:dyDescent="0.25">
      <c r="B10">
        <v>25</v>
      </c>
      <c r="C10">
        <v>7</v>
      </c>
      <c r="D10" s="341">
        <v>2.8359999999999999</v>
      </c>
      <c r="E10" s="341">
        <v>2.827</v>
      </c>
      <c r="K10">
        <v>7</v>
      </c>
      <c r="L10">
        <v>7</v>
      </c>
      <c r="M10">
        <v>2.4359999999999999</v>
      </c>
      <c r="N10">
        <v>2.2850000000000001</v>
      </c>
      <c r="O10">
        <v>0</v>
      </c>
      <c r="P10">
        <v>0</v>
      </c>
      <c r="Q10">
        <f>AVERAGE(Table913[[#This Row],[Wing A]:[Wing B]])</f>
        <v>2.3605</v>
      </c>
      <c r="R10" t="b">
        <f>LOOKUP(Table913[[#This Row],[Mosquito]],Table7[Sample Name],Table7[Positive])</f>
        <v>1</v>
      </c>
      <c r="S10" t="b">
        <f>LOOKUP(Table913[[#This Row],[Mosquito]],Table7[Sample Name],Table7[Disseminated])</f>
        <v>1</v>
      </c>
    </row>
    <row r="11" spans="2:19" x14ac:dyDescent="0.25">
      <c r="B11">
        <v>39</v>
      </c>
      <c r="C11">
        <v>8</v>
      </c>
      <c r="D11" s="341">
        <v>2.383</v>
      </c>
      <c r="E11" s="341">
        <v>2.6709999999999998</v>
      </c>
      <c r="F11" t="s">
        <v>197</v>
      </c>
      <c r="G11">
        <v>1</v>
      </c>
      <c r="K11">
        <v>9</v>
      </c>
      <c r="L11">
        <v>8</v>
      </c>
      <c r="M11">
        <v>2.9550000000000001</v>
      </c>
      <c r="N11">
        <v>2.9159999999999999</v>
      </c>
      <c r="Q11">
        <f>AVERAGE(Table913[[#This Row],[Wing A]:[Wing B]])</f>
        <v>2.9355000000000002</v>
      </c>
      <c r="R11" t="b">
        <f>LOOKUP(Table913[[#This Row],[Mosquito]],Table7[Sample Name],Table7[Positive])</f>
        <v>1</v>
      </c>
      <c r="S11" t="b">
        <f>LOOKUP(Table913[[#This Row],[Mosquito]],Table7[Sample Name],Table7[Disseminated])</f>
        <v>1</v>
      </c>
    </row>
    <row r="12" spans="2:19" x14ac:dyDescent="0.25">
      <c r="B12">
        <v>9</v>
      </c>
      <c r="C12">
        <v>9</v>
      </c>
      <c r="D12" s="341">
        <v>2.984</v>
      </c>
      <c r="K12">
        <v>11</v>
      </c>
      <c r="L12">
        <v>9</v>
      </c>
      <c r="M12">
        <v>2.867</v>
      </c>
      <c r="N12">
        <v>2.8769999999999998</v>
      </c>
      <c r="O12">
        <v>0</v>
      </c>
      <c r="P12" t="s">
        <v>197</v>
      </c>
      <c r="Q12">
        <f>AVERAGE(Table913[[#This Row],[Wing A]:[Wing B]])</f>
        <v>2.8719999999999999</v>
      </c>
      <c r="R12" t="b">
        <f>LOOKUP(Table913[[#This Row],[Mosquito]],Table7[Sample Name],Table7[Positive])</f>
        <v>1</v>
      </c>
      <c r="S12" t="b">
        <f>LOOKUP(Table913[[#This Row],[Mosquito]],Table7[Sample Name],Table7[Disseminated])</f>
        <v>1</v>
      </c>
    </row>
    <row r="13" spans="2:19" x14ac:dyDescent="0.25">
      <c r="B13">
        <v>6</v>
      </c>
      <c r="C13">
        <v>10</v>
      </c>
      <c r="D13" s="341">
        <v>2.8580000000000001</v>
      </c>
      <c r="E13" s="341">
        <v>2.8559999999999999</v>
      </c>
      <c r="K13">
        <v>8</v>
      </c>
      <c r="L13">
        <v>10</v>
      </c>
      <c r="M13">
        <v>3.1379999999999999</v>
      </c>
      <c r="N13">
        <v>3.0979999999999999</v>
      </c>
      <c r="O13">
        <v>1</v>
      </c>
      <c r="P13">
        <v>0</v>
      </c>
      <c r="Q13">
        <f>AVERAGE(Table913[[#This Row],[Wing A]:[Wing B]])</f>
        <v>3.1179999999999999</v>
      </c>
      <c r="R13" t="b">
        <f>LOOKUP(Table913[[#This Row],[Mosquito]],Table7[Sample Name],Table7[Positive])</f>
        <v>0</v>
      </c>
      <c r="S13" t="str">
        <f>LOOKUP(Table913[[#This Row],[Mosquito]],Table7[Sample Name],Table7[Disseminated])</f>
        <v>N/A</v>
      </c>
    </row>
    <row r="14" spans="2:19" x14ac:dyDescent="0.25">
      <c r="B14">
        <v>4</v>
      </c>
      <c r="C14">
        <v>11</v>
      </c>
      <c r="D14" s="341">
        <v>2.9119999999999999</v>
      </c>
      <c r="E14" s="341">
        <v>2.9319999999999999</v>
      </c>
      <c r="K14">
        <v>91</v>
      </c>
      <c r="L14">
        <v>11</v>
      </c>
      <c r="M14">
        <v>2.8940000000000001</v>
      </c>
      <c r="N14">
        <v>3.0230000000000001</v>
      </c>
      <c r="O14" t="s">
        <v>197</v>
      </c>
      <c r="P14">
        <v>1</v>
      </c>
      <c r="Q14">
        <f>AVERAGE(Table913[[#This Row],[Wing A]:[Wing B]])</f>
        <v>2.9584999999999999</v>
      </c>
      <c r="R14" t="b">
        <f>LOOKUP(Table913[[#This Row],[Mosquito]],Table7[Sample Name],Table7[Positive])</f>
        <v>0</v>
      </c>
      <c r="S14" t="str">
        <f>LOOKUP(Table913[[#This Row],[Mosquito]],Table7[Sample Name],Table7[Disseminated])</f>
        <v>N/A</v>
      </c>
    </row>
    <row r="15" spans="2:19" x14ac:dyDescent="0.25">
      <c r="B15">
        <v>10</v>
      </c>
      <c r="C15">
        <v>12</v>
      </c>
      <c r="D15" s="341">
        <v>2.8130000000000002</v>
      </c>
      <c r="E15" s="341">
        <v>2.8010000000000002</v>
      </c>
      <c r="K15">
        <v>13</v>
      </c>
      <c r="L15">
        <v>12</v>
      </c>
      <c r="M15">
        <v>2.9329999999999998</v>
      </c>
      <c r="N15">
        <v>2.9590000000000001</v>
      </c>
      <c r="Q15">
        <f>AVERAGE(Table913[[#This Row],[Wing A]:[Wing B]])</f>
        <v>2.9459999999999997</v>
      </c>
      <c r="R15" t="b">
        <f>LOOKUP(Table913[[#This Row],[Mosquito]],Table7[Sample Name],Table7[Positive])</f>
        <v>1</v>
      </c>
      <c r="S15" t="b">
        <f>LOOKUP(Table913[[#This Row],[Mosquito]],Table7[Sample Name],Table7[Disseminated])</f>
        <v>0</v>
      </c>
    </row>
    <row r="16" spans="2:19" x14ac:dyDescent="0.25">
      <c r="B16">
        <v>11</v>
      </c>
      <c r="C16">
        <v>13</v>
      </c>
      <c r="D16" s="341">
        <v>2.976</v>
      </c>
      <c r="E16" s="341">
        <v>2.9369999999999998</v>
      </c>
      <c r="K16">
        <v>15</v>
      </c>
      <c r="L16">
        <v>13</v>
      </c>
      <c r="M16">
        <v>2.97</v>
      </c>
      <c r="N16">
        <v>2.9990000000000001</v>
      </c>
      <c r="O16">
        <v>1</v>
      </c>
      <c r="P16">
        <v>1</v>
      </c>
      <c r="Q16">
        <f>AVERAGE(Table913[[#This Row],[Wing A]:[Wing B]])</f>
        <v>2.9845000000000002</v>
      </c>
      <c r="R16" t="b">
        <f>LOOKUP(Table913[[#This Row],[Mosquito]],Table7[Sample Name],Table7[Positive])</f>
        <v>1</v>
      </c>
      <c r="S16" t="b">
        <f>LOOKUP(Table913[[#This Row],[Mosquito]],Table7[Sample Name],Table7[Disseminated])</f>
        <v>0</v>
      </c>
    </row>
    <row r="17" spans="2:19" x14ac:dyDescent="0.25">
      <c r="B17">
        <v>13</v>
      </c>
      <c r="C17">
        <v>14</v>
      </c>
      <c r="D17" s="341">
        <v>2.8610000000000002</v>
      </c>
      <c r="E17" s="341">
        <v>2.8410000000000002</v>
      </c>
      <c r="K17">
        <v>17</v>
      </c>
      <c r="L17">
        <v>14</v>
      </c>
      <c r="M17">
        <v>3.0289999999999999</v>
      </c>
      <c r="N17">
        <v>3.113</v>
      </c>
      <c r="O17" t="s">
        <v>197</v>
      </c>
      <c r="P17" t="s">
        <v>197</v>
      </c>
      <c r="Q17">
        <f>AVERAGE(Table913[[#This Row],[Wing A]:[Wing B]])</f>
        <v>3.0709999999999997</v>
      </c>
      <c r="R17" t="b">
        <f>LOOKUP(Table913[[#This Row],[Mosquito]],Table7[Sample Name],Table7[Positive])</f>
        <v>1</v>
      </c>
      <c r="S17" t="b">
        <f>LOOKUP(Table913[[#This Row],[Mosquito]],Table7[Sample Name],Table7[Disseminated])</f>
        <v>1</v>
      </c>
    </row>
    <row r="18" spans="2:19" x14ac:dyDescent="0.25">
      <c r="B18">
        <v>15</v>
      </c>
      <c r="C18">
        <v>15</v>
      </c>
      <c r="D18" s="341">
        <v>3.0350000000000001</v>
      </c>
      <c r="E18" s="341">
        <v>3.0179999999999998</v>
      </c>
      <c r="K18">
        <v>19</v>
      </c>
      <c r="L18">
        <v>15</v>
      </c>
      <c r="M18">
        <v>2.7589999999999999</v>
      </c>
      <c r="N18">
        <v>2.91</v>
      </c>
      <c r="O18">
        <v>0</v>
      </c>
      <c r="P18">
        <v>1</v>
      </c>
      <c r="Q18">
        <f>AVERAGE(Table913[[#This Row],[Wing A]:[Wing B]])</f>
        <v>2.8345000000000002</v>
      </c>
      <c r="R18" t="b">
        <f>LOOKUP(Table913[[#This Row],[Mosquito]],Table7[Sample Name],Table7[Positive])</f>
        <v>1</v>
      </c>
      <c r="S18" t="b">
        <f>LOOKUP(Table913[[#This Row],[Mosquito]],Table7[Sample Name],Table7[Disseminated])</f>
        <v>1</v>
      </c>
    </row>
    <row r="19" spans="2:19" x14ac:dyDescent="0.25">
      <c r="B19">
        <v>16</v>
      </c>
      <c r="C19">
        <v>16</v>
      </c>
      <c r="D19" s="341">
        <v>2.8519999999999999</v>
      </c>
      <c r="E19" s="341">
        <v>2.835</v>
      </c>
      <c r="K19">
        <v>21</v>
      </c>
      <c r="L19">
        <v>16</v>
      </c>
      <c r="M19">
        <v>2.8239999999999998</v>
      </c>
      <c r="Q19">
        <f>AVERAGE(Table913[[#This Row],[Wing A]:[Wing B]])</f>
        <v>2.8239999999999998</v>
      </c>
      <c r="R19" t="b">
        <f>LOOKUP(Table913[[#This Row],[Mosquito]],Table7[Sample Name],Table7[Positive])</f>
        <v>1</v>
      </c>
      <c r="S19" t="b">
        <f>LOOKUP(Table913[[#This Row],[Mosquito]],Table7[Sample Name],Table7[Disseminated])</f>
        <v>1</v>
      </c>
    </row>
    <row r="20" spans="2:19" x14ac:dyDescent="0.25">
      <c r="B20">
        <v>18</v>
      </c>
      <c r="C20">
        <v>17</v>
      </c>
      <c r="D20" s="341">
        <v>2.6789999999999998</v>
      </c>
      <c r="E20" s="341">
        <v>2.7149999999999999</v>
      </c>
      <c r="K20">
        <v>22</v>
      </c>
      <c r="L20">
        <v>17</v>
      </c>
      <c r="M20">
        <v>2.9430000000000001</v>
      </c>
      <c r="N20">
        <v>2.9849999999999999</v>
      </c>
      <c r="Q20">
        <f>AVERAGE(Table913[[#This Row],[Wing A]:[Wing B]])</f>
        <v>2.964</v>
      </c>
      <c r="R20" t="b">
        <f>LOOKUP(Table913[[#This Row],[Mosquito]],Table7[Sample Name],Table7[Positive])</f>
        <v>1</v>
      </c>
      <c r="S20" t="b">
        <f>LOOKUP(Table913[[#This Row],[Mosquito]],Table7[Sample Name],Table7[Disseminated])</f>
        <v>1</v>
      </c>
    </row>
    <row r="21" spans="2:19" x14ac:dyDescent="0.25">
      <c r="B21">
        <v>19</v>
      </c>
      <c r="C21">
        <v>18</v>
      </c>
      <c r="D21" s="341">
        <v>2.819</v>
      </c>
      <c r="E21" s="341">
        <v>2.8370000000000002</v>
      </c>
      <c r="K21">
        <v>14</v>
      </c>
      <c r="L21">
        <v>18</v>
      </c>
      <c r="M21">
        <v>2.972</v>
      </c>
      <c r="N21">
        <v>3.012</v>
      </c>
      <c r="Q21">
        <f>AVERAGE(Table913[[#This Row],[Wing A]:[Wing B]])</f>
        <v>2.992</v>
      </c>
      <c r="R21" t="b">
        <f>LOOKUP(Table913[[#This Row],[Mosquito]],Table7[Sample Name],Table7[Positive])</f>
        <v>1</v>
      </c>
      <c r="S21" t="b">
        <f>LOOKUP(Table913[[#This Row],[Mosquito]],Table7[Sample Name],Table7[Disseminated])</f>
        <v>1</v>
      </c>
    </row>
    <row r="22" spans="2:19" x14ac:dyDescent="0.25">
      <c r="B22">
        <v>20</v>
      </c>
      <c r="C22">
        <v>19</v>
      </c>
      <c r="D22" s="341">
        <v>2.992</v>
      </c>
      <c r="E22" s="341">
        <v>3.0059999999999998</v>
      </c>
      <c r="G22" t="s">
        <v>197</v>
      </c>
      <c r="K22">
        <v>24</v>
      </c>
      <c r="L22">
        <v>19</v>
      </c>
      <c r="M22">
        <v>2.774</v>
      </c>
      <c r="O22">
        <v>0</v>
      </c>
      <c r="Q22">
        <f>AVERAGE(Table913[[#This Row],[Wing A]:[Wing B]])</f>
        <v>2.774</v>
      </c>
      <c r="R22" t="b">
        <f>LOOKUP(Table913[[#This Row],[Mosquito]],Table7[Sample Name],Table7[Positive])</f>
        <v>1</v>
      </c>
      <c r="S22" t="b">
        <f>LOOKUP(Table913[[#This Row],[Mosquito]],Table7[Sample Name],Table7[Disseminated])</f>
        <v>1</v>
      </c>
    </row>
    <row r="23" spans="2:19" x14ac:dyDescent="0.25">
      <c r="B23">
        <v>17</v>
      </c>
      <c r="C23">
        <v>20</v>
      </c>
      <c r="D23" s="341">
        <v>2.633</v>
      </c>
      <c r="F23">
        <v>0</v>
      </c>
      <c r="K23">
        <v>10</v>
      </c>
      <c r="L23">
        <v>20</v>
      </c>
      <c r="M23">
        <v>2.8879999999999999</v>
      </c>
      <c r="N23">
        <v>3.01</v>
      </c>
      <c r="O23">
        <v>1</v>
      </c>
      <c r="P23" t="s">
        <v>197</v>
      </c>
      <c r="Q23">
        <f>AVERAGE(Table913[[#This Row],[Wing A]:[Wing B]])</f>
        <v>2.9489999999999998</v>
      </c>
      <c r="R23" t="b">
        <f>LOOKUP(Table913[[#This Row],[Mosquito]],Table7[Sample Name],Table7[Positive])</f>
        <v>1</v>
      </c>
      <c r="S23" t="b">
        <f>LOOKUP(Table913[[#This Row],[Mosquito]],Table7[Sample Name],Table7[Disseminated])</f>
        <v>1</v>
      </c>
    </row>
    <row r="24" spans="2:19" x14ac:dyDescent="0.25">
      <c r="B24">
        <v>22</v>
      </c>
      <c r="C24">
        <v>21</v>
      </c>
      <c r="D24" s="341">
        <v>2.899</v>
      </c>
      <c r="E24" s="341">
        <v>2.8780000000000001</v>
      </c>
      <c r="K24">
        <v>25</v>
      </c>
      <c r="L24">
        <v>21</v>
      </c>
      <c r="M24">
        <v>2.85</v>
      </c>
      <c r="Q24">
        <f>AVERAGE(Table913[[#This Row],[Wing A]:[Wing B]])</f>
        <v>2.85</v>
      </c>
      <c r="R24" t="b">
        <f>LOOKUP(Table913[[#This Row],[Mosquito]],Table7[Sample Name],Table7[Positive])</f>
        <v>1</v>
      </c>
      <c r="S24" t="b">
        <f>LOOKUP(Table913[[#This Row],[Mosquito]],Table7[Sample Name],Table7[Disseminated])</f>
        <v>1</v>
      </c>
    </row>
    <row r="25" spans="2:19" x14ac:dyDescent="0.25">
      <c r="B25">
        <v>24</v>
      </c>
      <c r="C25">
        <v>23</v>
      </c>
      <c r="D25" s="341">
        <v>2.266</v>
      </c>
      <c r="E25" s="341">
        <v>2.278</v>
      </c>
      <c r="F25">
        <v>1</v>
      </c>
      <c r="G25">
        <v>0</v>
      </c>
      <c r="K25">
        <v>23</v>
      </c>
      <c r="L25">
        <v>22</v>
      </c>
      <c r="M25">
        <v>2.8439999999999999</v>
      </c>
      <c r="N25">
        <v>2.83</v>
      </c>
      <c r="Q25">
        <f>AVERAGE(Table913[[#This Row],[Wing A]:[Wing B]])</f>
        <v>2.8369999999999997</v>
      </c>
      <c r="R25" t="b">
        <f>LOOKUP(Table913[[#This Row],[Mosquito]],Table7[Sample Name],Table7[Positive])</f>
        <v>1</v>
      </c>
      <c r="S25" t="b">
        <f>LOOKUP(Table913[[#This Row],[Mosquito]],Table7[Sample Name],Table7[Disseminated])</f>
        <v>1</v>
      </c>
    </row>
    <row r="26" spans="2:19" x14ac:dyDescent="0.25">
      <c r="B26">
        <v>26</v>
      </c>
      <c r="C26">
        <v>24</v>
      </c>
      <c r="D26" s="341">
        <v>2.8959999999999999</v>
      </c>
      <c r="E26" s="341">
        <v>2.8959999999999999</v>
      </c>
      <c r="F26">
        <v>1</v>
      </c>
      <c r="G26" t="s">
        <v>197</v>
      </c>
      <c r="K26">
        <v>27</v>
      </c>
      <c r="L26">
        <v>23</v>
      </c>
      <c r="M26">
        <v>2.8130000000000002</v>
      </c>
      <c r="N26">
        <v>2.8050000000000002</v>
      </c>
      <c r="Q26">
        <f>AVERAGE(Table913[[#This Row],[Wing A]:[Wing B]])</f>
        <v>2.8090000000000002</v>
      </c>
      <c r="R26" t="b">
        <f>LOOKUP(Table913[[#This Row],[Mosquito]],Table7[Sample Name],Table7[Positive])</f>
        <v>0</v>
      </c>
      <c r="S26" t="str">
        <f>LOOKUP(Table913[[#This Row],[Mosquito]],Table7[Sample Name],Table7[Disseminated])</f>
        <v>N/A</v>
      </c>
    </row>
    <row r="27" spans="2:19" x14ac:dyDescent="0.25">
      <c r="B27">
        <v>28</v>
      </c>
      <c r="C27">
        <v>25</v>
      </c>
      <c r="D27" s="341">
        <v>2.552</v>
      </c>
      <c r="F27">
        <v>0</v>
      </c>
      <c r="K27">
        <v>18</v>
      </c>
      <c r="L27">
        <v>24</v>
      </c>
      <c r="M27">
        <v>3.0009999999999999</v>
      </c>
      <c r="N27">
        <v>2.839</v>
      </c>
      <c r="O27">
        <v>0</v>
      </c>
      <c r="P27">
        <v>1</v>
      </c>
      <c r="Q27">
        <f>AVERAGE(Table913[[#This Row],[Wing A]:[Wing B]])</f>
        <v>2.92</v>
      </c>
      <c r="R27" t="b">
        <f>LOOKUP(Table913[[#This Row],[Mosquito]],Table7[Sample Name],Table7[Positive])</f>
        <v>1</v>
      </c>
      <c r="S27" t="b">
        <f>LOOKUP(Table913[[#This Row],[Mosquito]],Table7[Sample Name],Table7[Disseminated])</f>
        <v>1</v>
      </c>
    </row>
    <row r="28" spans="2:19" x14ac:dyDescent="0.25">
      <c r="B28">
        <v>21</v>
      </c>
      <c r="C28">
        <v>26</v>
      </c>
      <c r="D28" s="341">
        <v>2.9369999999999998</v>
      </c>
      <c r="E28" s="341">
        <v>2.9359999999999999</v>
      </c>
      <c r="K28">
        <v>20</v>
      </c>
      <c r="L28">
        <v>25</v>
      </c>
      <c r="M28">
        <v>2.7959999999999998</v>
      </c>
      <c r="N28">
        <v>2.8610000000000002</v>
      </c>
      <c r="O28" t="s">
        <v>197</v>
      </c>
      <c r="P28" t="s">
        <v>197</v>
      </c>
      <c r="Q28">
        <f>AVERAGE(Table913[[#This Row],[Wing A]:[Wing B]])</f>
        <v>2.8285</v>
      </c>
      <c r="R28" t="b">
        <f>LOOKUP(Table913[[#This Row],[Mosquito]],Table7[Sample Name],Table7[Positive])</f>
        <v>1</v>
      </c>
      <c r="S28" t="b">
        <f>LOOKUP(Table913[[#This Row],[Mosquito]],Table7[Sample Name],Table7[Disseminated])</f>
        <v>1</v>
      </c>
    </row>
    <row r="29" spans="2:19" x14ac:dyDescent="0.25">
      <c r="B29">
        <v>8</v>
      </c>
      <c r="C29">
        <v>27</v>
      </c>
      <c r="D29" s="341">
        <v>2.944</v>
      </c>
      <c r="E29" s="341">
        <v>2.964</v>
      </c>
      <c r="F29">
        <v>1</v>
      </c>
      <c r="G29">
        <v>0</v>
      </c>
      <c r="K29">
        <v>29</v>
      </c>
      <c r="L29">
        <v>26</v>
      </c>
      <c r="M29">
        <v>3.008</v>
      </c>
      <c r="Q29">
        <f>AVERAGE(Table913[[#This Row],[Wing A]:[Wing B]])</f>
        <v>3.008</v>
      </c>
      <c r="R29" t="b">
        <f>LOOKUP(Table913[[#This Row],[Mosquito]],Table7[Sample Name],Table7[Positive])</f>
        <v>0</v>
      </c>
      <c r="S29" t="str">
        <f>LOOKUP(Table913[[#This Row],[Mosquito]],Table7[Sample Name],Table7[Disseminated])</f>
        <v>N/A</v>
      </c>
    </row>
    <row r="30" spans="2:19" x14ac:dyDescent="0.25">
      <c r="B30">
        <v>23</v>
      </c>
      <c r="C30">
        <v>28</v>
      </c>
      <c r="D30" s="341">
        <v>2.7429999999999999</v>
      </c>
      <c r="E30" s="341">
        <v>2.8029999999999999</v>
      </c>
      <c r="K30">
        <v>31</v>
      </c>
      <c r="L30">
        <v>27</v>
      </c>
      <c r="M30">
        <v>2.8029999999999999</v>
      </c>
      <c r="N30">
        <v>2.85</v>
      </c>
      <c r="O30" t="s">
        <v>197</v>
      </c>
      <c r="P30" t="s">
        <v>197</v>
      </c>
      <c r="Q30">
        <f>AVERAGE(Table913[[#This Row],[Wing A]:[Wing B]])</f>
        <v>2.8265000000000002</v>
      </c>
      <c r="R30" t="b">
        <f>LOOKUP(Table913[[#This Row],[Mosquito]],Table7[Sample Name],Table7[Positive])</f>
        <v>1</v>
      </c>
      <c r="S30" t="b">
        <f>LOOKUP(Table913[[#This Row],[Mosquito]],Table7[Sample Name],Table7[Disseminated])</f>
        <v>1</v>
      </c>
    </row>
    <row r="31" spans="2:19" x14ac:dyDescent="0.25">
      <c r="B31">
        <v>36</v>
      </c>
      <c r="C31">
        <v>29</v>
      </c>
      <c r="D31" s="341">
        <v>2.7650000000000001</v>
      </c>
      <c r="E31" s="341">
        <v>2.831</v>
      </c>
      <c r="F31" t="s">
        <v>197</v>
      </c>
      <c r="G31" t="s">
        <v>197</v>
      </c>
      <c r="K31">
        <v>33</v>
      </c>
      <c r="L31">
        <v>28</v>
      </c>
      <c r="M31">
        <v>2.9630000000000001</v>
      </c>
      <c r="N31">
        <v>2.6219999999999999</v>
      </c>
      <c r="O31">
        <v>0</v>
      </c>
      <c r="P31">
        <v>0</v>
      </c>
      <c r="Q31">
        <f>AVERAGE(Table913[[#This Row],[Wing A]:[Wing B]])</f>
        <v>2.7925</v>
      </c>
      <c r="R31" t="b">
        <f>LOOKUP(Table913[[#This Row],[Mosquito]],Table7[Sample Name],Table7[Positive])</f>
        <v>1</v>
      </c>
      <c r="S31" t="b">
        <f>LOOKUP(Table913[[#This Row],[Mosquito]],Table7[Sample Name],Table7[Disseminated])</f>
        <v>0</v>
      </c>
    </row>
    <row r="32" spans="2:19" x14ac:dyDescent="0.25">
      <c r="B32">
        <v>14</v>
      </c>
      <c r="C32">
        <v>30</v>
      </c>
      <c r="D32" s="341">
        <v>2.895</v>
      </c>
      <c r="E32" s="341">
        <v>2.6859999999999999</v>
      </c>
      <c r="F32" t="s">
        <v>197</v>
      </c>
      <c r="G32" t="s">
        <v>197</v>
      </c>
      <c r="K32">
        <v>35</v>
      </c>
      <c r="L32">
        <v>29</v>
      </c>
      <c r="M32">
        <v>2.988</v>
      </c>
      <c r="N32">
        <v>3.004</v>
      </c>
      <c r="O32" t="s">
        <v>197</v>
      </c>
      <c r="P32">
        <v>1</v>
      </c>
      <c r="Q32">
        <f>AVERAGE(Table913[[#This Row],[Wing A]:[Wing B]])</f>
        <v>2.996</v>
      </c>
      <c r="R32" t="b">
        <f>LOOKUP(Table913[[#This Row],[Mosquito]],Table7[Sample Name],Table7[Positive])</f>
        <v>0</v>
      </c>
      <c r="S32" t="str">
        <f>LOOKUP(Table913[[#This Row],[Mosquito]],Table7[Sample Name],Table7[Disseminated])</f>
        <v>N/A</v>
      </c>
    </row>
    <row r="33" spans="2:19" x14ac:dyDescent="0.25">
      <c r="B33">
        <v>34</v>
      </c>
      <c r="C33">
        <v>31</v>
      </c>
      <c r="D33" s="341">
        <v>2.855</v>
      </c>
      <c r="E33" s="341">
        <v>2.843</v>
      </c>
      <c r="K33">
        <v>34</v>
      </c>
      <c r="L33">
        <v>30</v>
      </c>
      <c r="M33">
        <v>3.0939999999999999</v>
      </c>
      <c r="N33">
        <v>2.8370000000000002</v>
      </c>
      <c r="O33">
        <v>0</v>
      </c>
      <c r="P33">
        <v>1</v>
      </c>
      <c r="Q33">
        <f>AVERAGE(Table913[[#This Row],[Wing A]:[Wing B]])</f>
        <v>2.9655</v>
      </c>
      <c r="R33" t="b">
        <f>LOOKUP(Table913[[#This Row],[Mosquito]],Table7[Sample Name],Table7[Positive])</f>
        <v>1</v>
      </c>
      <c r="S33" t="b">
        <f>LOOKUP(Table913[[#This Row],[Mosquito]],Table7[Sample Name],Table7[Disseminated])</f>
        <v>1</v>
      </c>
    </row>
    <row r="34" spans="2:19" x14ac:dyDescent="0.25">
      <c r="B34">
        <v>30</v>
      </c>
      <c r="C34">
        <v>32</v>
      </c>
      <c r="D34" s="341">
        <v>2.6459999999999999</v>
      </c>
      <c r="E34" s="341">
        <v>2.8420000000000001</v>
      </c>
      <c r="K34">
        <v>28</v>
      </c>
      <c r="L34">
        <v>31</v>
      </c>
      <c r="M34">
        <v>2.8159999999999998</v>
      </c>
      <c r="N34">
        <v>2.87</v>
      </c>
      <c r="O34" t="s">
        <v>197</v>
      </c>
      <c r="P34" t="s">
        <v>197</v>
      </c>
      <c r="Q34">
        <f>AVERAGE(Table913[[#This Row],[Wing A]:[Wing B]])</f>
        <v>2.843</v>
      </c>
      <c r="R34" t="b">
        <f>LOOKUP(Table913[[#This Row],[Mosquito]],Table7[Sample Name],Table7[Positive])</f>
        <v>1</v>
      </c>
      <c r="S34" t="b">
        <f>LOOKUP(Table913[[#This Row],[Mosquito]],Table7[Sample Name],Table7[Disseminated])</f>
        <v>1</v>
      </c>
    </row>
    <row r="35" spans="2:19" x14ac:dyDescent="0.25">
      <c r="B35">
        <v>32</v>
      </c>
      <c r="C35">
        <v>33</v>
      </c>
      <c r="D35" s="341">
        <v>2.891</v>
      </c>
      <c r="E35" s="341">
        <v>2.891</v>
      </c>
      <c r="F35" t="s">
        <v>197</v>
      </c>
      <c r="G35" t="s">
        <v>197</v>
      </c>
      <c r="K35">
        <v>36</v>
      </c>
      <c r="L35">
        <v>32</v>
      </c>
      <c r="M35">
        <v>2.7639999999999998</v>
      </c>
      <c r="N35">
        <v>2.8130000000000002</v>
      </c>
      <c r="Q35">
        <f>AVERAGE(Table913[[#This Row],[Wing A]:[Wing B]])</f>
        <v>2.7885</v>
      </c>
      <c r="R35" t="b">
        <f>LOOKUP(Table913[[#This Row],[Mosquito]],Table7[Sample Name],Table7[Positive])</f>
        <v>1</v>
      </c>
      <c r="S35" t="b">
        <f>LOOKUP(Table913[[#This Row],[Mosquito]],Table7[Sample Name],Table7[Disseminated])</f>
        <v>1</v>
      </c>
    </row>
    <row r="36" spans="2:19" x14ac:dyDescent="0.25">
      <c r="B36">
        <v>29</v>
      </c>
      <c r="C36">
        <v>34</v>
      </c>
      <c r="D36" s="341">
        <v>3.0129999999999999</v>
      </c>
      <c r="E36" s="341">
        <v>2.964</v>
      </c>
      <c r="F36" t="s">
        <v>197</v>
      </c>
      <c r="G36" t="s">
        <v>197</v>
      </c>
      <c r="K36">
        <v>89</v>
      </c>
      <c r="L36">
        <v>33</v>
      </c>
      <c r="M36">
        <v>2.762</v>
      </c>
      <c r="N36">
        <v>2.7919999999999998</v>
      </c>
      <c r="Q36">
        <f>AVERAGE(Table913[[#This Row],[Wing A]:[Wing B]])</f>
        <v>2.7770000000000001</v>
      </c>
      <c r="R36" t="b">
        <f>LOOKUP(Table913[[#This Row],[Mosquito]],Table7[Sample Name],Table7[Positive])</f>
        <v>1</v>
      </c>
      <c r="S36" t="b">
        <f>LOOKUP(Table913[[#This Row],[Mosquito]],Table7[Sample Name],Table7[Disseminated])</f>
        <v>1</v>
      </c>
    </row>
    <row r="37" spans="2:19" x14ac:dyDescent="0.25">
      <c r="B37">
        <v>27</v>
      </c>
      <c r="C37">
        <v>35</v>
      </c>
      <c r="D37" s="341">
        <v>2.198</v>
      </c>
      <c r="F37" t="s">
        <v>197</v>
      </c>
      <c r="K37">
        <v>38</v>
      </c>
      <c r="L37">
        <v>34</v>
      </c>
      <c r="M37">
        <v>2.266</v>
      </c>
      <c r="N37">
        <v>2.7429999999999999</v>
      </c>
      <c r="O37">
        <v>0</v>
      </c>
      <c r="P37">
        <v>1</v>
      </c>
      <c r="Q37">
        <f>AVERAGE(Table913[[#This Row],[Wing A]:[Wing B]])</f>
        <v>2.5045000000000002</v>
      </c>
      <c r="R37" t="b">
        <f>LOOKUP(Table913[[#This Row],[Mosquito]],Table7[Sample Name],Table7[Positive])</f>
        <v>1</v>
      </c>
      <c r="S37" t="b">
        <f>LOOKUP(Table913[[#This Row],[Mosquito]],Table7[Sample Name],Table7[Disseminated])</f>
        <v>1</v>
      </c>
    </row>
    <row r="38" spans="2:19" x14ac:dyDescent="0.25">
      <c r="B38">
        <v>35</v>
      </c>
      <c r="C38">
        <v>36</v>
      </c>
      <c r="D38" s="341">
        <v>2.702</v>
      </c>
      <c r="E38" s="341">
        <v>2.7120000000000002</v>
      </c>
      <c r="K38">
        <v>69</v>
      </c>
      <c r="L38">
        <v>35</v>
      </c>
      <c r="M38">
        <v>2.85</v>
      </c>
      <c r="N38">
        <v>2.847</v>
      </c>
      <c r="Q38">
        <f>AVERAGE(Table913[[#This Row],[Wing A]:[Wing B]])</f>
        <v>2.8485</v>
      </c>
      <c r="R38" t="b">
        <f>LOOKUP(Table913[[#This Row],[Mosquito]],Table7[Sample Name],Table7[Positive])</f>
        <v>1</v>
      </c>
      <c r="S38" t="b">
        <f>LOOKUP(Table913[[#This Row],[Mosquito]],Table7[Sample Name],Table7[Disseminated])</f>
        <v>1</v>
      </c>
    </row>
    <row r="39" spans="2:19" x14ac:dyDescent="0.25">
      <c r="B39">
        <v>37</v>
      </c>
      <c r="C39">
        <v>37</v>
      </c>
      <c r="D39" s="341">
        <v>2.4790000000000001</v>
      </c>
      <c r="F39" t="s">
        <v>197</v>
      </c>
      <c r="K39">
        <v>40</v>
      </c>
      <c r="L39">
        <v>36</v>
      </c>
      <c r="M39">
        <v>2.7210000000000001</v>
      </c>
      <c r="N39">
        <v>2.714</v>
      </c>
      <c r="Q39">
        <f>AVERAGE(Table913[[#This Row],[Wing A]:[Wing B]])</f>
        <v>2.7175000000000002</v>
      </c>
      <c r="R39" t="b">
        <f>LOOKUP(Table913[[#This Row],[Mosquito]],Table7[Sample Name],Table7[Positive])</f>
        <v>1</v>
      </c>
      <c r="S39" t="b">
        <f>LOOKUP(Table913[[#This Row],[Mosquito]],Table7[Sample Name],Table7[Disseminated])</f>
        <v>0</v>
      </c>
    </row>
    <row r="40" spans="2:19" x14ac:dyDescent="0.25">
      <c r="B40">
        <v>38</v>
      </c>
      <c r="C40">
        <v>38</v>
      </c>
      <c r="D40" s="341">
        <v>3.0089999999999999</v>
      </c>
      <c r="E40" s="341">
        <v>3.0329999999999999</v>
      </c>
      <c r="K40">
        <v>43</v>
      </c>
      <c r="L40">
        <v>37</v>
      </c>
      <c r="M40">
        <v>2.8130000000000002</v>
      </c>
      <c r="N40">
        <v>2.6760000000000002</v>
      </c>
      <c r="O40" t="s">
        <v>197</v>
      </c>
      <c r="P40">
        <v>0</v>
      </c>
      <c r="Q40">
        <f>AVERAGE(Table913[[#This Row],[Wing A]:[Wing B]])</f>
        <v>2.7445000000000004</v>
      </c>
      <c r="R40" t="b">
        <f>LOOKUP(Table913[[#This Row],[Mosquito]],Table7[Sample Name],Table7[Positive])</f>
        <v>1</v>
      </c>
      <c r="S40" t="b">
        <f>LOOKUP(Table913[[#This Row],[Mosquito]],Table7[Sample Name],Table7[Disseminated])</f>
        <v>1</v>
      </c>
    </row>
    <row r="41" spans="2:19" x14ac:dyDescent="0.25">
      <c r="B41">
        <v>33</v>
      </c>
      <c r="C41">
        <v>39</v>
      </c>
      <c r="D41" s="341">
        <v>3.0310000000000001</v>
      </c>
      <c r="E41" s="341">
        <v>2.9820000000000002</v>
      </c>
      <c r="F41">
        <v>1</v>
      </c>
      <c r="G41" t="s">
        <v>197</v>
      </c>
      <c r="K41">
        <v>58</v>
      </c>
      <c r="L41">
        <v>38</v>
      </c>
      <c r="M41">
        <v>2.7229999999999999</v>
      </c>
      <c r="N41">
        <v>2.7559999999999998</v>
      </c>
      <c r="Q41">
        <f>AVERAGE(Table913[[#This Row],[Wing A]:[Wing B]])</f>
        <v>2.7394999999999996</v>
      </c>
      <c r="R41" t="b">
        <f>LOOKUP(Table913[[#This Row],[Mosquito]],Table7[Sample Name],Table7[Positive])</f>
        <v>1</v>
      </c>
      <c r="S41" t="b">
        <f>LOOKUP(Table913[[#This Row],[Mosquito]],Table7[Sample Name],Table7[Disseminated])</f>
        <v>1</v>
      </c>
    </row>
    <row r="42" spans="2:19" x14ac:dyDescent="0.25">
      <c r="B42">
        <v>31</v>
      </c>
      <c r="C42">
        <v>40</v>
      </c>
      <c r="D42" s="341">
        <v>2.85</v>
      </c>
      <c r="E42" s="341">
        <v>2.944</v>
      </c>
      <c r="K42">
        <v>39</v>
      </c>
      <c r="L42">
        <v>39</v>
      </c>
      <c r="M42">
        <v>2.8679999999999999</v>
      </c>
      <c r="N42">
        <v>2.89</v>
      </c>
      <c r="Q42">
        <f>AVERAGE(Table913[[#This Row],[Wing A]:[Wing B]])</f>
        <v>2.879</v>
      </c>
      <c r="R42" t="b">
        <f>LOOKUP(Table913[[#This Row],[Mosquito]],Table7[Sample Name],Table7[Positive])</f>
        <v>1</v>
      </c>
      <c r="S42" t="b">
        <f>LOOKUP(Table913[[#This Row],[Mosquito]],Table7[Sample Name],Table7[Disseminated])</f>
        <v>0</v>
      </c>
    </row>
    <row r="43" spans="2:19" x14ac:dyDescent="0.25">
      <c r="B43">
        <v>40</v>
      </c>
      <c r="K43">
        <v>55</v>
      </c>
      <c r="L43">
        <v>40</v>
      </c>
      <c r="M43">
        <v>2.8570000000000002</v>
      </c>
      <c r="N43">
        <v>3</v>
      </c>
      <c r="O43">
        <v>0</v>
      </c>
      <c r="P43" t="s">
        <v>197</v>
      </c>
      <c r="Q43">
        <f>AVERAGE(Table913[[#This Row],[Wing A]:[Wing B]])</f>
        <v>2.9285000000000001</v>
      </c>
      <c r="R43" t="b">
        <f>LOOKUP(Table913[[#This Row],[Mosquito]],Table7[Sample Name],Table7[Positive])</f>
        <v>1</v>
      </c>
      <c r="S43" t="b">
        <f>LOOKUP(Table913[[#This Row],[Mosquito]],Table7[Sample Name],Table7[Disseminated])</f>
        <v>1</v>
      </c>
    </row>
    <row r="44" spans="2:19" x14ac:dyDescent="0.25">
      <c r="K44">
        <v>45</v>
      </c>
      <c r="L44">
        <v>41</v>
      </c>
      <c r="M44">
        <v>2.9329999999999998</v>
      </c>
      <c r="N44">
        <v>2.93</v>
      </c>
      <c r="Q44">
        <f>AVERAGE(Table913[[#This Row],[Wing A]:[Wing B]])</f>
        <v>2.9314999999999998</v>
      </c>
      <c r="R44" t="b">
        <f>LOOKUP(Table913[[#This Row],[Mosquito]],Table7[Sample Name],Table7[Positive])</f>
        <v>1</v>
      </c>
      <c r="S44" t="b">
        <f>LOOKUP(Table913[[#This Row],[Mosquito]],Table7[Sample Name],Table7[Disseminated])</f>
        <v>1</v>
      </c>
    </row>
    <row r="45" spans="2:19" x14ac:dyDescent="0.25">
      <c r="K45">
        <v>47</v>
      </c>
      <c r="L45">
        <v>42</v>
      </c>
      <c r="M45">
        <v>2.64</v>
      </c>
      <c r="N45">
        <v>2.911</v>
      </c>
      <c r="Q45">
        <f>AVERAGE(Table913[[#This Row],[Wing A]:[Wing B]])</f>
        <v>2.7755000000000001</v>
      </c>
      <c r="R45" t="b">
        <f>LOOKUP(Table913[[#This Row],[Mosquito]],Table7[Sample Name],Table7[Positive])</f>
        <v>1</v>
      </c>
      <c r="S45" t="b">
        <f>LOOKUP(Table913[[#This Row],[Mosquito]],Table7[Sample Name],Table7[Disseminated])</f>
        <v>1</v>
      </c>
    </row>
    <row r="46" spans="2:19" x14ac:dyDescent="0.25">
      <c r="B46" s="343" t="s">
        <v>202</v>
      </c>
      <c r="K46">
        <v>49</v>
      </c>
      <c r="L46">
        <v>43</v>
      </c>
      <c r="M46">
        <v>2.9969999999999999</v>
      </c>
      <c r="N46">
        <v>3.1549999999999998</v>
      </c>
      <c r="O46">
        <v>1</v>
      </c>
      <c r="Q46">
        <f>AVERAGE(Table913[[#This Row],[Wing A]:[Wing B]])</f>
        <v>3.0759999999999996</v>
      </c>
      <c r="R46" t="b">
        <f>LOOKUP(Table913[[#This Row],[Mosquito]],Table7[Sample Name],Table7[Positive])</f>
        <v>1</v>
      </c>
      <c r="S46" t="b">
        <f>LOOKUP(Table913[[#This Row],[Mosquito]],Table7[Sample Name],Table7[Disseminated])</f>
        <v>1</v>
      </c>
    </row>
    <row r="47" spans="2:19" x14ac:dyDescent="0.25">
      <c r="K47">
        <v>50</v>
      </c>
      <c r="L47">
        <v>44</v>
      </c>
      <c r="M47">
        <v>2.7679999999999998</v>
      </c>
      <c r="Q47">
        <f>AVERAGE(Table913[[#This Row],[Wing A]:[Wing B]])</f>
        <v>2.7679999999999998</v>
      </c>
      <c r="R47" t="b">
        <f>LOOKUP(Table913[[#This Row],[Mosquito]],Table7[Sample Name],Table7[Positive])</f>
        <v>1</v>
      </c>
      <c r="S47" t="b">
        <f>LOOKUP(Table913[[#This Row],[Mosquito]],Table7[Sample Name],Table7[Disseminated])</f>
        <v>1</v>
      </c>
    </row>
    <row r="48" spans="2:19" x14ac:dyDescent="0.25">
      <c r="K48">
        <v>37</v>
      </c>
      <c r="L48">
        <v>45</v>
      </c>
      <c r="M48">
        <v>2.9209999999999998</v>
      </c>
      <c r="N48">
        <v>2.9409999999999998</v>
      </c>
      <c r="Q48">
        <f>AVERAGE(Table913[[#This Row],[Wing A]:[Wing B]])</f>
        <v>2.931</v>
      </c>
      <c r="R48" t="b">
        <f>LOOKUP(Table913[[#This Row],[Mosquito]],Table7[Sample Name],Table7[Positive])</f>
        <v>1</v>
      </c>
      <c r="S48" t="b">
        <f>LOOKUP(Table913[[#This Row],[Mosquito]],Table7[Sample Name],Table7[Disseminated])</f>
        <v>1</v>
      </c>
    </row>
    <row r="49" spans="11:19" x14ac:dyDescent="0.25">
      <c r="K49">
        <v>16</v>
      </c>
      <c r="L49">
        <v>46</v>
      </c>
      <c r="M49">
        <v>2.952</v>
      </c>
      <c r="N49">
        <v>2.9359999999999999</v>
      </c>
      <c r="Q49">
        <f>AVERAGE(Table913[[#This Row],[Wing A]:[Wing B]])</f>
        <v>2.944</v>
      </c>
      <c r="R49" t="b">
        <f>LOOKUP(Table913[[#This Row],[Mosquito]],Table7[Sample Name],Table7[Positive])</f>
        <v>1</v>
      </c>
      <c r="S49" t="b">
        <f>LOOKUP(Table913[[#This Row],[Mosquito]],Table7[Sample Name],Table7[Disseminated])</f>
        <v>1</v>
      </c>
    </row>
    <row r="50" spans="11:19" x14ac:dyDescent="0.25">
      <c r="K50">
        <v>52</v>
      </c>
      <c r="L50">
        <v>47</v>
      </c>
      <c r="M50">
        <v>2.73</v>
      </c>
      <c r="N50">
        <v>2.9969999999999999</v>
      </c>
      <c r="O50">
        <v>0</v>
      </c>
      <c r="P50" t="s">
        <v>197</v>
      </c>
      <c r="Q50">
        <f>AVERAGE(Table913[[#This Row],[Wing A]:[Wing B]])</f>
        <v>2.8635000000000002</v>
      </c>
      <c r="R50" t="b">
        <f>LOOKUP(Table913[[#This Row],[Mosquito]],Table7[Sample Name],Table7[Positive])</f>
        <v>1</v>
      </c>
      <c r="S50" t="b">
        <f>LOOKUP(Table913[[#This Row],[Mosquito]],Table7[Sample Name],Table7[Disseminated])</f>
        <v>1</v>
      </c>
    </row>
    <row r="51" spans="11:19" x14ac:dyDescent="0.25">
      <c r="K51">
        <v>12</v>
      </c>
      <c r="L51">
        <v>48</v>
      </c>
      <c r="M51">
        <v>2.7570000000000001</v>
      </c>
      <c r="N51">
        <v>2.714</v>
      </c>
      <c r="O51">
        <v>0</v>
      </c>
      <c r="P51" t="s">
        <v>197</v>
      </c>
      <c r="Q51">
        <f>AVERAGE(Table913[[#This Row],[Wing A]:[Wing B]])</f>
        <v>2.7355</v>
      </c>
      <c r="R51" t="b">
        <f>LOOKUP(Table913[[#This Row],[Mosquito]],Table7[Sample Name],Table7[Positive])</f>
        <v>1</v>
      </c>
      <c r="S51" t="b">
        <f>LOOKUP(Table913[[#This Row],[Mosquito]],Table7[Sample Name],Table7[Disseminated])</f>
        <v>1</v>
      </c>
    </row>
    <row r="52" spans="11:19" x14ac:dyDescent="0.25">
      <c r="K52">
        <v>54</v>
      </c>
      <c r="L52">
        <v>49</v>
      </c>
      <c r="M52">
        <v>2.6859999999999999</v>
      </c>
      <c r="N52">
        <v>2.7559999999999998</v>
      </c>
      <c r="O52">
        <v>1</v>
      </c>
      <c r="P52">
        <v>0</v>
      </c>
      <c r="Q52">
        <f>AVERAGE(Table913[[#This Row],[Wing A]:[Wing B]])</f>
        <v>2.7210000000000001</v>
      </c>
      <c r="R52" t="b">
        <f>LOOKUP(Table913[[#This Row],[Mosquito]],Table7[Sample Name],Table7[Positive])</f>
        <v>1</v>
      </c>
      <c r="S52" t="b">
        <f>LOOKUP(Table913[[#This Row],[Mosquito]],Table7[Sample Name],Table7[Disseminated])</f>
        <v>1</v>
      </c>
    </row>
    <row r="53" spans="11:19" x14ac:dyDescent="0.25">
      <c r="K53">
        <v>56</v>
      </c>
      <c r="L53">
        <v>50</v>
      </c>
      <c r="M53">
        <v>2.8410000000000002</v>
      </c>
      <c r="N53">
        <v>2.766</v>
      </c>
      <c r="O53">
        <v>1</v>
      </c>
      <c r="P53" t="s">
        <v>197</v>
      </c>
      <c r="Q53">
        <f>AVERAGE(Table913[[#This Row],[Wing A]:[Wing B]])</f>
        <v>2.8035000000000001</v>
      </c>
      <c r="R53" t="b">
        <f>LOOKUP(Table913[[#This Row],[Mosquito]],Table7[Sample Name],Table7[Positive])</f>
        <v>1</v>
      </c>
      <c r="S53" t="b">
        <f>LOOKUP(Table913[[#This Row],[Mosquito]],Table7[Sample Name],Table7[Disseminated])</f>
        <v>1</v>
      </c>
    </row>
    <row r="54" spans="11:19" x14ac:dyDescent="0.25">
      <c r="K54">
        <v>44</v>
      </c>
      <c r="L54">
        <v>51</v>
      </c>
      <c r="M54">
        <v>2.8410000000000002</v>
      </c>
      <c r="N54">
        <v>2.8450000000000002</v>
      </c>
      <c r="O54">
        <v>0</v>
      </c>
      <c r="P54" t="s">
        <v>197</v>
      </c>
      <c r="Q54">
        <f>AVERAGE(Table913[[#This Row],[Wing A]:[Wing B]])</f>
        <v>2.843</v>
      </c>
      <c r="R54" t="b">
        <f>LOOKUP(Table913[[#This Row],[Mosquito]],Table7[Sample Name],Table7[Positive])</f>
        <v>1</v>
      </c>
      <c r="S54" t="b">
        <f>LOOKUP(Table913[[#This Row],[Mosquito]],Table7[Sample Name],Table7[Disseminated])</f>
        <v>1</v>
      </c>
    </row>
    <row r="55" spans="11:19" x14ac:dyDescent="0.25">
      <c r="K55">
        <v>57</v>
      </c>
      <c r="L55">
        <v>52</v>
      </c>
      <c r="M55">
        <v>2.8919999999999999</v>
      </c>
      <c r="N55">
        <v>3.0259999999999998</v>
      </c>
      <c r="O55">
        <v>1</v>
      </c>
      <c r="P55" t="s">
        <v>197</v>
      </c>
      <c r="Q55">
        <f>AVERAGE(Table913[[#This Row],[Wing A]:[Wing B]])</f>
        <v>2.9589999999999996</v>
      </c>
      <c r="R55" t="b">
        <f>LOOKUP(Table913[[#This Row],[Mosquito]],Table7[Sample Name],Table7[Positive])</f>
        <v>1</v>
      </c>
      <c r="S55" t="b">
        <f>LOOKUP(Table913[[#This Row],[Mosquito]],Table7[Sample Name],Table7[Disseminated])</f>
        <v>1</v>
      </c>
    </row>
    <row r="56" spans="11:19" x14ac:dyDescent="0.25">
      <c r="K56">
        <v>4</v>
      </c>
      <c r="L56">
        <v>53</v>
      </c>
      <c r="M56">
        <v>2.7559999999999998</v>
      </c>
      <c r="N56">
        <v>2.79</v>
      </c>
      <c r="Q56">
        <f>AVERAGE(Table913[[#This Row],[Wing A]:[Wing B]])</f>
        <v>2.7729999999999997</v>
      </c>
      <c r="R56" t="b">
        <f>LOOKUP(Table913[[#This Row],[Mosquito]],Table7[Sample Name],Table7[Positive])</f>
        <v>1</v>
      </c>
      <c r="S56" t="str">
        <f>LOOKUP(Table913[[#This Row],[Mosquito]],Table7[Sample Name],Table7[Disseminated])</f>
        <v>N/A</v>
      </c>
    </row>
    <row r="57" spans="11:19" x14ac:dyDescent="0.25">
      <c r="K57">
        <v>46</v>
      </c>
      <c r="L57">
        <v>54</v>
      </c>
      <c r="M57">
        <v>2.903</v>
      </c>
      <c r="N57">
        <v>2.8839999999999999</v>
      </c>
      <c r="O57">
        <v>1</v>
      </c>
      <c r="P57" t="s">
        <v>197</v>
      </c>
      <c r="Q57">
        <f>AVERAGE(Table913[[#This Row],[Wing A]:[Wing B]])</f>
        <v>2.8935</v>
      </c>
      <c r="R57" t="b">
        <f>LOOKUP(Table913[[#This Row],[Mosquito]],Table7[Sample Name],Table7[Positive])</f>
        <v>1</v>
      </c>
      <c r="S57" t="b">
        <f>LOOKUP(Table913[[#This Row],[Mosquito]],Table7[Sample Name],Table7[Disseminated])</f>
        <v>0</v>
      </c>
    </row>
    <row r="58" spans="11:19" x14ac:dyDescent="0.25">
      <c r="K58">
        <v>59</v>
      </c>
      <c r="L58">
        <v>55</v>
      </c>
      <c r="M58">
        <v>2.831</v>
      </c>
      <c r="N58">
        <v>2.855</v>
      </c>
      <c r="Q58">
        <f>AVERAGE(Table913[[#This Row],[Wing A]:[Wing B]])</f>
        <v>2.843</v>
      </c>
      <c r="R58" t="b">
        <f>LOOKUP(Table913[[#This Row],[Mosquito]],Table7[Sample Name],Table7[Positive])</f>
        <v>1</v>
      </c>
      <c r="S58" t="b">
        <f>LOOKUP(Table913[[#This Row],[Mosquito]],Table7[Sample Name],Table7[Disseminated])</f>
        <v>1</v>
      </c>
    </row>
    <row r="59" spans="11:19" x14ac:dyDescent="0.25">
      <c r="K59">
        <v>48</v>
      </c>
      <c r="L59">
        <v>56</v>
      </c>
      <c r="M59">
        <v>2.867</v>
      </c>
      <c r="N59">
        <v>2.7349999999999999</v>
      </c>
      <c r="O59" t="s">
        <v>197</v>
      </c>
      <c r="P59">
        <v>1</v>
      </c>
      <c r="Q59">
        <f>AVERAGE(Table913[[#This Row],[Wing A]:[Wing B]])</f>
        <v>2.8010000000000002</v>
      </c>
      <c r="R59" t="b">
        <f>LOOKUP(Table913[[#This Row],[Mosquito]],Table7[Sample Name],Table7[Positive])</f>
        <v>1</v>
      </c>
      <c r="S59" t="b">
        <f>LOOKUP(Table913[[#This Row],[Mosquito]],Table7[Sample Name],Table7[Disseminated])</f>
        <v>1</v>
      </c>
    </row>
    <row r="60" spans="11:19" x14ac:dyDescent="0.25">
      <c r="K60">
        <v>2</v>
      </c>
      <c r="L60">
        <v>57</v>
      </c>
      <c r="M60">
        <v>2.85</v>
      </c>
      <c r="Q60">
        <f>AVERAGE(Table913[[#This Row],[Wing A]:[Wing B]])</f>
        <v>2.85</v>
      </c>
      <c r="R60" t="b">
        <f>LOOKUP(Table913[[#This Row],[Mosquito]],Table7[Sample Name],Table7[Positive])</f>
        <v>0</v>
      </c>
      <c r="S60" t="str">
        <f>LOOKUP(Table913[[#This Row],[Mosquito]],Table7[Sample Name],Table7[Disseminated])</f>
        <v>N/A</v>
      </c>
    </row>
    <row r="61" spans="11:19" x14ac:dyDescent="0.25">
      <c r="K61">
        <v>61</v>
      </c>
      <c r="L61">
        <v>58</v>
      </c>
      <c r="M61">
        <v>2.8149999999999999</v>
      </c>
      <c r="N61">
        <v>2.8839999999999999</v>
      </c>
      <c r="Q61">
        <f>AVERAGE(Table913[[#This Row],[Wing A]:[Wing B]])</f>
        <v>2.8494999999999999</v>
      </c>
      <c r="R61" t="b">
        <f>LOOKUP(Table913[[#This Row],[Mosquito]],Table7[Sample Name],Table7[Positive])</f>
        <v>0</v>
      </c>
      <c r="S61" t="str">
        <f>LOOKUP(Table913[[#This Row],[Mosquito]],Table7[Sample Name],Table7[Disseminated])</f>
        <v>N/A</v>
      </c>
    </row>
    <row r="62" spans="11:19" x14ac:dyDescent="0.25">
      <c r="K62">
        <v>62</v>
      </c>
      <c r="L62">
        <v>59</v>
      </c>
      <c r="M62">
        <v>2.7349999999999999</v>
      </c>
      <c r="N62">
        <v>2.76</v>
      </c>
      <c r="Q62">
        <f>AVERAGE(Table913[[#This Row],[Wing A]:[Wing B]])</f>
        <v>2.7474999999999996</v>
      </c>
      <c r="R62" t="b">
        <f>LOOKUP(Table913[[#This Row],[Mosquito]],Table7[Sample Name],Table7[Positive])</f>
        <v>1</v>
      </c>
      <c r="S62" t="b">
        <f>LOOKUP(Table913[[#This Row],[Mosquito]],Table7[Sample Name],Table7[Disseminated])</f>
        <v>1</v>
      </c>
    </row>
    <row r="63" spans="11:19" x14ac:dyDescent="0.25">
      <c r="K63">
        <v>60</v>
      </c>
      <c r="L63">
        <v>60</v>
      </c>
      <c r="M63">
        <v>3.0659999999999998</v>
      </c>
      <c r="N63">
        <v>3.0310000000000001</v>
      </c>
      <c r="O63">
        <v>1</v>
      </c>
      <c r="P63" t="s">
        <v>197</v>
      </c>
      <c r="Q63">
        <f>AVERAGE(Table913[[#This Row],[Wing A]:[Wing B]])</f>
        <v>3.0484999999999998</v>
      </c>
      <c r="R63" t="b">
        <f>LOOKUP(Table913[[#This Row],[Mosquito]],Table7[Sample Name],Table7[Positive])</f>
        <v>0</v>
      </c>
      <c r="S63" t="str">
        <f>LOOKUP(Table913[[#This Row],[Mosquito]],Table7[Sample Name],Table7[Disseminated])</f>
        <v>N/A</v>
      </c>
    </row>
    <row r="64" spans="11:19" x14ac:dyDescent="0.25">
      <c r="K64">
        <v>63</v>
      </c>
      <c r="L64">
        <v>81</v>
      </c>
      <c r="M64">
        <v>2.9860000000000002</v>
      </c>
      <c r="N64">
        <v>2.8610000000000002</v>
      </c>
      <c r="Q64">
        <f>AVERAGE(Table913[[#This Row],[Wing A]:[Wing B]])</f>
        <v>2.9235000000000002</v>
      </c>
      <c r="R64" t="b">
        <f>LOOKUP(Table913[[#This Row],[Mosquito]],Table7[Sample Name],Table7[Positive])</f>
        <v>1</v>
      </c>
      <c r="S64" t="str">
        <f>LOOKUP(Table913[[#This Row],[Mosquito]],Table7[Sample Name],Table7[Disseminated])</f>
        <v>N/A</v>
      </c>
    </row>
    <row r="65" spans="11:19" x14ac:dyDescent="0.25">
      <c r="K65">
        <v>53</v>
      </c>
      <c r="L65">
        <v>82</v>
      </c>
      <c r="M65">
        <v>2.7229999999999999</v>
      </c>
      <c r="N65">
        <v>2.7519999999999998</v>
      </c>
      <c r="Q65">
        <f>AVERAGE(Table913[[#This Row],[Wing A]:[Wing B]])</f>
        <v>2.7374999999999998</v>
      </c>
      <c r="R65" t="b">
        <f>LOOKUP(Table913[[#This Row],[Mosquito]],Table7[Sample Name],Table7[Positive])</f>
        <v>1</v>
      </c>
      <c r="S65" t="b">
        <f>LOOKUP(Table913[[#This Row],[Mosquito]],Table7[Sample Name],Table7[Disseminated])</f>
        <v>1</v>
      </c>
    </row>
    <row r="66" spans="11:19" x14ac:dyDescent="0.25">
      <c r="K66">
        <v>65</v>
      </c>
      <c r="L66">
        <v>83</v>
      </c>
      <c r="M66">
        <v>2.95</v>
      </c>
      <c r="O66" t="s">
        <v>197</v>
      </c>
      <c r="Q66">
        <f>AVERAGE(Table913[[#This Row],[Wing A]:[Wing B]])</f>
        <v>2.95</v>
      </c>
      <c r="R66" t="b">
        <f>LOOKUP(Table913[[#This Row],[Mosquito]],Table7[Sample Name],Table7[Positive])</f>
        <v>1</v>
      </c>
      <c r="S66" t="b">
        <f>LOOKUP(Table913[[#This Row],[Mosquito]],Table7[Sample Name],Table7[Disseminated])</f>
        <v>1</v>
      </c>
    </row>
    <row r="67" spans="11:19" x14ac:dyDescent="0.25">
      <c r="K67">
        <v>67</v>
      </c>
      <c r="L67">
        <v>84</v>
      </c>
      <c r="M67">
        <v>2.8660000000000001</v>
      </c>
      <c r="N67">
        <v>2.9009999999999998</v>
      </c>
      <c r="O67">
        <v>1</v>
      </c>
      <c r="Q67">
        <f>AVERAGE(Table913[[#This Row],[Wing A]:[Wing B]])</f>
        <v>2.8834999999999997</v>
      </c>
      <c r="R67" t="b">
        <f>LOOKUP(Table913[[#This Row],[Mosquito]],Table7[Sample Name],Table7[Positive])</f>
        <v>1</v>
      </c>
      <c r="S67" t="b">
        <f>LOOKUP(Table913[[#This Row],[Mosquito]],Table7[Sample Name],Table7[Disseminated])</f>
        <v>1</v>
      </c>
    </row>
    <row r="68" spans="11:19" x14ac:dyDescent="0.25">
      <c r="K68">
        <v>68</v>
      </c>
      <c r="L68">
        <v>85</v>
      </c>
      <c r="M68">
        <v>2.9279999999999999</v>
      </c>
      <c r="N68">
        <v>2.891</v>
      </c>
      <c r="O68" t="s">
        <v>197</v>
      </c>
      <c r="P68">
        <v>1</v>
      </c>
      <c r="Q68">
        <f>AVERAGE(Table913[[#This Row],[Wing A]:[Wing B]])</f>
        <v>2.9095</v>
      </c>
      <c r="R68" t="b">
        <f>LOOKUP(Table913[[#This Row],[Mosquito]],Table7[Sample Name],Table7[Positive])</f>
        <v>1</v>
      </c>
      <c r="S68" t="b">
        <f>LOOKUP(Table913[[#This Row],[Mosquito]],Table7[Sample Name],Table7[Disseminated])</f>
        <v>1</v>
      </c>
    </row>
    <row r="69" spans="11:19" x14ac:dyDescent="0.25">
      <c r="K69">
        <v>70</v>
      </c>
      <c r="L69">
        <v>86</v>
      </c>
      <c r="M69">
        <v>2.96</v>
      </c>
      <c r="N69">
        <v>3.0059999999999998</v>
      </c>
      <c r="Q69">
        <f>AVERAGE(Table913[[#This Row],[Wing A]:[Wing B]])</f>
        <v>2.9829999999999997</v>
      </c>
      <c r="R69" t="b">
        <f>LOOKUP(Table913[[#This Row],[Mosquito]],Table7[Sample Name],Table7[Positive])</f>
        <v>1</v>
      </c>
      <c r="S69" t="b">
        <f>LOOKUP(Table913[[#This Row],[Mosquito]],Table7[Sample Name],Table7[Disseminated])</f>
        <v>1</v>
      </c>
    </row>
    <row r="70" spans="11:19" x14ac:dyDescent="0.25">
      <c r="K70">
        <v>64</v>
      </c>
      <c r="L70">
        <v>87</v>
      </c>
      <c r="M70">
        <v>2.9169999999999998</v>
      </c>
      <c r="N70">
        <v>2.9590000000000001</v>
      </c>
      <c r="O70" t="s">
        <v>197</v>
      </c>
      <c r="P70">
        <v>1</v>
      </c>
      <c r="Q70">
        <f>AVERAGE(Table913[[#This Row],[Wing A]:[Wing B]])</f>
        <v>2.9379999999999997</v>
      </c>
      <c r="R70" t="b">
        <f>LOOKUP(Table913[[#This Row],[Mosquito]],Table7[Sample Name],Table7[Positive])</f>
        <v>1</v>
      </c>
      <c r="S70" t="str">
        <f>LOOKUP(Table913[[#This Row],[Mosquito]],Table7[Sample Name],Table7[Disseminated])</f>
        <v>N/A</v>
      </c>
    </row>
    <row r="71" spans="11:19" x14ac:dyDescent="0.25">
      <c r="K71">
        <v>71</v>
      </c>
      <c r="L71">
        <v>88</v>
      </c>
      <c r="M71">
        <v>2.7309999999999999</v>
      </c>
      <c r="N71">
        <v>2.774</v>
      </c>
      <c r="Q71">
        <f>AVERAGE(Table913[[#This Row],[Wing A]:[Wing B]])</f>
        <v>2.7524999999999999</v>
      </c>
      <c r="R71" t="b">
        <f>LOOKUP(Table913[[#This Row],[Mosquito]],Table7[Sample Name],Table7[Positive])</f>
        <v>1</v>
      </c>
      <c r="S71" t="b">
        <f>LOOKUP(Table913[[#This Row],[Mosquito]],Table7[Sample Name],Table7[Disseminated])</f>
        <v>1</v>
      </c>
    </row>
    <row r="72" spans="11:19" x14ac:dyDescent="0.25">
      <c r="K72">
        <v>72</v>
      </c>
      <c r="L72">
        <v>89</v>
      </c>
      <c r="M72">
        <v>2.9510000000000001</v>
      </c>
      <c r="N72">
        <v>2.8879999999999999</v>
      </c>
      <c r="O72">
        <v>1</v>
      </c>
      <c r="P72" t="s">
        <v>197</v>
      </c>
      <c r="Q72">
        <f>AVERAGE(Table913[[#This Row],[Wing A]:[Wing B]])</f>
        <v>2.9195000000000002</v>
      </c>
      <c r="R72" t="b">
        <f>LOOKUP(Table913[[#This Row],[Mosquito]],Table7[Sample Name],Table7[Positive])</f>
        <v>0</v>
      </c>
      <c r="S72" t="str">
        <f>LOOKUP(Table913[[#This Row],[Mosquito]],Table7[Sample Name],Table7[Disseminated])</f>
        <v>N/A</v>
      </c>
    </row>
    <row r="73" spans="11:19" x14ac:dyDescent="0.25">
      <c r="K73">
        <v>41</v>
      </c>
      <c r="L73">
        <v>90</v>
      </c>
      <c r="M73">
        <v>2.9460000000000002</v>
      </c>
      <c r="N73">
        <v>2.7850000000000001</v>
      </c>
      <c r="O73">
        <v>1</v>
      </c>
      <c r="P73">
        <v>0</v>
      </c>
      <c r="Q73">
        <f>AVERAGE(Table913[[#This Row],[Wing A]:[Wing B]])</f>
        <v>2.8654999999999999</v>
      </c>
      <c r="R73" t="b">
        <f>LOOKUP(Table913[[#This Row],[Mosquito]],Table7[Sample Name],Table7[Positive])</f>
        <v>1</v>
      </c>
      <c r="S73" t="b">
        <f>LOOKUP(Table913[[#This Row],[Mosquito]],Table7[Sample Name],Table7[Disseminated])</f>
        <v>1</v>
      </c>
    </row>
    <row r="74" spans="11:19" x14ac:dyDescent="0.25">
      <c r="K74">
        <v>73</v>
      </c>
      <c r="L74">
        <v>91</v>
      </c>
      <c r="M74">
        <v>3.036</v>
      </c>
      <c r="N74">
        <v>3.0059999999999998</v>
      </c>
      <c r="Q74">
        <f>AVERAGE(Table913[[#This Row],[Wing A]:[Wing B]])</f>
        <v>3.0209999999999999</v>
      </c>
      <c r="R74" t="b">
        <f>LOOKUP(Table913[[#This Row],[Mosquito]],Table7[Sample Name],Table7[Positive])</f>
        <v>1</v>
      </c>
      <c r="S74" t="b">
        <f>LOOKUP(Table913[[#This Row],[Mosquito]],Table7[Sample Name],Table7[Disseminated])</f>
        <v>1</v>
      </c>
    </row>
    <row r="75" spans="11:19" x14ac:dyDescent="0.25">
      <c r="K75">
        <v>75</v>
      </c>
      <c r="L75">
        <v>92</v>
      </c>
      <c r="M75">
        <v>2.9809999999999999</v>
      </c>
      <c r="N75">
        <v>2.9620000000000002</v>
      </c>
      <c r="Q75">
        <f>AVERAGE(Table913[[#This Row],[Wing A]:[Wing B]])</f>
        <v>2.9714999999999998</v>
      </c>
      <c r="R75" t="b">
        <f>LOOKUP(Table913[[#This Row],[Mosquito]],Table7[Sample Name],Table7[Positive])</f>
        <v>1</v>
      </c>
      <c r="S75" t="b">
        <f>LOOKUP(Table913[[#This Row],[Mosquito]],Table7[Sample Name],Table7[Disseminated])</f>
        <v>1</v>
      </c>
    </row>
    <row r="76" spans="11:19" x14ac:dyDescent="0.25">
      <c r="K76">
        <v>77</v>
      </c>
      <c r="L76">
        <v>93</v>
      </c>
      <c r="M76">
        <v>2.67</v>
      </c>
      <c r="N76">
        <v>2.677</v>
      </c>
      <c r="O76" t="s">
        <v>197</v>
      </c>
      <c r="P76">
        <v>1</v>
      </c>
      <c r="Q76">
        <f>AVERAGE(Table913[[#This Row],[Wing A]:[Wing B]])</f>
        <v>2.6734999999999998</v>
      </c>
      <c r="R76" t="b">
        <f>LOOKUP(Table913[[#This Row],[Mosquito]],Table7[Sample Name],Table7[Positive])</f>
        <v>1</v>
      </c>
      <c r="S76" t="b">
        <f>LOOKUP(Table913[[#This Row],[Mosquito]],Table7[Sample Name],Table7[Disseminated])</f>
        <v>1</v>
      </c>
    </row>
    <row r="77" spans="11:19" x14ac:dyDescent="0.25">
      <c r="K77">
        <v>51</v>
      </c>
      <c r="L77">
        <v>94</v>
      </c>
      <c r="M77">
        <v>2.988</v>
      </c>
      <c r="N77">
        <v>2.9990000000000001</v>
      </c>
      <c r="Q77">
        <f>AVERAGE(Table913[[#This Row],[Wing A]:[Wing B]])</f>
        <v>2.9935</v>
      </c>
      <c r="R77" t="b">
        <f>LOOKUP(Table913[[#This Row],[Mosquito]],Table7[Sample Name],Table7[Positive])</f>
        <v>1</v>
      </c>
      <c r="S77" t="b">
        <f>LOOKUP(Table913[[#This Row],[Mosquito]],Table7[Sample Name],Table7[Disseminated])</f>
        <v>1</v>
      </c>
    </row>
    <row r="78" spans="11:19" x14ac:dyDescent="0.25">
      <c r="K78">
        <v>66</v>
      </c>
      <c r="L78">
        <v>95</v>
      </c>
      <c r="M78">
        <v>2.9119999999999999</v>
      </c>
      <c r="Q78">
        <f>AVERAGE(Table913[[#This Row],[Wing A]:[Wing B]])</f>
        <v>2.9119999999999999</v>
      </c>
      <c r="R78" t="b">
        <f>LOOKUP(Table913[[#This Row],[Mosquito]],Table7[Sample Name],Table7[Positive])</f>
        <v>1</v>
      </c>
      <c r="S78" t="b">
        <f>LOOKUP(Table913[[#This Row],[Mosquito]],Table7[Sample Name],Table7[Disseminated])</f>
        <v>1</v>
      </c>
    </row>
    <row r="79" spans="11:19" x14ac:dyDescent="0.25">
      <c r="K79">
        <v>79</v>
      </c>
      <c r="L79">
        <v>96</v>
      </c>
      <c r="M79">
        <v>2.9319999999999999</v>
      </c>
      <c r="N79">
        <v>2.927</v>
      </c>
      <c r="Q79">
        <f>AVERAGE(Table913[[#This Row],[Wing A]:[Wing B]])</f>
        <v>2.9295</v>
      </c>
      <c r="R79" t="b">
        <f>LOOKUP(Table913[[#This Row],[Mosquito]],Table7[Sample Name],Table7[Positive])</f>
        <v>1</v>
      </c>
      <c r="S79" t="b">
        <f>LOOKUP(Table913[[#This Row],[Mosquito]],Table7[Sample Name],Table7[Disseminated])</f>
        <v>1</v>
      </c>
    </row>
    <row r="80" spans="11:19" x14ac:dyDescent="0.25">
      <c r="K80">
        <v>80</v>
      </c>
      <c r="L80">
        <v>97</v>
      </c>
      <c r="M80">
        <v>2.9009999999999998</v>
      </c>
      <c r="Q80">
        <f>AVERAGE(Table913[[#This Row],[Wing A]:[Wing B]])</f>
        <v>2.9009999999999998</v>
      </c>
      <c r="R80" t="b">
        <f>LOOKUP(Table913[[#This Row],[Mosquito]],Table7[Sample Name],Table7[Positive])</f>
        <v>1</v>
      </c>
      <c r="S80" t="b">
        <f>LOOKUP(Table913[[#This Row],[Mosquito]],Table7[Sample Name],Table7[Disseminated])</f>
        <v>1</v>
      </c>
    </row>
    <row r="81" spans="11:19" x14ac:dyDescent="0.25">
      <c r="K81">
        <v>26</v>
      </c>
      <c r="L81">
        <v>98</v>
      </c>
      <c r="M81">
        <v>3.0030000000000001</v>
      </c>
      <c r="N81">
        <v>2.8420000000000001</v>
      </c>
      <c r="O81">
        <v>0</v>
      </c>
      <c r="P81">
        <v>1</v>
      </c>
      <c r="Q81">
        <f>AVERAGE(Table913[[#This Row],[Wing A]:[Wing B]])</f>
        <v>2.9225000000000003</v>
      </c>
      <c r="R81" t="b">
        <f>LOOKUP(Table913[[#This Row],[Mosquito]],Table7[Sample Name],Table7[Positive])</f>
        <v>1</v>
      </c>
      <c r="S81" t="b">
        <f>LOOKUP(Table913[[#This Row],[Mosquito]],Table7[Sample Name],Table7[Disseminated])</f>
        <v>1</v>
      </c>
    </row>
    <row r="82" spans="11:19" x14ac:dyDescent="0.25">
      <c r="K82">
        <v>81</v>
      </c>
      <c r="L82">
        <v>99</v>
      </c>
      <c r="M82">
        <v>2.899</v>
      </c>
      <c r="Q82">
        <f>AVERAGE(Table913[[#This Row],[Wing A]:[Wing B]])</f>
        <v>2.899</v>
      </c>
      <c r="R82" t="b">
        <f>LOOKUP(Table913[[#This Row],[Mosquito]],Table7[Sample Name],Table7[Positive])</f>
        <v>1</v>
      </c>
      <c r="S82" t="b">
        <f>LOOKUP(Table913[[#This Row],[Mosquito]],Table7[Sample Name],Table7[Disseminated])</f>
        <v>1</v>
      </c>
    </row>
    <row r="83" spans="11:19" x14ac:dyDescent="0.25">
      <c r="K83">
        <v>74</v>
      </c>
      <c r="L83">
        <v>100</v>
      </c>
      <c r="M83">
        <v>2.9870000000000001</v>
      </c>
      <c r="N83">
        <v>3.024</v>
      </c>
      <c r="Q83">
        <f>AVERAGE(Table913[[#This Row],[Wing A]:[Wing B]])</f>
        <v>3.0055000000000001</v>
      </c>
      <c r="R83" t="b">
        <f>LOOKUP(Table913[[#This Row],[Mosquito]],Table7[Sample Name],Table7[Positive])</f>
        <v>1</v>
      </c>
      <c r="S83" t="b">
        <f>LOOKUP(Table913[[#This Row],[Mosquito]],Table7[Sample Name],Table7[Disseminated])</f>
        <v>1</v>
      </c>
    </row>
    <row r="84" spans="11:19" x14ac:dyDescent="0.25">
      <c r="K84">
        <v>82</v>
      </c>
      <c r="L84">
        <v>101</v>
      </c>
      <c r="M84">
        <v>2.7770000000000001</v>
      </c>
      <c r="N84">
        <v>2.915</v>
      </c>
      <c r="O84" t="s">
        <v>197</v>
      </c>
      <c r="P84">
        <v>1</v>
      </c>
      <c r="Q84">
        <f>AVERAGE(Table913[[#This Row],[Wing A]:[Wing B]])</f>
        <v>2.8460000000000001</v>
      </c>
      <c r="R84" t="b">
        <f>LOOKUP(Table913[[#This Row],[Mosquito]],Table7[Sample Name],Table7[Positive])</f>
        <v>1</v>
      </c>
      <c r="S84" t="b">
        <f>LOOKUP(Table913[[#This Row],[Mosquito]],Table7[Sample Name],Table7[Disseminated])</f>
        <v>1</v>
      </c>
    </row>
    <row r="85" spans="11:19" x14ac:dyDescent="0.25">
      <c r="K85">
        <v>84</v>
      </c>
      <c r="L85">
        <v>102</v>
      </c>
      <c r="M85">
        <v>2.9239999999999999</v>
      </c>
      <c r="N85">
        <v>2.89</v>
      </c>
      <c r="O85" t="s">
        <v>197</v>
      </c>
      <c r="P85" t="s">
        <v>197</v>
      </c>
      <c r="Q85">
        <f>AVERAGE(Table913[[#This Row],[Wing A]:[Wing B]])</f>
        <v>2.907</v>
      </c>
      <c r="R85" t="b">
        <f>LOOKUP(Table913[[#This Row],[Mosquito]],Table7[Sample Name],Table7[Positive])</f>
        <v>1</v>
      </c>
      <c r="S85" t="b">
        <f>LOOKUP(Table913[[#This Row],[Mosquito]],Table7[Sample Name],Table7[Disseminated])</f>
        <v>1</v>
      </c>
    </row>
    <row r="86" spans="11:19" x14ac:dyDescent="0.25">
      <c r="K86">
        <v>85</v>
      </c>
      <c r="L86">
        <v>103</v>
      </c>
      <c r="M86">
        <v>2.8210000000000002</v>
      </c>
      <c r="N86">
        <v>2.74</v>
      </c>
      <c r="O86" t="s">
        <v>197</v>
      </c>
      <c r="P86">
        <v>1</v>
      </c>
      <c r="Q86">
        <f>AVERAGE(Table913[[#This Row],[Wing A]:[Wing B]])</f>
        <v>2.7805</v>
      </c>
      <c r="R86" t="b">
        <f>LOOKUP(Table913[[#This Row],[Mosquito]],Table7[Sample Name],Table7[Positive])</f>
        <v>1</v>
      </c>
      <c r="S86" t="b">
        <f>LOOKUP(Table913[[#This Row],[Mosquito]],Table7[Sample Name],Table7[Disseminated])</f>
        <v>1</v>
      </c>
    </row>
    <row r="87" spans="11:19" x14ac:dyDescent="0.25">
      <c r="K87">
        <v>78</v>
      </c>
      <c r="L87">
        <v>104</v>
      </c>
      <c r="M87">
        <v>2.9420000000000002</v>
      </c>
      <c r="N87">
        <v>2.8450000000000002</v>
      </c>
      <c r="O87" t="s">
        <v>197</v>
      </c>
      <c r="P87">
        <v>1</v>
      </c>
      <c r="Q87">
        <f>AVERAGE(Table913[[#This Row],[Wing A]:[Wing B]])</f>
        <v>2.8935000000000004</v>
      </c>
      <c r="R87" t="b">
        <f>LOOKUP(Table913[[#This Row],[Mosquito]],Table7[Sample Name],Table7[Positive])</f>
        <v>1</v>
      </c>
      <c r="S87" t="b">
        <f>LOOKUP(Table913[[#This Row],[Mosquito]],Table7[Sample Name],Table7[Disseminated])</f>
        <v>1</v>
      </c>
    </row>
    <row r="88" spans="11:19" x14ac:dyDescent="0.25">
      <c r="K88">
        <v>99</v>
      </c>
      <c r="L88">
        <v>105</v>
      </c>
      <c r="M88">
        <v>3.073</v>
      </c>
      <c r="N88">
        <v>3.0880000000000001</v>
      </c>
      <c r="Q88">
        <f>AVERAGE(Table913[[#This Row],[Wing A]:[Wing B]])</f>
        <v>3.0804999999999998</v>
      </c>
      <c r="R88" t="b">
        <f>LOOKUP(Table913[[#This Row],[Mosquito]],Table7[Sample Name],Table7[Positive])</f>
        <v>0</v>
      </c>
      <c r="S88" t="str">
        <f>LOOKUP(Table913[[#This Row],[Mosquito]],Table7[Sample Name],Table7[Disseminated])</f>
        <v>N/A</v>
      </c>
    </row>
    <row r="89" spans="11:19" x14ac:dyDescent="0.25">
      <c r="K89">
        <v>30</v>
      </c>
      <c r="L89">
        <v>106</v>
      </c>
      <c r="M89">
        <v>2.782</v>
      </c>
      <c r="N89">
        <v>2.9460000000000002</v>
      </c>
      <c r="O89">
        <v>0</v>
      </c>
      <c r="P89">
        <v>1</v>
      </c>
      <c r="Q89">
        <f>AVERAGE(Table913[[#This Row],[Wing A]:[Wing B]])</f>
        <v>2.8639999999999999</v>
      </c>
      <c r="R89" t="b">
        <f>LOOKUP(Table913[[#This Row],[Mosquito]],Table7[Sample Name],Table7[Positive])</f>
        <v>1</v>
      </c>
      <c r="S89" t="str">
        <f>LOOKUP(Table913[[#This Row],[Mosquito]],Table7[Sample Name],Table7[Disseminated])</f>
        <v>N/A</v>
      </c>
    </row>
    <row r="90" spans="11:19" x14ac:dyDescent="0.25">
      <c r="K90">
        <v>86</v>
      </c>
      <c r="L90">
        <v>107</v>
      </c>
      <c r="M90">
        <v>2.8580000000000001</v>
      </c>
      <c r="N90">
        <v>2.7109999999999999</v>
      </c>
      <c r="O90">
        <v>1</v>
      </c>
      <c r="P90" t="s">
        <v>197</v>
      </c>
      <c r="Q90">
        <f>AVERAGE(Table913[[#This Row],[Wing A]:[Wing B]])</f>
        <v>2.7845</v>
      </c>
      <c r="R90" t="b">
        <f>LOOKUP(Table913[[#This Row],[Mosquito]],Table7[Sample Name],Table7[Positive])</f>
        <v>1</v>
      </c>
      <c r="S90" t="b">
        <f>LOOKUP(Table913[[#This Row],[Mosquito]],Table7[Sample Name],Table7[Disseminated])</f>
        <v>0</v>
      </c>
    </row>
    <row r="91" spans="11:19" x14ac:dyDescent="0.25">
      <c r="K91">
        <v>32</v>
      </c>
      <c r="L91">
        <v>108</v>
      </c>
      <c r="M91">
        <v>2.6629999999999998</v>
      </c>
      <c r="N91">
        <v>2.4900000000000002</v>
      </c>
      <c r="O91" t="s">
        <v>197</v>
      </c>
      <c r="P91">
        <v>0</v>
      </c>
      <c r="Q91">
        <f>AVERAGE(Table913[[#This Row],[Wing A]:[Wing B]])</f>
        <v>2.5765000000000002</v>
      </c>
      <c r="R91" t="b">
        <f>LOOKUP(Table913[[#This Row],[Mosquito]],Table7[Sample Name],Table7[Positive])</f>
        <v>1</v>
      </c>
      <c r="S91" t="b">
        <f>LOOKUP(Table913[[#This Row],[Mosquito]],Table7[Sample Name],Table7[Disseminated])</f>
        <v>1</v>
      </c>
    </row>
    <row r="92" spans="11:19" x14ac:dyDescent="0.25">
      <c r="K92">
        <v>42</v>
      </c>
      <c r="L92">
        <v>109</v>
      </c>
      <c r="M92">
        <v>2.7050000000000001</v>
      </c>
      <c r="N92">
        <v>2.738</v>
      </c>
      <c r="Q92">
        <f>AVERAGE(Table913[[#This Row],[Wing A]:[Wing B]])</f>
        <v>2.7214999999999998</v>
      </c>
      <c r="R92" t="b">
        <f>LOOKUP(Table913[[#This Row],[Mosquito]],Table7[Sample Name],Table7[Positive])</f>
        <v>1</v>
      </c>
      <c r="S92" t="b">
        <f>LOOKUP(Table913[[#This Row],[Mosquito]],Table7[Sample Name],Table7[Disseminated])</f>
        <v>1</v>
      </c>
    </row>
    <row r="93" spans="11:19" x14ac:dyDescent="0.25">
      <c r="K93">
        <v>95</v>
      </c>
      <c r="L93">
        <v>110</v>
      </c>
      <c r="M93">
        <v>2.76</v>
      </c>
      <c r="N93">
        <v>2.5129999999999999</v>
      </c>
      <c r="O93">
        <v>1</v>
      </c>
      <c r="P93" t="s">
        <v>197</v>
      </c>
      <c r="Q93">
        <f>AVERAGE(Table913[[#This Row],[Wing A]:[Wing B]])</f>
        <v>2.6364999999999998</v>
      </c>
      <c r="R93" t="b">
        <f>LOOKUP(Table913[[#This Row],[Mosquito]],Table7[Sample Name],Table7[Positive])</f>
        <v>0</v>
      </c>
      <c r="S93" t="str">
        <f>LOOKUP(Table913[[#This Row],[Mosquito]],Table7[Sample Name],Table7[Disseminated])</f>
        <v>N/A</v>
      </c>
    </row>
    <row r="94" spans="11:19" x14ac:dyDescent="0.25">
      <c r="K94">
        <v>88</v>
      </c>
      <c r="L94">
        <v>111</v>
      </c>
      <c r="M94">
        <v>2.8239999999999998</v>
      </c>
      <c r="Q94">
        <f>AVERAGE(Table913[[#This Row],[Wing A]:[Wing B]])</f>
        <v>2.8239999999999998</v>
      </c>
      <c r="R94" t="b">
        <f>LOOKUP(Table913[[#This Row],[Mosquito]],Table7[Sample Name],Table7[Positive])</f>
        <v>1</v>
      </c>
      <c r="S94" t="b">
        <f>LOOKUP(Table913[[#This Row],[Mosquito]],Table7[Sample Name],Table7[Disseminated])</f>
        <v>1</v>
      </c>
    </row>
    <row r="95" spans="11:19" x14ac:dyDescent="0.25">
      <c r="K95">
        <v>90</v>
      </c>
      <c r="L95">
        <v>112</v>
      </c>
      <c r="M95">
        <v>2.8450000000000002</v>
      </c>
      <c r="N95">
        <v>2.9620000000000002</v>
      </c>
      <c r="O95" t="s">
        <v>197</v>
      </c>
      <c r="P95">
        <v>0</v>
      </c>
      <c r="Q95">
        <f>AVERAGE(Table913[[#This Row],[Wing A]:[Wing B]])</f>
        <v>2.9035000000000002</v>
      </c>
      <c r="R95" t="b">
        <f>LOOKUP(Table913[[#This Row],[Mosquito]],Table7[Sample Name],Table7[Positive])</f>
        <v>1</v>
      </c>
      <c r="S95" t="b">
        <f>LOOKUP(Table913[[#This Row],[Mosquito]],Table7[Sample Name],Table7[Disseminated])</f>
        <v>1</v>
      </c>
    </row>
    <row r="96" spans="11:19" x14ac:dyDescent="0.25">
      <c r="K96">
        <v>92</v>
      </c>
      <c r="L96">
        <v>113</v>
      </c>
      <c r="M96">
        <v>2.919</v>
      </c>
      <c r="N96">
        <v>2.9169999999999998</v>
      </c>
      <c r="Q96">
        <f>AVERAGE(Table913[[#This Row],[Wing A]:[Wing B]])</f>
        <v>2.9180000000000001</v>
      </c>
      <c r="R96" t="b">
        <f>LOOKUP(Table913[[#This Row],[Mosquito]],Table7[Sample Name],Table7[Positive])</f>
        <v>1</v>
      </c>
      <c r="S96" t="b">
        <f>LOOKUP(Table913[[#This Row],[Mosquito]],Table7[Sample Name],Table7[Disseminated])</f>
        <v>1</v>
      </c>
    </row>
    <row r="97" spans="11:19" x14ac:dyDescent="0.25">
      <c r="K97">
        <v>94</v>
      </c>
      <c r="L97">
        <v>114</v>
      </c>
      <c r="M97">
        <v>2.7269999999999999</v>
      </c>
      <c r="N97">
        <v>2.9340000000000002</v>
      </c>
      <c r="O97" t="s">
        <v>197</v>
      </c>
      <c r="P97">
        <v>1</v>
      </c>
      <c r="Q97">
        <f>AVERAGE(Table913[[#This Row],[Wing A]:[Wing B]])</f>
        <v>2.8304999999999998</v>
      </c>
      <c r="R97" t="b">
        <f>LOOKUP(Table913[[#This Row],[Mosquito]],Table7[Sample Name],Table7[Positive])</f>
        <v>1</v>
      </c>
      <c r="S97" t="b">
        <f>LOOKUP(Table913[[#This Row],[Mosquito]],Table7[Sample Name],Table7[Disseminated])</f>
        <v>1</v>
      </c>
    </row>
    <row r="98" spans="11:19" x14ac:dyDescent="0.25">
      <c r="K98">
        <v>93</v>
      </c>
      <c r="L98">
        <v>115</v>
      </c>
      <c r="M98">
        <v>2.8919999999999999</v>
      </c>
      <c r="N98">
        <v>2.976</v>
      </c>
      <c r="O98" t="s">
        <v>197</v>
      </c>
      <c r="P98">
        <v>1</v>
      </c>
      <c r="Q98">
        <f>AVERAGE(Table913[[#This Row],[Wing A]:[Wing B]])</f>
        <v>2.9340000000000002</v>
      </c>
      <c r="R98" t="b">
        <f>LOOKUP(Table913[[#This Row],[Mosquito]],Table7[Sample Name],Table7[Positive])</f>
        <v>0</v>
      </c>
      <c r="S98" t="str">
        <f>LOOKUP(Table913[[#This Row],[Mosquito]],Table7[Sample Name],Table7[Disseminated])</f>
        <v>N/A</v>
      </c>
    </row>
    <row r="99" spans="11:19" x14ac:dyDescent="0.25">
      <c r="K99">
        <v>83</v>
      </c>
      <c r="L99">
        <v>116</v>
      </c>
      <c r="M99">
        <v>2.6909999999999998</v>
      </c>
      <c r="N99">
        <v>2.718</v>
      </c>
      <c r="O99" t="s">
        <v>197</v>
      </c>
      <c r="P99" t="s">
        <v>197</v>
      </c>
      <c r="Q99">
        <f>AVERAGE(Table913[[#This Row],[Wing A]:[Wing B]])</f>
        <v>2.7044999999999999</v>
      </c>
      <c r="R99" t="b">
        <f>LOOKUP(Table913[[#This Row],[Mosquito]],Table7[Sample Name],Table7[Positive])</f>
        <v>1</v>
      </c>
      <c r="S99" t="b">
        <f>LOOKUP(Table913[[#This Row],[Mosquito]],Table7[Sample Name],Table7[Disseminated])</f>
        <v>1</v>
      </c>
    </row>
    <row r="100" spans="11:19" x14ac:dyDescent="0.25">
      <c r="K100">
        <v>96</v>
      </c>
      <c r="L100">
        <v>117</v>
      </c>
      <c r="M100">
        <v>2.84</v>
      </c>
      <c r="N100">
        <v>2.8809999999999998</v>
      </c>
      <c r="O100" t="s">
        <v>197</v>
      </c>
      <c r="P100">
        <v>1</v>
      </c>
      <c r="Q100">
        <f>AVERAGE(Table913[[#This Row],[Wing A]:[Wing B]])</f>
        <v>2.8605</v>
      </c>
      <c r="R100" t="b">
        <f>LOOKUP(Table913[[#This Row],[Mosquito]],Table7[Sample Name],Table7[Positive])</f>
        <v>1</v>
      </c>
      <c r="S100" t="b">
        <f>LOOKUP(Table913[[#This Row],[Mosquito]],Table7[Sample Name],Table7[Disseminated])</f>
        <v>0</v>
      </c>
    </row>
    <row r="101" spans="11:19" x14ac:dyDescent="0.25">
      <c r="K101">
        <v>98</v>
      </c>
      <c r="L101">
        <v>118</v>
      </c>
      <c r="M101">
        <v>2.8239999999999998</v>
      </c>
      <c r="N101">
        <v>2.8610000000000002</v>
      </c>
      <c r="Q101">
        <f>AVERAGE(Table913[[#This Row],[Wing A]:[Wing B]])</f>
        <v>2.8425000000000002</v>
      </c>
      <c r="R101" t="b">
        <f>LOOKUP(Table913[[#This Row],[Mosquito]],Table7[Sample Name],Table7[Positive])</f>
        <v>1</v>
      </c>
      <c r="S101" t="str">
        <f>LOOKUP(Table913[[#This Row],[Mosquito]],Table7[Sample Name],Table7[Disseminated])</f>
        <v>N/A</v>
      </c>
    </row>
    <row r="102" spans="11:19" x14ac:dyDescent="0.25">
      <c r="K102">
        <v>100</v>
      </c>
      <c r="L102">
        <v>119</v>
      </c>
      <c r="M102">
        <v>2.843</v>
      </c>
      <c r="N102">
        <v>2.8730000000000002</v>
      </c>
      <c r="Q102">
        <f>AVERAGE(Table913[[#This Row],[Wing A]:[Wing B]])</f>
        <v>2.8580000000000001</v>
      </c>
      <c r="R102" t="b">
        <f>LOOKUP(Table913[[#This Row],[Mosquito]],Table7[Sample Name],Table7[Positive])</f>
        <v>1</v>
      </c>
      <c r="S102" t="b">
        <f>LOOKUP(Table913[[#This Row],[Mosquito]],Table7[Sample Name],Table7[Disseminated])</f>
        <v>1</v>
      </c>
    </row>
    <row r="103" spans="11:19" x14ac:dyDescent="0.25">
      <c r="K103">
        <v>97</v>
      </c>
      <c r="L103">
        <v>120</v>
      </c>
      <c r="M103">
        <v>2.8490000000000002</v>
      </c>
      <c r="N103">
        <v>2.8769999999999998</v>
      </c>
      <c r="Q103">
        <f>AVERAGE(Table913[[#This Row],[Wing A]:[Wing B]])</f>
        <v>2.863</v>
      </c>
      <c r="R103" t="b">
        <f>LOOKUP(Table913[[#This Row],[Mosquito]],Table7[Sample Name],Table7[Positive])</f>
        <v>0</v>
      </c>
      <c r="S103" t="str">
        <f>LOOKUP(Table913[[#This Row],[Mosquito]],Table7[Sample Name],Table7[Disseminated])</f>
        <v>N/A</v>
      </c>
    </row>
    <row r="105" spans="11:19" x14ac:dyDescent="0.25">
      <c r="O105" t="s">
        <v>205</v>
      </c>
      <c r="S105" t="s">
        <v>207</v>
      </c>
    </row>
    <row r="106" spans="11:19" x14ac:dyDescent="0.25">
      <c r="O106" t="s">
        <v>206</v>
      </c>
      <c r="Q106">
        <f>AVERAGE(Table913[Average Wing/mm])</f>
        <v>2.8648299999999995</v>
      </c>
      <c r="S106">
        <f>COUNT(Table913[Average Wing/mm])</f>
        <v>100</v>
      </c>
    </row>
    <row r="107" spans="11:19" x14ac:dyDescent="0.25">
      <c r="O107" t="s">
        <v>54</v>
      </c>
      <c r="Q107">
        <f>AVERAGEIF(Table913[Positive],TRUE,Table913[Average Wing/mm])</f>
        <v>2.8553103448275863</v>
      </c>
      <c r="S107">
        <f>COUNTIF(Table913[Positive],TRUE)</f>
        <v>87</v>
      </c>
    </row>
    <row r="108" spans="11:19" x14ac:dyDescent="0.25">
      <c r="O108" t="s">
        <v>79</v>
      </c>
      <c r="Q108">
        <f>AVERAGEIF(Table913[Positive],FALSE,Table913[Average Wing/mm])</f>
        <v>2.9285384615384613</v>
      </c>
      <c r="S108">
        <f>COUNTIF(Table913[Positive],FALSE)</f>
        <v>13</v>
      </c>
    </row>
    <row r="109" spans="11:19" x14ac:dyDescent="0.25">
      <c r="O109" t="s">
        <v>88</v>
      </c>
      <c r="Q109">
        <f>AVERAGEIFS(Table913[Average Wing/mm],Table913[Positive],TRUE,Table913[Disseminated],FALSE)</f>
        <v>2.8505555555555557</v>
      </c>
      <c r="S109">
        <f>COUNTIFS(Table913[Positive],TRUE,Table913[Disseminated],FALSE)</f>
        <v>9</v>
      </c>
    </row>
    <row r="110" spans="11:19" x14ac:dyDescent="0.25">
      <c r="O110" t="s">
        <v>81</v>
      </c>
      <c r="Q110">
        <f>AVERAGEIFS(Table913[Average Wing/mm],Table913[Positive],TRUE,Table913[Disseminated],TRUE)</f>
        <v>2.8494642857142858</v>
      </c>
      <c r="S110">
        <f>COUNTIFS(Table913[Positive],TRUE,Table913[Disseminated],TRUE)</f>
        <v>70</v>
      </c>
    </row>
  </sheetData>
  <mergeCells count="2">
    <mergeCell ref="C1:E1"/>
    <mergeCell ref="L1:N1"/>
  </mergeCells>
  <conditionalFormatting sqref="C1:C1048576">
    <cfRule type="duplicateValues" dxfId="24" priority="7"/>
  </conditionalFormatting>
  <conditionalFormatting sqref="L3">
    <cfRule type="duplicateValues" dxfId="23" priority="6"/>
  </conditionalFormatting>
  <conditionalFormatting sqref="L4:L8 L10:L46 N8 L48:L123 N46">
    <cfRule type="duplicateValues" dxfId="22" priority="4"/>
  </conditionalFormatting>
  <conditionalFormatting sqref="L4:L103">
    <cfRule type="duplicateValues" dxfId="21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3"/>
  <sheetViews>
    <sheetView workbookViewId="0"/>
  </sheetViews>
  <sheetFormatPr defaultRowHeight="15" x14ac:dyDescent="0.25"/>
  <cols>
    <col min="3" max="3" width="11.7109375" customWidth="1"/>
    <col min="4" max="4" width="9.5703125" style="341" customWidth="1"/>
    <col min="5" max="5" width="9.42578125" style="341" customWidth="1"/>
    <col min="6" max="6" width="12.140625" customWidth="1"/>
    <col min="7" max="7" width="12" customWidth="1"/>
    <col min="12" max="12" width="11.7109375" customWidth="1"/>
    <col min="13" max="13" width="9.5703125" customWidth="1"/>
    <col min="14" max="14" width="9.42578125" customWidth="1"/>
    <col min="15" max="15" width="12.140625" customWidth="1"/>
    <col min="16" max="16" width="12" customWidth="1"/>
  </cols>
  <sheetData>
    <row r="1" spans="2:17" x14ac:dyDescent="0.25">
      <c r="C1" s="358" t="s">
        <v>194</v>
      </c>
      <c r="D1" s="358"/>
      <c r="E1" s="358"/>
      <c r="L1" s="358" t="s">
        <v>195</v>
      </c>
      <c r="M1" s="358"/>
      <c r="N1" s="358"/>
    </row>
    <row r="3" spans="2:17" x14ac:dyDescent="0.25">
      <c r="B3" t="s">
        <v>193</v>
      </c>
      <c r="C3" t="s">
        <v>188</v>
      </c>
      <c r="D3" s="341" t="s">
        <v>189</v>
      </c>
      <c r="E3" s="341" t="s">
        <v>190</v>
      </c>
      <c r="F3" t="s">
        <v>191</v>
      </c>
      <c r="G3" t="s">
        <v>192</v>
      </c>
      <c r="K3" s="175" t="s">
        <v>193</v>
      </c>
      <c r="L3" s="176" t="s">
        <v>188</v>
      </c>
      <c r="M3" s="342" t="s">
        <v>189</v>
      </c>
      <c r="N3" s="342" t="s">
        <v>190</v>
      </c>
      <c r="O3" s="176" t="s">
        <v>191</v>
      </c>
      <c r="P3" s="185" t="s">
        <v>192</v>
      </c>
    </row>
    <row r="4" spans="2:17" x14ac:dyDescent="0.25">
      <c r="B4">
        <v>1</v>
      </c>
      <c r="C4">
        <v>2</v>
      </c>
      <c r="D4" s="341">
        <v>3.1909999999999998</v>
      </c>
      <c r="K4">
        <v>1</v>
      </c>
      <c r="L4">
        <v>1</v>
      </c>
      <c r="M4">
        <v>2.613</v>
      </c>
      <c r="N4">
        <v>2.65</v>
      </c>
    </row>
    <row r="5" spans="2:17" x14ac:dyDescent="0.25">
      <c r="B5">
        <v>2</v>
      </c>
      <c r="C5">
        <v>17</v>
      </c>
      <c r="D5" s="341">
        <v>2.6269999999999998</v>
      </c>
      <c r="E5" s="341">
        <v>2.6070000000000002</v>
      </c>
      <c r="K5">
        <v>3</v>
      </c>
      <c r="L5">
        <v>2</v>
      </c>
      <c r="M5">
        <v>3.0139999999999998</v>
      </c>
      <c r="N5">
        <v>2.9820000000000002</v>
      </c>
      <c r="Q5" s="343" t="s">
        <v>203</v>
      </c>
    </row>
    <row r="6" spans="2:17" x14ac:dyDescent="0.25">
      <c r="B6">
        <v>3</v>
      </c>
      <c r="C6">
        <v>4</v>
      </c>
      <c r="D6" s="341">
        <v>2.5990000000000002</v>
      </c>
      <c r="E6" s="341">
        <v>2.6</v>
      </c>
      <c r="K6">
        <v>5</v>
      </c>
      <c r="L6">
        <v>3</v>
      </c>
      <c r="M6">
        <v>3.1059999999999999</v>
      </c>
      <c r="N6">
        <v>3.17</v>
      </c>
      <c r="O6">
        <v>0</v>
      </c>
      <c r="P6">
        <v>0</v>
      </c>
    </row>
    <row r="7" spans="2:17" x14ac:dyDescent="0.25">
      <c r="B7">
        <v>4</v>
      </c>
      <c r="C7">
        <v>11</v>
      </c>
      <c r="D7" s="341">
        <v>3.12</v>
      </c>
      <c r="E7" s="341">
        <v>3.1680000000000001</v>
      </c>
      <c r="K7">
        <v>2</v>
      </c>
      <c r="L7">
        <v>4</v>
      </c>
      <c r="M7">
        <v>2.8759999999999999</v>
      </c>
      <c r="N7">
        <v>2.7890000000000001</v>
      </c>
    </row>
    <row r="8" spans="2:17" x14ac:dyDescent="0.25">
      <c r="B8">
        <v>5</v>
      </c>
      <c r="C8">
        <v>7</v>
      </c>
      <c r="D8" s="341">
        <v>3.327</v>
      </c>
      <c r="E8" s="341">
        <v>3.0459999999999998</v>
      </c>
      <c r="K8">
        <v>6</v>
      </c>
      <c r="L8">
        <v>5</v>
      </c>
      <c r="M8">
        <v>3.09</v>
      </c>
      <c r="N8">
        <v>3.07</v>
      </c>
    </row>
    <row r="9" spans="2:17" x14ac:dyDescent="0.25">
      <c r="B9">
        <v>6</v>
      </c>
      <c r="C9">
        <v>12</v>
      </c>
      <c r="D9" s="341">
        <v>2.859</v>
      </c>
      <c r="E9" s="341">
        <v>2.5880000000000001</v>
      </c>
      <c r="K9">
        <v>7</v>
      </c>
      <c r="L9">
        <v>6</v>
      </c>
      <c r="M9">
        <v>2.9580000000000002</v>
      </c>
      <c r="N9">
        <v>2.8690000000000002</v>
      </c>
      <c r="P9">
        <v>1</v>
      </c>
    </row>
    <row r="10" spans="2:17" x14ac:dyDescent="0.25">
      <c r="B10">
        <v>7</v>
      </c>
      <c r="C10">
        <v>36</v>
      </c>
      <c r="D10" s="341">
        <v>3.1110000000000002</v>
      </c>
      <c r="E10" s="341">
        <v>3.1850000000000001</v>
      </c>
      <c r="K10">
        <v>9</v>
      </c>
      <c r="L10">
        <v>7</v>
      </c>
      <c r="M10">
        <v>3.1819999999999999</v>
      </c>
      <c r="N10">
        <v>3.081</v>
      </c>
      <c r="P10">
        <v>0</v>
      </c>
    </row>
    <row r="11" spans="2:17" x14ac:dyDescent="0.25">
      <c r="B11">
        <v>8</v>
      </c>
      <c r="C11">
        <v>8</v>
      </c>
      <c r="D11" s="341">
        <v>2.8029999999999999</v>
      </c>
      <c r="E11" s="341">
        <v>2.7509999999999999</v>
      </c>
      <c r="K11">
        <v>114</v>
      </c>
      <c r="L11">
        <v>8</v>
      </c>
      <c r="M11">
        <v>3.0470000000000002</v>
      </c>
      <c r="N11">
        <v>2.9660000000000002</v>
      </c>
    </row>
    <row r="12" spans="2:17" x14ac:dyDescent="0.25">
      <c r="B12">
        <v>9</v>
      </c>
      <c r="C12">
        <v>19</v>
      </c>
      <c r="D12" s="341">
        <v>2.8849999999999998</v>
      </c>
      <c r="E12" s="341">
        <v>2.8359999999999999</v>
      </c>
      <c r="K12">
        <v>11</v>
      </c>
      <c r="L12">
        <v>9</v>
      </c>
      <c r="M12">
        <v>3.109</v>
      </c>
      <c r="N12">
        <v>3.1480000000000001</v>
      </c>
    </row>
    <row r="13" spans="2:17" x14ac:dyDescent="0.25">
      <c r="B13">
        <v>10</v>
      </c>
      <c r="C13">
        <v>10</v>
      </c>
      <c r="D13" s="341">
        <v>3.09</v>
      </c>
      <c r="E13" s="341">
        <v>3.1280000000000001</v>
      </c>
      <c r="K13">
        <v>8</v>
      </c>
      <c r="L13">
        <v>10</v>
      </c>
      <c r="M13">
        <v>2.6720000000000002</v>
      </c>
    </row>
    <row r="14" spans="2:17" x14ac:dyDescent="0.25">
      <c r="B14">
        <v>11</v>
      </c>
      <c r="C14">
        <v>13</v>
      </c>
      <c r="D14" s="341">
        <v>2.61</v>
      </c>
      <c r="E14" s="341">
        <v>2.61</v>
      </c>
      <c r="K14">
        <v>13</v>
      </c>
      <c r="L14">
        <v>11</v>
      </c>
      <c r="M14">
        <v>2.6829999999999998</v>
      </c>
      <c r="N14">
        <v>2.7069999999999999</v>
      </c>
    </row>
    <row r="15" spans="2:17" x14ac:dyDescent="0.25">
      <c r="B15">
        <v>12</v>
      </c>
      <c r="C15">
        <v>15</v>
      </c>
      <c r="D15" s="341">
        <v>3.04</v>
      </c>
      <c r="E15" s="341">
        <v>3.0680000000000001</v>
      </c>
      <c r="K15">
        <v>15</v>
      </c>
      <c r="L15">
        <v>12</v>
      </c>
      <c r="M15">
        <v>2.762</v>
      </c>
      <c r="N15">
        <v>2.9910000000000001</v>
      </c>
      <c r="P15">
        <v>1</v>
      </c>
    </row>
    <row r="16" spans="2:17" x14ac:dyDescent="0.25">
      <c r="B16">
        <v>13</v>
      </c>
      <c r="C16">
        <v>14</v>
      </c>
      <c r="D16" s="341">
        <v>3.0550000000000002</v>
      </c>
      <c r="E16" s="341">
        <v>3.0910000000000002</v>
      </c>
      <c r="K16">
        <v>99</v>
      </c>
      <c r="L16">
        <v>13</v>
      </c>
      <c r="M16">
        <v>3.0720000000000001</v>
      </c>
      <c r="N16">
        <v>2.984</v>
      </c>
      <c r="O16" t="s">
        <v>197</v>
      </c>
      <c r="P16" t="s">
        <v>197</v>
      </c>
    </row>
    <row r="17" spans="2:17" x14ac:dyDescent="0.25">
      <c r="B17">
        <v>14</v>
      </c>
      <c r="C17">
        <v>9</v>
      </c>
      <c r="D17" s="341">
        <v>2.9329999999999998</v>
      </c>
      <c r="K17">
        <v>16</v>
      </c>
      <c r="L17">
        <v>14</v>
      </c>
      <c r="M17">
        <v>3.0569999999999999</v>
      </c>
      <c r="N17">
        <v>3.077</v>
      </c>
    </row>
    <row r="18" spans="2:17" x14ac:dyDescent="0.25">
      <c r="B18">
        <v>15</v>
      </c>
      <c r="C18">
        <v>16</v>
      </c>
      <c r="D18" s="341">
        <v>2.8980000000000001</v>
      </c>
      <c r="K18">
        <v>18</v>
      </c>
      <c r="L18">
        <v>15</v>
      </c>
      <c r="M18">
        <v>2.9430000000000001</v>
      </c>
      <c r="N18">
        <v>3.073</v>
      </c>
      <c r="P18">
        <v>0</v>
      </c>
    </row>
    <row r="19" spans="2:17" x14ac:dyDescent="0.25">
      <c r="B19">
        <v>16</v>
      </c>
      <c r="C19">
        <v>18</v>
      </c>
      <c r="D19" s="341">
        <v>3.052</v>
      </c>
      <c r="E19" s="341">
        <v>2.9940000000000002</v>
      </c>
      <c r="K19">
        <v>20</v>
      </c>
      <c r="L19">
        <v>16</v>
      </c>
      <c r="M19">
        <v>3.1629999999999998</v>
      </c>
      <c r="N19">
        <v>3.1779999999999999</v>
      </c>
    </row>
    <row r="20" spans="2:17" x14ac:dyDescent="0.25">
      <c r="B20">
        <v>17</v>
      </c>
      <c r="C20">
        <v>21</v>
      </c>
      <c r="D20" s="341">
        <v>3.0640000000000001</v>
      </c>
      <c r="E20" s="341">
        <v>3.0819999999999999</v>
      </c>
      <c r="K20">
        <v>21</v>
      </c>
      <c r="L20">
        <v>17</v>
      </c>
      <c r="M20">
        <v>3.0819999999999999</v>
      </c>
      <c r="N20">
        <v>3.0649999999999999</v>
      </c>
    </row>
    <row r="21" spans="2:17" x14ac:dyDescent="0.25">
      <c r="B21">
        <v>18</v>
      </c>
      <c r="C21">
        <v>20</v>
      </c>
      <c r="D21" s="341">
        <v>3.1709999999999998</v>
      </c>
      <c r="K21">
        <v>103</v>
      </c>
      <c r="L21">
        <v>18</v>
      </c>
      <c r="M21">
        <v>2.931</v>
      </c>
      <c r="N21">
        <v>2.492</v>
      </c>
      <c r="O21">
        <v>0</v>
      </c>
      <c r="P21">
        <v>0</v>
      </c>
    </row>
    <row r="22" spans="2:17" x14ac:dyDescent="0.25">
      <c r="B22">
        <v>19</v>
      </c>
      <c r="C22">
        <v>30</v>
      </c>
      <c r="D22" s="341">
        <v>3.0409999999999999</v>
      </c>
      <c r="K22">
        <v>19</v>
      </c>
      <c r="L22">
        <v>19</v>
      </c>
      <c r="M22">
        <v>3.1669999999999998</v>
      </c>
      <c r="N22">
        <v>3.1219999999999999</v>
      </c>
      <c r="O22">
        <v>0</v>
      </c>
      <c r="P22">
        <v>1</v>
      </c>
    </row>
    <row r="23" spans="2:17" x14ac:dyDescent="0.25">
      <c r="B23">
        <v>20</v>
      </c>
      <c r="C23">
        <v>38</v>
      </c>
      <c r="D23" s="341">
        <v>3.17</v>
      </c>
      <c r="K23">
        <v>14</v>
      </c>
      <c r="L23">
        <v>20</v>
      </c>
      <c r="M23">
        <v>3.1709999999999998</v>
      </c>
      <c r="N23">
        <v>3.18</v>
      </c>
      <c r="Q23" t="s">
        <v>199</v>
      </c>
    </row>
    <row r="24" spans="2:17" x14ac:dyDescent="0.25">
      <c r="B24">
        <v>21</v>
      </c>
      <c r="C24">
        <v>31</v>
      </c>
      <c r="D24" s="341">
        <v>3.1280000000000001</v>
      </c>
      <c r="E24" s="341">
        <v>3.129</v>
      </c>
      <c r="K24">
        <v>23</v>
      </c>
      <c r="L24">
        <v>21</v>
      </c>
      <c r="M24">
        <v>2.8860000000000001</v>
      </c>
      <c r="N24">
        <v>2.86</v>
      </c>
    </row>
    <row r="25" spans="2:17" x14ac:dyDescent="0.25">
      <c r="B25">
        <v>22</v>
      </c>
      <c r="C25">
        <v>22</v>
      </c>
      <c r="D25" s="341">
        <v>2.7570000000000001</v>
      </c>
      <c r="E25" s="341">
        <v>2.819</v>
      </c>
      <c r="K25">
        <v>25</v>
      </c>
      <c r="L25">
        <v>22</v>
      </c>
      <c r="M25">
        <v>2.5009999999999999</v>
      </c>
      <c r="N25">
        <v>2.4500000000000002</v>
      </c>
    </row>
    <row r="26" spans="2:17" x14ac:dyDescent="0.25">
      <c r="B26">
        <v>23</v>
      </c>
      <c r="C26">
        <v>25</v>
      </c>
      <c r="D26" s="341">
        <v>2.6890000000000001</v>
      </c>
      <c r="K26">
        <v>10</v>
      </c>
      <c r="L26">
        <v>23</v>
      </c>
      <c r="M26">
        <v>2.9870000000000001</v>
      </c>
      <c r="N26">
        <v>2.9849999999999999</v>
      </c>
    </row>
    <row r="27" spans="2:17" x14ac:dyDescent="0.25">
      <c r="B27">
        <v>24</v>
      </c>
      <c r="C27">
        <v>23</v>
      </c>
      <c r="D27" s="341">
        <v>3.0059999999999998</v>
      </c>
      <c r="K27">
        <v>27</v>
      </c>
      <c r="L27">
        <v>24</v>
      </c>
      <c r="M27">
        <v>3.1629999999999998</v>
      </c>
      <c r="N27">
        <v>3.16</v>
      </c>
    </row>
    <row r="28" spans="2:17" x14ac:dyDescent="0.25">
      <c r="B28">
        <v>25</v>
      </c>
      <c r="C28">
        <v>1</v>
      </c>
      <c r="D28" s="341">
        <v>3.1789999999999998</v>
      </c>
      <c r="E28" s="341">
        <v>3.177</v>
      </c>
      <c r="K28">
        <v>29</v>
      </c>
      <c r="L28">
        <v>25</v>
      </c>
      <c r="M28">
        <v>2.6259999999999999</v>
      </c>
    </row>
    <row r="29" spans="2:17" x14ac:dyDescent="0.25">
      <c r="B29">
        <v>26</v>
      </c>
      <c r="C29">
        <v>27</v>
      </c>
      <c r="D29" s="341">
        <v>2.875</v>
      </c>
      <c r="K29">
        <v>31</v>
      </c>
      <c r="L29">
        <v>26</v>
      </c>
      <c r="M29">
        <v>3.044</v>
      </c>
      <c r="N29">
        <v>2.9079999999999999</v>
      </c>
      <c r="O29">
        <v>0</v>
      </c>
      <c r="P29">
        <v>0</v>
      </c>
    </row>
    <row r="30" spans="2:17" x14ac:dyDescent="0.25">
      <c r="B30">
        <v>27</v>
      </c>
      <c r="C30">
        <v>32</v>
      </c>
      <c r="D30" s="341">
        <v>2.774</v>
      </c>
      <c r="E30" s="341">
        <v>2.7919999999999998</v>
      </c>
      <c r="K30">
        <v>26</v>
      </c>
      <c r="L30">
        <v>27</v>
      </c>
      <c r="M30">
        <v>2.8959999999999999</v>
      </c>
      <c r="N30">
        <v>2.8140000000000001</v>
      </c>
    </row>
    <row r="31" spans="2:17" x14ac:dyDescent="0.25">
      <c r="B31">
        <v>28</v>
      </c>
      <c r="C31">
        <v>28</v>
      </c>
      <c r="D31" s="341">
        <v>3.105</v>
      </c>
      <c r="K31">
        <v>32</v>
      </c>
      <c r="L31">
        <v>28</v>
      </c>
      <c r="M31">
        <v>3.1869999999999998</v>
      </c>
      <c r="N31">
        <v>3.1560000000000001</v>
      </c>
    </row>
    <row r="32" spans="2:17" x14ac:dyDescent="0.25">
      <c r="B32">
        <v>29</v>
      </c>
      <c r="C32">
        <v>6</v>
      </c>
      <c r="D32" s="341">
        <v>3.0019999999999998</v>
      </c>
      <c r="K32">
        <v>34</v>
      </c>
      <c r="L32">
        <v>30</v>
      </c>
      <c r="M32">
        <v>3.0150000000000001</v>
      </c>
      <c r="N32">
        <v>2.9710000000000001</v>
      </c>
    </row>
    <row r="33" spans="2:16" x14ac:dyDescent="0.25">
      <c r="B33">
        <v>30</v>
      </c>
      <c r="C33">
        <v>29</v>
      </c>
      <c r="D33" s="341">
        <v>3.1829999999999998</v>
      </c>
      <c r="K33">
        <v>38</v>
      </c>
      <c r="L33">
        <v>31</v>
      </c>
      <c r="M33">
        <v>2.7890000000000001</v>
      </c>
      <c r="N33">
        <v>2.7389999999999999</v>
      </c>
    </row>
    <row r="34" spans="2:16" x14ac:dyDescent="0.25">
      <c r="B34">
        <v>31</v>
      </c>
      <c r="C34">
        <v>33</v>
      </c>
      <c r="D34" s="341">
        <v>3.1640000000000001</v>
      </c>
      <c r="K34">
        <v>35</v>
      </c>
      <c r="L34">
        <v>32</v>
      </c>
      <c r="M34">
        <v>2.6469999999999998</v>
      </c>
      <c r="N34">
        <v>2.621</v>
      </c>
    </row>
    <row r="35" spans="2:16" x14ac:dyDescent="0.25">
      <c r="B35">
        <v>32</v>
      </c>
      <c r="C35">
        <v>5</v>
      </c>
      <c r="D35" s="341">
        <v>3.0419999999999998</v>
      </c>
      <c r="E35" s="341">
        <v>3.0649999999999999</v>
      </c>
      <c r="K35">
        <v>94</v>
      </c>
      <c r="L35">
        <v>33</v>
      </c>
      <c r="M35">
        <v>3.1970000000000001</v>
      </c>
      <c r="N35">
        <v>3.0430000000000001</v>
      </c>
    </row>
    <row r="36" spans="2:16" x14ac:dyDescent="0.25">
      <c r="B36">
        <v>33</v>
      </c>
      <c r="C36">
        <v>26</v>
      </c>
      <c r="D36" s="341">
        <v>2.988</v>
      </c>
      <c r="K36">
        <v>116</v>
      </c>
      <c r="L36">
        <v>34</v>
      </c>
      <c r="M36">
        <v>2.5470000000000002</v>
      </c>
      <c r="O36">
        <v>0</v>
      </c>
    </row>
    <row r="37" spans="2:16" x14ac:dyDescent="0.25">
      <c r="B37">
        <v>34</v>
      </c>
      <c r="C37">
        <v>34</v>
      </c>
      <c r="D37" s="341">
        <v>2.9279999999999999</v>
      </c>
      <c r="K37">
        <v>74</v>
      </c>
      <c r="L37">
        <v>35</v>
      </c>
      <c r="M37">
        <v>3.0289999999999999</v>
      </c>
      <c r="N37">
        <v>2.9849999999999999</v>
      </c>
    </row>
    <row r="38" spans="2:16" x14ac:dyDescent="0.25">
      <c r="B38">
        <v>35</v>
      </c>
      <c r="C38">
        <v>37</v>
      </c>
      <c r="D38" s="341">
        <v>2.6019999999999999</v>
      </c>
      <c r="E38" s="341">
        <v>2.6379999999999999</v>
      </c>
      <c r="K38">
        <v>44</v>
      </c>
      <c r="L38">
        <v>36</v>
      </c>
      <c r="M38">
        <v>2.8370000000000002</v>
      </c>
      <c r="N38">
        <v>2.91</v>
      </c>
    </row>
    <row r="39" spans="2:16" x14ac:dyDescent="0.25">
      <c r="B39">
        <v>36</v>
      </c>
      <c r="C39">
        <v>35</v>
      </c>
      <c r="D39" s="341">
        <v>2.6659999999999999</v>
      </c>
      <c r="E39" s="341">
        <v>2.7719999999999998</v>
      </c>
      <c r="K39">
        <v>22</v>
      </c>
      <c r="L39">
        <v>37</v>
      </c>
      <c r="M39">
        <v>3.1429999999999998</v>
      </c>
      <c r="N39">
        <v>3.1190000000000002</v>
      </c>
    </row>
    <row r="40" spans="2:16" x14ac:dyDescent="0.25">
      <c r="B40">
        <v>37</v>
      </c>
      <c r="C40">
        <v>24</v>
      </c>
      <c r="D40" s="341">
        <v>3.0739999999999998</v>
      </c>
      <c r="E40" s="341">
        <v>3.052</v>
      </c>
      <c r="K40">
        <v>37</v>
      </c>
      <c r="L40">
        <v>38</v>
      </c>
      <c r="M40">
        <v>2.9969999999999999</v>
      </c>
    </row>
    <row r="41" spans="2:16" x14ac:dyDescent="0.25">
      <c r="B41">
        <v>38</v>
      </c>
      <c r="C41">
        <v>39</v>
      </c>
      <c r="D41" s="341">
        <v>3.0939999999999999</v>
      </c>
      <c r="E41" s="341">
        <v>3.0179999999999998</v>
      </c>
      <c r="F41">
        <v>0</v>
      </c>
      <c r="K41">
        <v>39</v>
      </c>
      <c r="L41">
        <v>39</v>
      </c>
      <c r="M41">
        <v>2.919</v>
      </c>
      <c r="N41">
        <v>2.7839999999999998</v>
      </c>
      <c r="O41">
        <v>0</v>
      </c>
      <c r="P41">
        <v>0</v>
      </c>
    </row>
    <row r="42" spans="2:16" x14ac:dyDescent="0.25">
      <c r="B42">
        <v>39</v>
      </c>
      <c r="C42">
        <v>40</v>
      </c>
      <c r="D42" s="341">
        <v>3.2109999999999999</v>
      </c>
      <c r="E42" s="341">
        <v>3.21</v>
      </c>
      <c r="K42">
        <v>17</v>
      </c>
      <c r="L42">
        <v>40</v>
      </c>
      <c r="M42">
        <v>2.7440000000000002</v>
      </c>
    </row>
    <row r="43" spans="2:16" x14ac:dyDescent="0.25">
      <c r="B43">
        <v>40</v>
      </c>
      <c r="C43">
        <v>3</v>
      </c>
      <c r="D43" s="341">
        <v>2.988</v>
      </c>
      <c r="E43" s="341">
        <v>2.9039999999999999</v>
      </c>
      <c r="K43">
        <v>56</v>
      </c>
      <c r="L43">
        <v>41</v>
      </c>
      <c r="M43">
        <v>2.9209999999999998</v>
      </c>
      <c r="N43">
        <v>2.9020000000000001</v>
      </c>
    </row>
    <row r="44" spans="2:16" x14ac:dyDescent="0.25">
      <c r="K44">
        <v>40</v>
      </c>
      <c r="L44">
        <v>42</v>
      </c>
      <c r="M44">
        <v>3.0619999999999998</v>
      </c>
      <c r="N44">
        <v>3.0529999999999999</v>
      </c>
    </row>
    <row r="45" spans="2:16" x14ac:dyDescent="0.25">
      <c r="K45">
        <v>75</v>
      </c>
      <c r="L45">
        <v>43</v>
      </c>
      <c r="M45">
        <v>3.097</v>
      </c>
      <c r="N45">
        <v>3.0920000000000001</v>
      </c>
    </row>
    <row r="46" spans="2:16" x14ac:dyDescent="0.25">
      <c r="K46">
        <v>105</v>
      </c>
      <c r="L46">
        <v>44</v>
      </c>
      <c r="M46">
        <v>2.9510000000000001</v>
      </c>
      <c r="N46">
        <v>2.9340000000000002</v>
      </c>
    </row>
    <row r="47" spans="2:16" x14ac:dyDescent="0.25">
      <c r="K47">
        <v>42</v>
      </c>
      <c r="L47">
        <v>45</v>
      </c>
      <c r="M47">
        <v>2.5569999999999999</v>
      </c>
      <c r="N47">
        <v>2.4580000000000002</v>
      </c>
    </row>
    <row r="48" spans="2:16" x14ac:dyDescent="0.25">
      <c r="K48">
        <v>45</v>
      </c>
      <c r="L48">
        <v>46</v>
      </c>
      <c r="M48">
        <v>2.8759999999999999</v>
      </c>
      <c r="N48">
        <v>2.8460000000000001</v>
      </c>
    </row>
    <row r="49" spans="11:16" x14ac:dyDescent="0.25">
      <c r="K49">
        <v>47</v>
      </c>
      <c r="L49">
        <v>47</v>
      </c>
      <c r="M49">
        <v>2.7160000000000002</v>
      </c>
      <c r="N49">
        <v>2.79</v>
      </c>
    </row>
    <row r="50" spans="11:16" x14ac:dyDescent="0.25">
      <c r="K50">
        <v>49</v>
      </c>
      <c r="L50">
        <v>48</v>
      </c>
      <c r="M50">
        <v>3.1389999999999998</v>
      </c>
      <c r="N50">
        <v>3.08</v>
      </c>
    </row>
    <row r="51" spans="11:16" x14ac:dyDescent="0.25">
      <c r="K51">
        <v>24</v>
      </c>
      <c r="L51">
        <v>49</v>
      </c>
      <c r="M51">
        <v>2.7810000000000001</v>
      </c>
      <c r="N51">
        <v>3.1389999999999998</v>
      </c>
      <c r="O51" t="s">
        <v>196</v>
      </c>
    </row>
    <row r="52" spans="11:16" x14ac:dyDescent="0.25">
      <c r="K52">
        <v>28</v>
      </c>
      <c r="L52">
        <v>50</v>
      </c>
      <c r="M52">
        <v>3.01</v>
      </c>
      <c r="N52">
        <v>2.9369999999999998</v>
      </c>
      <c r="O52">
        <v>0</v>
      </c>
      <c r="P52">
        <v>1</v>
      </c>
    </row>
    <row r="53" spans="11:16" x14ac:dyDescent="0.25">
      <c r="K53">
        <v>41</v>
      </c>
      <c r="L53">
        <v>51</v>
      </c>
      <c r="M53">
        <v>2.5489999999999999</v>
      </c>
      <c r="N53">
        <v>2.5379999999999998</v>
      </c>
    </row>
    <row r="54" spans="11:16" x14ac:dyDescent="0.25">
      <c r="K54">
        <v>12</v>
      </c>
      <c r="L54">
        <v>52</v>
      </c>
      <c r="M54">
        <v>2.6989999999999998</v>
      </c>
      <c r="N54">
        <v>2.7349999999999999</v>
      </c>
    </row>
    <row r="55" spans="11:16" x14ac:dyDescent="0.25">
      <c r="K55">
        <v>51</v>
      </c>
      <c r="L55">
        <v>53</v>
      </c>
      <c r="M55">
        <v>3.1040000000000001</v>
      </c>
    </row>
    <row r="56" spans="11:16" x14ac:dyDescent="0.25">
      <c r="K56">
        <v>52</v>
      </c>
      <c r="L56">
        <v>54</v>
      </c>
      <c r="M56">
        <v>3.2509999999999999</v>
      </c>
      <c r="N56">
        <v>3.2040000000000002</v>
      </c>
      <c r="P56">
        <v>1</v>
      </c>
    </row>
    <row r="57" spans="11:16" x14ac:dyDescent="0.25">
      <c r="K57">
        <v>53</v>
      </c>
      <c r="L57">
        <v>55</v>
      </c>
      <c r="M57">
        <v>2.9340000000000002</v>
      </c>
      <c r="N57">
        <v>2.931</v>
      </c>
    </row>
    <row r="58" spans="11:16" x14ac:dyDescent="0.25">
      <c r="K58">
        <v>54</v>
      </c>
      <c r="L58">
        <v>56</v>
      </c>
      <c r="M58">
        <v>2.5680000000000001</v>
      </c>
      <c r="N58">
        <v>2.4940000000000002</v>
      </c>
    </row>
    <row r="59" spans="11:16" x14ac:dyDescent="0.25">
      <c r="K59">
        <v>48</v>
      </c>
      <c r="L59">
        <v>57</v>
      </c>
      <c r="M59">
        <v>2.762</v>
      </c>
      <c r="N59">
        <v>3.048</v>
      </c>
    </row>
    <row r="60" spans="11:16" x14ac:dyDescent="0.25">
      <c r="K60">
        <v>55</v>
      </c>
      <c r="L60">
        <v>58</v>
      </c>
      <c r="M60">
        <v>3.129</v>
      </c>
    </row>
    <row r="61" spans="11:16" x14ac:dyDescent="0.25">
      <c r="K61">
        <v>57</v>
      </c>
      <c r="L61">
        <v>59</v>
      </c>
      <c r="M61">
        <v>2.718</v>
      </c>
      <c r="N61">
        <v>2.7530000000000001</v>
      </c>
    </row>
    <row r="62" spans="11:16" x14ac:dyDescent="0.25">
      <c r="K62">
        <v>58</v>
      </c>
      <c r="L62">
        <v>60</v>
      </c>
      <c r="M62">
        <v>3.1779999999999999</v>
      </c>
      <c r="N62">
        <v>3.1589999999999998</v>
      </c>
      <c r="P62">
        <v>0</v>
      </c>
    </row>
    <row r="63" spans="11:16" x14ac:dyDescent="0.25">
      <c r="K63">
        <v>4</v>
      </c>
      <c r="L63">
        <v>61</v>
      </c>
      <c r="M63">
        <v>2.7</v>
      </c>
      <c r="N63">
        <v>3.1669999999999998</v>
      </c>
      <c r="O63">
        <v>0</v>
      </c>
      <c r="P63">
        <v>0</v>
      </c>
    </row>
    <row r="64" spans="11:16" x14ac:dyDescent="0.25">
      <c r="K64">
        <v>46</v>
      </c>
      <c r="L64">
        <v>62</v>
      </c>
      <c r="M64">
        <v>3.073</v>
      </c>
      <c r="N64">
        <v>2.75</v>
      </c>
      <c r="O64">
        <v>1</v>
      </c>
      <c r="P64">
        <v>0</v>
      </c>
    </row>
    <row r="65" spans="11:16" x14ac:dyDescent="0.25">
      <c r="K65">
        <v>59</v>
      </c>
      <c r="L65">
        <v>63</v>
      </c>
      <c r="M65">
        <v>2.9020000000000001</v>
      </c>
      <c r="N65">
        <v>2.9129999999999998</v>
      </c>
    </row>
    <row r="66" spans="11:16" x14ac:dyDescent="0.25">
      <c r="K66">
        <v>61</v>
      </c>
      <c r="L66">
        <v>64</v>
      </c>
      <c r="M66">
        <v>2.7370000000000001</v>
      </c>
      <c r="N66">
        <v>2.7690000000000001</v>
      </c>
      <c r="P66">
        <v>0</v>
      </c>
    </row>
    <row r="67" spans="11:16" x14ac:dyDescent="0.25">
      <c r="K67">
        <v>63</v>
      </c>
      <c r="L67">
        <v>65</v>
      </c>
      <c r="M67">
        <v>3.153</v>
      </c>
      <c r="N67">
        <v>3.13</v>
      </c>
    </row>
    <row r="68" spans="11:16" x14ac:dyDescent="0.25">
      <c r="K68">
        <v>65</v>
      </c>
      <c r="L68">
        <v>66</v>
      </c>
      <c r="M68">
        <v>3.1389999999999998</v>
      </c>
      <c r="N68">
        <v>3.02</v>
      </c>
    </row>
    <row r="69" spans="11:16" x14ac:dyDescent="0.25">
      <c r="K69">
        <v>67</v>
      </c>
      <c r="L69">
        <v>67</v>
      </c>
      <c r="M69">
        <v>3.1389999999999998</v>
      </c>
      <c r="N69">
        <v>3.1110000000000002</v>
      </c>
      <c r="O69">
        <v>1</v>
      </c>
    </row>
    <row r="70" spans="11:16" x14ac:dyDescent="0.25">
      <c r="K70">
        <v>68</v>
      </c>
      <c r="L70">
        <v>68</v>
      </c>
      <c r="M70">
        <v>2.7490000000000001</v>
      </c>
      <c r="N70">
        <v>2.9649999999999999</v>
      </c>
      <c r="O70" t="s">
        <v>197</v>
      </c>
      <c r="P70">
        <v>1</v>
      </c>
    </row>
    <row r="71" spans="11:16" x14ac:dyDescent="0.25">
      <c r="K71">
        <v>69</v>
      </c>
      <c r="L71">
        <v>69</v>
      </c>
      <c r="M71">
        <v>3.0579999999999998</v>
      </c>
      <c r="N71">
        <v>3.17</v>
      </c>
      <c r="O71">
        <v>0</v>
      </c>
      <c r="P71" t="s">
        <v>197</v>
      </c>
    </row>
    <row r="72" spans="11:16" x14ac:dyDescent="0.25">
      <c r="K72">
        <v>70</v>
      </c>
      <c r="L72">
        <v>70</v>
      </c>
      <c r="M72">
        <v>2.94</v>
      </c>
      <c r="N72">
        <v>2.8839999999999999</v>
      </c>
      <c r="O72">
        <v>0</v>
      </c>
      <c r="P72" t="s">
        <v>197</v>
      </c>
    </row>
    <row r="73" spans="11:16" x14ac:dyDescent="0.25">
      <c r="K73">
        <v>83</v>
      </c>
      <c r="L73">
        <v>71</v>
      </c>
      <c r="M73">
        <v>2.7189999999999999</v>
      </c>
      <c r="N73">
        <v>2.7730000000000001</v>
      </c>
    </row>
    <row r="74" spans="11:16" x14ac:dyDescent="0.25">
      <c r="K74">
        <v>66</v>
      </c>
      <c r="L74">
        <v>72</v>
      </c>
      <c r="M74">
        <v>3.0329999999999999</v>
      </c>
      <c r="N74">
        <v>3.1349999999999998</v>
      </c>
    </row>
    <row r="75" spans="11:16" x14ac:dyDescent="0.25">
      <c r="K75">
        <v>36</v>
      </c>
      <c r="L75">
        <v>73</v>
      </c>
      <c r="M75">
        <v>2.85</v>
      </c>
      <c r="N75">
        <v>2.8239999999999998</v>
      </c>
    </row>
    <row r="76" spans="11:16" x14ac:dyDescent="0.25">
      <c r="K76">
        <v>71</v>
      </c>
      <c r="L76">
        <v>74</v>
      </c>
      <c r="M76">
        <v>2.621</v>
      </c>
      <c r="N76">
        <v>2.6</v>
      </c>
    </row>
    <row r="77" spans="11:16" x14ac:dyDescent="0.25">
      <c r="K77">
        <v>73</v>
      </c>
      <c r="L77">
        <v>75</v>
      </c>
      <c r="M77">
        <v>2.573</v>
      </c>
    </row>
    <row r="78" spans="11:16" x14ac:dyDescent="0.25">
      <c r="K78">
        <v>64</v>
      </c>
      <c r="L78">
        <v>76</v>
      </c>
      <c r="M78">
        <v>2.94</v>
      </c>
      <c r="N78">
        <v>2.9319999999999999</v>
      </c>
    </row>
    <row r="79" spans="11:16" x14ac:dyDescent="0.25">
      <c r="K79">
        <v>30</v>
      </c>
      <c r="L79">
        <v>77</v>
      </c>
      <c r="M79">
        <v>2.92</v>
      </c>
    </row>
    <row r="80" spans="11:16" x14ac:dyDescent="0.25">
      <c r="K80">
        <v>72</v>
      </c>
      <c r="L80">
        <v>78</v>
      </c>
      <c r="M80">
        <v>2.782</v>
      </c>
      <c r="N80">
        <v>2.7850000000000001</v>
      </c>
    </row>
    <row r="81" spans="11:16" x14ac:dyDescent="0.25">
      <c r="K81">
        <v>76</v>
      </c>
      <c r="L81">
        <v>79</v>
      </c>
      <c r="M81">
        <v>3.1059999999999999</v>
      </c>
      <c r="N81">
        <v>2.0259999999999998</v>
      </c>
    </row>
    <row r="82" spans="11:16" x14ac:dyDescent="0.25">
      <c r="K82">
        <v>60</v>
      </c>
      <c r="L82">
        <v>80</v>
      </c>
      <c r="M82">
        <v>2.7090000000000001</v>
      </c>
      <c r="N82">
        <v>2.61</v>
      </c>
      <c r="P82">
        <v>0</v>
      </c>
    </row>
    <row r="83" spans="11:16" x14ac:dyDescent="0.25">
      <c r="K83">
        <v>78</v>
      </c>
      <c r="L83">
        <v>81</v>
      </c>
      <c r="M83">
        <v>3.0619999999999998</v>
      </c>
      <c r="N83">
        <v>3.044</v>
      </c>
    </row>
    <row r="84" spans="11:16" x14ac:dyDescent="0.25">
      <c r="K84">
        <v>80</v>
      </c>
      <c r="L84">
        <v>82</v>
      </c>
      <c r="M84">
        <v>2.5249999999999999</v>
      </c>
    </row>
    <row r="85" spans="11:16" x14ac:dyDescent="0.25">
      <c r="K85">
        <v>62</v>
      </c>
      <c r="L85">
        <v>83</v>
      </c>
      <c r="M85">
        <v>2.7170000000000001</v>
      </c>
      <c r="N85">
        <v>2.7189999999999999</v>
      </c>
    </row>
    <row r="86" spans="11:16" x14ac:dyDescent="0.25">
      <c r="K86">
        <v>81</v>
      </c>
      <c r="L86">
        <v>84</v>
      </c>
      <c r="M86">
        <v>2.911</v>
      </c>
      <c r="N86">
        <v>3.1070000000000002</v>
      </c>
      <c r="P86">
        <v>0</v>
      </c>
    </row>
    <row r="87" spans="11:16" x14ac:dyDescent="0.25">
      <c r="K87">
        <v>50</v>
      </c>
      <c r="L87">
        <v>85</v>
      </c>
      <c r="M87">
        <v>2.92</v>
      </c>
      <c r="N87">
        <v>2.7280000000000002</v>
      </c>
    </row>
    <row r="88" spans="11:16" x14ac:dyDescent="0.25">
      <c r="K88">
        <v>43</v>
      </c>
      <c r="L88">
        <v>86</v>
      </c>
      <c r="M88">
        <v>2.7549999999999999</v>
      </c>
      <c r="N88">
        <v>2.766</v>
      </c>
    </row>
    <row r="89" spans="11:16" x14ac:dyDescent="0.25">
      <c r="K89">
        <v>79</v>
      </c>
      <c r="L89">
        <v>87</v>
      </c>
      <c r="M89">
        <v>3.13</v>
      </c>
      <c r="N89">
        <v>3.1779999999999999</v>
      </c>
      <c r="P89" t="s">
        <v>198</v>
      </c>
    </row>
    <row r="90" spans="11:16" x14ac:dyDescent="0.25">
      <c r="K90">
        <v>82</v>
      </c>
      <c r="L90">
        <v>88</v>
      </c>
      <c r="M90">
        <v>2.8479999999999999</v>
      </c>
      <c r="N90">
        <v>2.8330000000000002</v>
      </c>
    </row>
    <row r="91" spans="11:16" x14ac:dyDescent="0.25">
      <c r="K91">
        <v>84</v>
      </c>
      <c r="L91">
        <v>89</v>
      </c>
      <c r="M91">
        <v>3.13</v>
      </c>
      <c r="N91">
        <v>3.0350000000000001</v>
      </c>
    </row>
    <row r="92" spans="11:16" x14ac:dyDescent="0.25">
      <c r="K92">
        <v>86</v>
      </c>
      <c r="L92">
        <v>90</v>
      </c>
      <c r="M92">
        <v>3.0339999999999998</v>
      </c>
      <c r="N92">
        <v>3.077</v>
      </c>
    </row>
    <row r="93" spans="11:16" x14ac:dyDescent="0.25">
      <c r="K93">
        <v>97</v>
      </c>
      <c r="L93">
        <v>91</v>
      </c>
      <c r="M93">
        <v>2.8050000000000002</v>
      </c>
      <c r="N93">
        <v>2.74</v>
      </c>
    </row>
    <row r="94" spans="11:16" x14ac:dyDescent="0.25">
      <c r="K94">
        <v>88</v>
      </c>
      <c r="L94">
        <v>92</v>
      </c>
      <c r="M94">
        <v>3.07</v>
      </c>
    </row>
    <row r="95" spans="11:16" x14ac:dyDescent="0.25">
      <c r="K95">
        <v>90</v>
      </c>
      <c r="L95">
        <v>93</v>
      </c>
      <c r="M95">
        <v>2.96</v>
      </c>
      <c r="N95">
        <v>3.077</v>
      </c>
      <c r="P95" t="s">
        <v>198</v>
      </c>
    </row>
    <row r="96" spans="11:16" x14ac:dyDescent="0.25">
      <c r="K96">
        <v>92</v>
      </c>
      <c r="L96">
        <v>94</v>
      </c>
      <c r="M96">
        <v>2.863</v>
      </c>
      <c r="N96">
        <v>2.8069999999999999</v>
      </c>
    </row>
    <row r="97" spans="11:16" x14ac:dyDescent="0.25">
      <c r="K97">
        <v>95</v>
      </c>
      <c r="L97">
        <v>95</v>
      </c>
      <c r="M97">
        <v>3.1070000000000002</v>
      </c>
      <c r="N97">
        <v>3.1190000000000002</v>
      </c>
    </row>
    <row r="98" spans="11:16" x14ac:dyDescent="0.25">
      <c r="K98">
        <v>91</v>
      </c>
      <c r="L98">
        <v>96</v>
      </c>
      <c r="M98">
        <v>3.02</v>
      </c>
      <c r="N98">
        <v>2.9649999999999999</v>
      </c>
      <c r="O98" t="s">
        <v>197</v>
      </c>
      <c r="P98" t="s">
        <v>198</v>
      </c>
    </row>
    <row r="99" spans="11:16" x14ac:dyDescent="0.25">
      <c r="K99">
        <v>89</v>
      </c>
      <c r="L99">
        <v>97</v>
      </c>
      <c r="M99">
        <v>2.7639999999999998</v>
      </c>
      <c r="N99">
        <v>2.8050000000000002</v>
      </c>
    </row>
    <row r="100" spans="11:16" x14ac:dyDescent="0.25">
      <c r="K100">
        <v>96</v>
      </c>
      <c r="L100">
        <v>98</v>
      </c>
      <c r="M100">
        <v>3.04</v>
      </c>
      <c r="N100">
        <v>3.0539999999999998</v>
      </c>
      <c r="O100">
        <v>1</v>
      </c>
    </row>
    <row r="101" spans="11:16" x14ac:dyDescent="0.25">
      <c r="K101">
        <v>93</v>
      </c>
      <c r="L101">
        <v>99</v>
      </c>
      <c r="M101">
        <v>2.6080000000000001</v>
      </c>
      <c r="N101">
        <v>2.718</v>
      </c>
    </row>
    <row r="102" spans="11:16" x14ac:dyDescent="0.25">
      <c r="K102">
        <v>98</v>
      </c>
      <c r="L102">
        <v>100</v>
      </c>
      <c r="M102">
        <v>2.863</v>
      </c>
      <c r="N102">
        <v>2.887</v>
      </c>
    </row>
    <row r="103" spans="11:16" x14ac:dyDescent="0.25">
      <c r="K103">
        <v>100</v>
      </c>
      <c r="L103">
        <v>101</v>
      </c>
      <c r="M103">
        <v>3.1739999999999999</v>
      </c>
      <c r="N103">
        <v>3.19</v>
      </c>
    </row>
    <row r="104" spans="11:16" x14ac:dyDescent="0.25">
      <c r="K104">
        <v>102</v>
      </c>
      <c r="L104">
        <v>102</v>
      </c>
      <c r="M104">
        <v>3.2410000000000001</v>
      </c>
      <c r="N104">
        <v>3.1960000000000002</v>
      </c>
      <c r="O104">
        <v>0</v>
      </c>
      <c r="P104">
        <v>0</v>
      </c>
    </row>
    <row r="105" spans="11:16" x14ac:dyDescent="0.25">
      <c r="K105">
        <v>104</v>
      </c>
      <c r="L105">
        <v>103</v>
      </c>
      <c r="M105">
        <v>2.782</v>
      </c>
      <c r="N105">
        <v>2.7759999999999998</v>
      </c>
    </row>
    <row r="106" spans="11:16" x14ac:dyDescent="0.25">
      <c r="K106">
        <v>106</v>
      </c>
      <c r="L106">
        <v>104</v>
      </c>
      <c r="M106">
        <v>3.0470000000000002</v>
      </c>
      <c r="N106">
        <v>3.0529999999999999</v>
      </c>
    </row>
    <row r="107" spans="11:16" x14ac:dyDescent="0.25">
      <c r="K107">
        <v>33</v>
      </c>
      <c r="L107">
        <v>105</v>
      </c>
      <c r="M107">
        <v>2.907</v>
      </c>
      <c r="N107">
        <v>2.9449999999999998</v>
      </c>
    </row>
    <row r="108" spans="11:16" x14ac:dyDescent="0.25">
      <c r="K108">
        <v>85</v>
      </c>
      <c r="L108">
        <v>106</v>
      </c>
      <c r="M108">
        <v>3.105</v>
      </c>
      <c r="N108">
        <v>3.0470000000000002</v>
      </c>
    </row>
    <row r="109" spans="11:16" x14ac:dyDescent="0.25">
      <c r="K109">
        <v>108</v>
      </c>
      <c r="L109">
        <v>107</v>
      </c>
      <c r="M109">
        <v>3.0329999999999999</v>
      </c>
      <c r="N109">
        <v>2.98</v>
      </c>
    </row>
    <row r="110" spans="11:16" x14ac:dyDescent="0.25">
      <c r="K110">
        <v>109</v>
      </c>
      <c r="L110">
        <v>108</v>
      </c>
      <c r="M110">
        <v>3.17</v>
      </c>
      <c r="N110">
        <v>3.13</v>
      </c>
      <c r="P110">
        <v>0</v>
      </c>
    </row>
    <row r="111" spans="11:16" x14ac:dyDescent="0.25">
      <c r="K111">
        <v>101</v>
      </c>
      <c r="L111">
        <v>109</v>
      </c>
      <c r="M111">
        <v>2.9409999999999998</v>
      </c>
      <c r="N111">
        <v>2.9430000000000001</v>
      </c>
    </row>
    <row r="112" spans="11:16" x14ac:dyDescent="0.25">
      <c r="K112">
        <v>107</v>
      </c>
      <c r="L112">
        <v>110</v>
      </c>
      <c r="M112">
        <v>2.8460000000000001</v>
      </c>
      <c r="N112">
        <v>2.8439999999999999</v>
      </c>
    </row>
    <row r="113" spans="11:16" x14ac:dyDescent="0.25">
      <c r="K113">
        <v>110</v>
      </c>
      <c r="L113">
        <v>111</v>
      </c>
      <c r="M113">
        <v>2.8420000000000001</v>
      </c>
      <c r="N113">
        <v>2.8439999999999999</v>
      </c>
    </row>
    <row r="114" spans="11:16" x14ac:dyDescent="0.25">
      <c r="K114">
        <v>111</v>
      </c>
      <c r="L114">
        <v>112</v>
      </c>
      <c r="M114">
        <v>3.01</v>
      </c>
      <c r="N114">
        <v>3.032</v>
      </c>
    </row>
    <row r="115" spans="11:16" x14ac:dyDescent="0.25">
      <c r="K115">
        <v>77</v>
      </c>
      <c r="L115">
        <v>113</v>
      </c>
      <c r="M115">
        <v>2.702</v>
      </c>
      <c r="N115">
        <v>2.653</v>
      </c>
    </row>
    <row r="116" spans="11:16" x14ac:dyDescent="0.25">
      <c r="K116">
        <v>87</v>
      </c>
      <c r="L116">
        <v>114</v>
      </c>
      <c r="M116">
        <v>2.984</v>
      </c>
      <c r="N116">
        <v>3.0150000000000001</v>
      </c>
    </row>
    <row r="117" spans="11:16" x14ac:dyDescent="0.25">
      <c r="K117">
        <v>113</v>
      </c>
      <c r="L117">
        <v>115</v>
      </c>
      <c r="M117">
        <v>2.8010000000000002</v>
      </c>
      <c r="N117">
        <v>2.827</v>
      </c>
    </row>
    <row r="118" spans="11:16" x14ac:dyDescent="0.25">
      <c r="K118">
        <v>112</v>
      </c>
      <c r="L118">
        <v>116</v>
      </c>
      <c r="M118">
        <v>2.722</v>
      </c>
      <c r="N118">
        <v>2.742</v>
      </c>
    </row>
    <row r="119" spans="11:16" x14ac:dyDescent="0.25">
      <c r="K119">
        <v>118</v>
      </c>
      <c r="L119">
        <v>117</v>
      </c>
      <c r="M119">
        <v>3.008</v>
      </c>
      <c r="N119">
        <v>2.8889999999999998</v>
      </c>
      <c r="O119">
        <v>1</v>
      </c>
      <c r="P119">
        <v>0</v>
      </c>
    </row>
    <row r="120" spans="11:16" x14ac:dyDescent="0.25">
      <c r="K120">
        <v>115</v>
      </c>
      <c r="L120">
        <v>118</v>
      </c>
      <c r="M120">
        <v>3.01</v>
      </c>
      <c r="N120">
        <v>3.0950000000000002</v>
      </c>
      <c r="O120">
        <v>1</v>
      </c>
    </row>
    <row r="121" spans="11:16" x14ac:dyDescent="0.25">
      <c r="K121">
        <v>117</v>
      </c>
      <c r="L121">
        <v>119</v>
      </c>
      <c r="M121">
        <v>2.9649999999999999</v>
      </c>
      <c r="N121">
        <v>2.944</v>
      </c>
    </row>
    <row r="122" spans="11:16" x14ac:dyDescent="0.25">
      <c r="K122">
        <v>119</v>
      </c>
      <c r="L122">
        <v>120</v>
      </c>
      <c r="M122">
        <v>2.9489999999999998</v>
      </c>
      <c r="N122">
        <v>2.97</v>
      </c>
    </row>
    <row r="123" spans="11:16" x14ac:dyDescent="0.25">
      <c r="K123">
        <v>120</v>
      </c>
    </row>
  </sheetData>
  <mergeCells count="2">
    <mergeCell ref="C1:E1"/>
    <mergeCell ref="L1:N1"/>
  </mergeCells>
  <conditionalFormatting sqref="C1:C1048576 F41">
    <cfRule type="duplicateValues" dxfId="12" priority="5"/>
  </conditionalFormatting>
  <conditionalFormatting sqref="L3">
    <cfRule type="duplicateValues" dxfId="11" priority="4"/>
  </conditionalFormatting>
  <conditionalFormatting sqref="C5:C43">
    <cfRule type="expression" dxfId="10" priority="3">
      <formula>C5&lt;&gt;(C4+1)</formula>
    </cfRule>
  </conditionalFormatting>
  <conditionalFormatting sqref="L4:L46 L48:L123 N46">
    <cfRule type="duplicateValues" dxfId="9" priority="2"/>
  </conditionalFormatting>
  <conditionalFormatting sqref="L4:L123">
    <cfRule type="expression" dxfId="8" priority="1">
      <formula>L5&lt;&gt;(L4+1)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AR1001"/>
  <sheetViews>
    <sheetView workbookViewId="0"/>
  </sheetViews>
  <sheetFormatPr defaultRowHeight="15" x14ac:dyDescent="0.25"/>
  <sheetData>
    <row r="1" spans="1:44" ht="36" x14ac:dyDescent="0.25">
      <c r="A1" s="1" t="s">
        <v>0</v>
      </c>
      <c r="B1" s="2"/>
      <c r="C1" s="2"/>
      <c r="D1" s="2"/>
      <c r="E1" s="22"/>
      <c r="F1" s="22"/>
      <c r="G1" s="22"/>
      <c r="H1" s="22"/>
      <c r="I1" s="22"/>
      <c r="J1" s="22"/>
      <c r="K1" s="22"/>
      <c r="L1" s="2"/>
      <c r="M1" s="2"/>
      <c r="N1" s="2"/>
      <c r="O1" s="2"/>
      <c r="P1" s="2"/>
      <c r="Q1" s="2"/>
      <c r="R1" s="406" t="s">
        <v>10</v>
      </c>
      <c r="S1" s="406"/>
      <c r="T1" s="406"/>
      <c r="U1" s="406"/>
      <c r="V1" s="406"/>
      <c r="W1" s="406"/>
      <c r="X1" s="406"/>
      <c r="Y1" s="406"/>
      <c r="Z1" s="406"/>
      <c r="AA1" s="406"/>
      <c r="AB1" s="406"/>
      <c r="AC1" s="406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22.5" customHeight="1" x14ac:dyDescent="0.35">
      <c r="A2" s="17" t="s">
        <v>1</v>
      </c>
      <c r="B2" s="23"/>
      <c r="C2" s="23"/>
      <c r="D2" s="23"/>
      <c r="E2" s="397" t="s">
        <v>2</v>
      </c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23"/>
      <c r="AK2" s="23"/>
      <c r="AL2" s="23"/>
      <c r="AM2" s="23"/>
      <c r="AN2" s="23"/>
      <c r="AO2" s="23"/>
      <c r="AP2" s="23"/>
      <c r="AQ2" s="407">
        <v>2017</v>
      </c>
      <c r="AR2" s="3"/>
    </row>
    <row r="3" spans="1:44" ht="15" customHeight="1" x14ac:dyDescent="0.25">
      <c r="A3" s="17"/>
      <c r="B3" s="24">
        <v>42835</v>
      </c>
      <c r="C3" s="24">
        <v>42836</v>
      </c>
      <c r="D3" s="24">
        <v>42837</v>
      </c>
      <c r="E3" s="24">
        <v>42838</v>
      </c>
      <c r="F3" s="24">
        <v>42839</v>
      </c>
      <c r="G3" s="24">
        <v>42840</v>
      </c>
      <c r="H3" s="24">
        <v>42841</v>
      </c>
      <c r="I3" s="24">
        <v>42842</v>
      </c>
      <c r="J3" s="24">
        <v>42843</v>
      </c>
      <c r="K3" s="24">
        <v>42844</v>
      </c>
      <c r="L3" s="24">
        <v>42845</v>
      </c>
      <c r="M3" s="24">
        <v>42846</v>
      </c>
      <c r="N3" s="24">
        <v>42847</v>
      </c>
      <c r="O3" s="24">
        <v>42848</v>
      </c>
      <c r="P3" s="24">
        <v>42849</v>
      </c>
      <c r="Q3" s="24">
        <v>42850</v>
      </c>
      <c r="R3" s="24">
        <v>42851</v>
      </c>
      <c r="S3" s="24">
        <v>42852</v>
      </c>
      <c r="T3" s="24">
        <v>42853</v>
      </c>
      <c r="U3" s="24">
        <v>42854</v>
      </c>
      <c r="V3" s="24">
        <v>42855</v>
      </c>
      <c r="W3" s="24">
        <v>42856</v>
      </c>
      <c r="X3" s="24">
        <v>42857</v>
      </c>
      <c r="Y3" s="24">
        <v>42858</v>
      </c>
      <c r="Z3" s="24">
        <v>42859</v>
      </c>
      <c r="AA3" s="24">
        <v>42860</v>
      </c>
      <c r="AB3" s="24">
        <v>42861</v>
      </c>
      <c r="AC3" s="24">
        <v>42862</v>
      </c>
      <c r="AD3" s="24">
        <v>42863</v>
      </c>
      <c r="AE3" s="24">
        <v>42864</v>
      </c>
      <c r="AF3" s="24">
        <v>42865</v>
      </c>
      <c r="AG3" s="24">
        <v>42866</v>
      </c>
      <c r="AH3" s="24">
        <v>42867</v>
      </c>
      <c r="AI3" s="24">
        <v>42868</v>
      </c>
      <c r="AJ3" s="24">
        <v>42869</v>
      </c>
      <c r="AK3" s="24">
        <v>42870</v>
      </c>
      <c r="AL3" s="24">
        <v>42871</v>
      </c>
      <c r="AM3" s="24">
        <v>42872</v>
      </c>
      <c r="AN3" s="24">
        <v>42873</v>
      </c>
      <c r="AO3" s="24">
        <v>42874</v>
      </c>
      <c r="AP3" s="24">
        <v>42875</v>
      </c>
      <c r="AQ3" s="407"/>
      <c r="AR3" s="25"/>
    </row>
    <row r="4" spans="1:44" ht="15.75" x14ac:dyDescent="0.25">
      <c r="A4" s="7" t="s">
        <v>11</v>
      </c>
      <c r="B4" s="26"/>
      <c r="C4" s="26"/>
      <c r="D4" s="26"/>
      <c r="E4" s="27">
        <v>1</v>
      </c>
      <c r="F4" s="27">
        <v>2</v>
      </c>
      <c r="G4" s="27">
        <v>3</v>
      </c>
      <c r="H4" s="27">
        <v>4</v>
      </c>
      <c r="I4" s="27">
        <v>5</v>
      </c>
      <c r="J4" s="27">
        <v>6</v>
      </c>
      <c r="K4" s="27">
        <v>7</v>
      </c>
      <c r="L4" s="27">
        <v>8</v>
      </c>
      <c r="M4" s="27">
        <v>9</v>
      </c>
      <c r="N4" s="27">
        <v>10</v>
      </c>
      <c r="O4" s="27">
        <v>11</v>
      </c>
      <c r="P4" s="27">
        <v>12</v>
      </c>
      <c r="Q4" s="27">
        <v>13</v>
      </c>
      <c r="R4" s="27">
        <v>14</v>
      </c>
      <c r="S4" s="27">
        <v>15</v>
      </c>
      <c r="T4" s="27">
        <v>16</v>
      </c>
      <c r="U4" s="27">
        <v>17</v>
      </c>
      <c r="V4" s="27">
        <v>18</v>
      </c>
      <c r="W4" s="27">
        <v>19</v>
      </c>
      <c r="X4" s="27">
        <v>20</v>
      </c>
      <c r="Y4" s="27">
        <v>21</v>
      </c>
      <c r="Z4" s="27">
        <v>22</v>
      </c>
      <c r="AA4" s="27">
        <v>23</v>
      </c>
      <c r="AB4" s="27">
        <v>24</v>
      </c>
      <c r="AC4" s="27">
        <v>25</v>
      </c>
      <c r="AD4" s="27">
        <v>26</v>
      </c>
      <c r="AE4" s="27">
        <v>27</v>
      </c>
      <c r="AF4" s="27">
        <v>28</v>
      </c>
      <c r="AG4" s="27">
        <v>29</v>
      </c>
      <c r="AH4" s="27">
        <v>30</v>
      </c>
      <c r="AI4" s="8">
        <v>31</v>
      </c>
      <c r="AJ4" s="26"/>
      <c r="AK4" s="26"/>
      <c r="AL4" s="26"/>
      <c r="AM4" s="26"/>
      <c r="AN4" s="26"/>
      <c r="AO4" s="26"/>
      <c r="AP4" s="26"/>
      <c r="AQ4" s="8">
        <v>32</v>
      </c>
      <c r="AR4" s="26"/>
    </row>
    <row r="5" spans="1:44" ht="15.75" x14ac:dyDescent="0.25">
      <c r="A5" s="9">
        <v>1</v>
      </c>
      <c r="B5" s="10"/>
      <c r="C5" s="10"/>
      <c r="D5" s="10"/>
      <c r="E5" s="28"/>
      <c r="F5" s="28"/>
      <c r="G5" s="28"/>
      <c r="H5" s="28"/>
      <c r="I5" s="39">
        <v>1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10"/>
      <c r="AP5" s="10"/>
      <c r="AQ5" s="10">
        <f>SUM(B5:AP5)</f>
        <v>1</v>
      </c>
      <c r="AR5" s="10"/>
    </row>
    <row r="6" spans="1:44" ht="15.75" x14ac:dyDescent="0.25">
      <c r="A6" s="11">
        <v>2</v>
      </c>
      <c r="B6" s="12"/>
      <c r="C6" s="12"/>
      <c r="D6" s="12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9">
        <v>1</v>
      </c>
      <c r="AN6" s="29"/>
      <c r="AO6" s="12"/>
      <c r="AP6" s="12"/>
      <c r="AQ6" s="10">
        <f t="shared" ref="AQ6:AQ69" si="0">SUM(B6:AP6)</f>
        <v>1</v>
      </c>
      <c r="AR6" s="12"/>
    </row>
    <row r="7" spans="1:44" ht="15.75" x14ac:dyDescent="0.25">
      <c r="A7" s="9">
        <v>3</v>
      </c>
      <c r="B7" s="10"/>
      <c r="C7" s="38">
        <v>1</v>
      </c>
      <c r="D7" s="10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10"/>
      <c r="AP7" s="10"/>
      <c r="AQ7" s="10">
        <f t="shared" si="0"/>
        <v>1</v>
      </c>
      <c r="AR7" s="10"/>
    </row>
    <row r="8" spans="1:44" ht="15.75" x14ac:dyDescent="0.25">
      <c r="A8" s="11">
        <v>4</v>
      </c>
      <c r="B8" s="12"/>
      <c r="C8" s="12"/>
      <c r="D8" s="12"/>
      <c r="E8" s="39">
        <v>1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12"/>
      <c r="AP8" s="12"/>
      <c r="AQ8" s="10">
        <f t="shared" si="0"/>
        <v>1</v>
      </c>
      <c r="AR8" s="12"/>
    </row>
    <row r="9" spans="1:44" ht="15.75" x14ac:dyDescent="0.25">
      <c r="A9" s="9">
        <v>5</v>
      </c>
      <c r="B9" s="10"/>
      <c r="C9" s="10"/>
      <c r="D9" s="10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9">
        <v>1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10"/>
      <c r="AP9" s="10"/>
      <c r="AQ9" s="10">
        <f t="shared" si="0"/>
        <v>1</v>
      </c>
      <c r="AR9" s="10"/>
    </row>
    <row r="10" spans="1:44" ht="15.75" x14ac:dyDescent="0.25">
      <c r="A10" s="11">
        <v>6</v>
      </c>
      <c r="B10" s="12"/>
      <c r="C10" s="38">
        <v>1</v>
      </c>
      <c r="D10" s="1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12"/>
      <c r="AP10" s="12"/>
      <c r="AQ10" s="10">
        <f t="shared" si="0"/>
        <v>1</v>
      </c>
      <c r="AR10" s="12"/>
    </row>
    <row r="11" spans="1:44" ht="15.75" x14ac:dyDescent="0.25">
      <c r="A11" s="9">
        <v>7</v>
      </c>
      <c r="B11" s="10"/>
      <c r="C11" s="10"/>
      <c r="D11" s="10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39">
        <v>1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10"/>
      <c r="AP11" s="10"/>
      <c r="AQ11" s="10">
        <f t="shared" si="0"/>
        <v>1</v>
      </c>
      <c r="AR11" s="10"/>
    </row>
    <row r="12" spans="1:44" ht="15.75" x14ac:dyDescent="0.25">
      <c r="A12" s="11">
        <v>8</v>
      </c>
      <c r="B12" s="12"/>
      <c r="C12" s="12"/>
      <c r="D12" s="12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9">
        <v>1</v>
      </c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12"/>
      <c r="AP12" s="12"/>
      <c r="AQ12" s="10">
        <f t="shared" si="0"/>
        <v>1</v>
      </c>
      <c r="AR12" s="12"/>
    </row>
    <row r="13" spans="1:44" ht="15.75" x14ac:dyDescent="0.25">
      <c r="A13" s="9">
        <v>9</v>
      </c>
      <c r="B13" s="10"/>
      <c r="C13" s="10"/>
      <c r="D13" s="10"/>
      <c r="E13" s="28"/>
      <c r="F13" s="28"/>
      <c r="G13" s="28"/>
      <c r="H13" s="28"/>
      <c r="I13" s="28"/>
      <c r="J13" s="28"/>
      <c r="K13" s="28"/>
      <c r="L13" s="28"/>
      <c r="M13" s="39">
        <v>1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10"/>
      <c r="AP13" s="10"/>
      <c r="AQ13" s="10">
        <f t="shared" si="0"/>
        <v>1</v>
      </c>
      <c r="AR13" s="10"/>
    </row>
    <row r="14" spans="1:44" ht="15.75" x14ac:dyDescent="0.25">
      <c r="A14" s="11">
        <v>10</v>
      </c>
      <c r="B14" s="12"/>
      <c r="C14" s="12"/>
      <c r="D14" s="12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39">
        <v>1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12"/>
      <c r="AP14" s="12"/>
      <c r="AQ14" s="10">
        <f t="shared" si="0"/>
        <v>1</v>
      </c>
      <c r="AR14" s="12"/>
    </row>
    <row r="15" spans="1:44" ht="15.75" x14ac:dyDescent="0.25">
      <c r="A15" s="9">
        <v>11</v>
      </c>
      <c r="B15" s="10"/>
      <c r="C15" s="10"/>
      <c r="D15" s="10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39">
        <v>1</v>
      </c>
      <c r="AF15" s="28"/>
      <c r="AG15" s="28"/>
      <c r="AH15" s="28"/>
      <c r="AI15" s="28"/>
      <c r="AJ15" s="28"/>
      <c r="AK15" s="28"/>
      <c r="AL15" s="28"/>
      <c r="AM15" s="28"/>
      <c r="AN15" s="28"/>
      <c r="AO15" s="10"/>
      <c r="AP15" s="10"/>
      <c r="AQ15" s="10">
        <f t="shared" si="0"/>
        <v>1</v>
      </c>
      <c r="AR15" s="10"/>
    </row>
    <row r="16" spans="1:44" ht="15.75" x14ac:dyDescent="0.25">
      <c r="A16" s="11">
        <v>12</v>
      </c>
      <c r="B16" s="12"/>
      <c r="C16" s="12"/>
      <c r="D16" s="12"/>
      <c r="E16" s="29"/>
      <c r="F16" s="29"/>
      <c r="G16" s="29"/>
      <c r="H16" s="29"/>
      <c r="I16" s="39">
        <v>1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12"/>
      <c r="AP16" s="12"/>
      <c r="AQ16" s="10">
        <f t="shared" si="0"/>
        <v>1</v>
      </c>
      <c r="AR16" s="12"/>
    </row>
    <row r="17" spans="1:44" ht="15.75" x14ac:dyDescent="0.25">
      <c r="A17" s="9">
        <v>13</v>
      </c>
      <c r="B17" s="10"/>
      <c r="C17" s="10"/>
      <c r="D17" s="10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39">
        <v>1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10"/>
      <c r="AP17" s="10"/>
      <c r="AQ17" s="10">
        <f t="shared" si="0"/>
        <v>1</v>
      </c>
      <c r="AR17" s="10"/>
    </row>
    <row r="18" spans="1:44" ht="15.75" x14ac:dyDescent="0.25">
      <c r="A18" s="11">
        <v>14</v>
      </c>
      <c r="B18" s="12"/>
      <c r="C18" s="12"/>
      <c r="D18" s="12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9">
        <v>1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12"/>
      <c r="AP18" s="12"/>
      <c r="AQ18" s="10">
        <f t="shared" si="0"/>
        <v>1</v>
      </c>
      <c r="AR18" s="12"/>
    </row>
    <row r="19" spans="1:44" ht="15.75" x14ac:dyDescent="0.25">
      <c r="A19" s="9">
        <v>15</v>
      </c>
      <c r="B19" s="10"/>
      <c r="C19" s="10"/>
      <c r="D19" s="10"/>
      <c r="E19" s="28"/>
      <c r="F19" s="28"/>
      <c r="G19" s="28"/>
      <c r="H19" s="28"/>
      <c r="I19" s="28"/>
      <c r="J19" s="28"/>
      <c r="K19" s="28"/>
      <c r="L19" s="39">
        <v>1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10"/>
      <c r="AP19" s="10"/>
      <c r="AQ19" s="10">
        <f t="shared" si="0"/>
        <v>1</v>
      </c>
      <c r="AR19" s="10"/>
    </row>
    <row r="20" spans="1:44" ht="15.75" x14ac:dyDescent="0.25">
      <c r="A20" s="11">
        <v>16</v>
      </c>
      <c r="B20" s="12"/>
      <c r="C20" s="12"/>
      <c r="D20" s="12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39">
        <v>1</v>
      </c>
      <c r="AP20" s="12"/>
      <c r="AQ20" s="10">
        <f t="shared" si="0"/>
        <v>1</v>
      </c>
      <c r="AR20" s="12"/>
    </row>
    <row r="21" spans="1:44" ht="15.75" x14ac:dyDescent="0.25">
      <c r="A21" s="9">
        <v>17</v>
      </c>
      <c r="B21" s="10"/>
      <c r="C21" s="10"/>
      <c r="D21" s="10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39">
        <v>1</v>
      </c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10"/>
      <c r="AP21" s="10"/>
      <c r="AQ21" s="10">
        <f t="shared" si="0"/>
        <v>1</v>
      </c>
      <c r="AR21" s="10"/>
    </row>
    <row r="22" spans="1:44" ht="15.75" x14ac:dyDescent="0.25">
      <c r="A22" s="11">
        <v>18</v>
      </c>
      <c r="B22" s="12"/>
      <c r="C22" s="12"/>
      <c r="D22" s="12"/>
      <c r="E22" s="29"/>
      <c r="F22" s="29"/>
      <c r="G22" s="29"/>
      <c r="H22" s="29"/>
      <c r="I22" s="39">
        <v>1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12"/>
      <c r="AP22" s="12"/>
      <c r="AQ22" s="10">
        <f t="shared" si="0"/>
        <v>1</v>
      </c>
      <c r="AR22" s="12"/>
    </row>
    <row r="23" spans="1:44" ht="15.75" x14ac:dyDescent="0.25">
      <c r="A23" s="9">
        <v>19</v>
      </c>
      <c r="B23" s="10"/>
      <c r="C23" s="10"/>
      <c r="D23" s="10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39">
        <v>1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10"/>
      <c r="AP23" s="10"/>
      <c r="AQ23" s="10">
        <f t="shared" si="0"/>
        <v>1</v>
      </c>
      <c r="AR23" s="10"/>
    </row>
    <row r="24" spans="1:44" ht="15.75" x14ac:dyDescent="0.25">
      <c r="A24" s="11">
        <v>20</v>
      </c>
      <c r="B24" s="12"/>
      <c r="C24" s="12"/>
      <c r="D24" s="12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9">
        <v>1</v>
      </c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12"/>
      <c r="AP24" s="12"/>
      <c r="AQ24" s="10">
        <f t="shared" si="0"/>
        <v>1</v>
      </c>
      <c r="AR24" s="12"/>
    </row>
    <row r="25" spans="1:44" ht="15.75" x14ac:dyDescent="0.25">
      <c r="A25" s="9">
        <v>21</v>
      </c>
      <c r="B25" s="10"/>
      <c r="C25" s="10"/>
      <c r="D25" s="10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39">
        <v>1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10"/>
      <c r="AP25" s="10"/>
      <c r="AQ25" s="10">
        <f t="shared" si="0"/>
        <v>1</v>
      </c>
      <c r="AR25" s="10"/>
    </row>
    <row r="26" spans="1:44" ht="15.75" x14ac:dyDescent="0.25">
      <c r="A26" s="11">
        <v>22</v>
      </c>
      <c r="B26" s="12"/>
      <c r="C26" s="12"/>
      <c r="D26" s="12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9">
        <v>1</v>
      </c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12"/>
      <c r="AP26" s="12"/>
      <c r="AQ26" s="10">
        <f t="shared" si="0"/>
        <v>1</v>
      </c>
      <c r="AR26" s="12"/>
    </row>
    <row r="27" spans="1:44" ht="15.75" x14ac:dyDescent="0.25">
      <c r="A27" s="9">
        <v>23</v>
      </c>
      <c r="B27" s="10"/>
      <c r="C27" s="10"/>
      <c r="D27" s="10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39">
        <v>1</v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10"/>
      <c r="AP27" s="10"/>
      <c r="AQ27" s="10">
        <f t="shared" si="0"/>
        <v>1</v>
      </c>
      <c r="AR27" s="10"/>
    </row>
    <row r="28" spans="1:44" ht="15.75" x14ac:dyDescent="0.25">
      <c r="A28" s="11">
        <v>24</v>
      </c>
      <c r="B28" s="12"/>
      <c r="C28" s="12"/>
      <c r="D28" s="12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9">
        <v>1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12"/>
      <c r="AP28" s="12"/>
      <c r="AQ28" s="10">
        <f t="shared" si="0"/>
        <v>1</v>
      </c>
      <c r="AR28" s="12"/>
    </row>
    <row r="29" spans="1:44" ht="15.75" x14ac:dyDescent="0.25">
      <c r="A29" s="9">
        <v>25</v>
      </c>
      <c r="B29" s="10"/>
      <c r="C29" s="10"/>
      <c r="D29" s="10"/>
      <c r="E29" s="28"/>
      <c r="F29" s="28"/>
      <c r="G29" s="28"/>
      <c r="H29" s="28"/>
      <c r="I29" s="28"/>
      <c r="J29" s="28"/>
      <c r="K29" s="28"/>
      <c r="L29" s="39">
        <v>1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10"/>
      <c r="AP29" s="10"/>
      <c r="AQ29" s="10">
        <f t="shared" si="0"/>
        <v>1</v>
      </c>
      <c r="AR29" s="10"/>
    </row>
    <row r="30" spans="1:44" ht="15.75" x14ac:dyDescent="0.25">
      <c r="A30" s="11">
        <v>26</v>
      </c>
      <c r="B30" s="12"/>
      <c r="C30" s="29"/>
      <c r="D30" s="39">
        <v>1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12"/>
      <c r="AP30" s="12"/>
      <c r="AQ30" s="10">
        <f t="shared" si="0"/>
        <v>1</v>
      </c>
      <c r="AR30" s="12"/>
    </row>
    <row r="31" spans="1:44" ht="15.75" x14ac:dyDescent="0.25">
      <c r="A31" s="9">
        <v>27</v>
      </c>
      <c r="B31" s="10"/>
      <c r="C31" s="10"/>
      <c r="D31" s="10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39">
        <v>1</v>
      </c>
      <c r="AF31" s="28"/>
      <c r="AG31" s="28"/>
      <c r="AH31" s="28"/>
      <c r="AI31" s="28"/>
      <c r="AJ31" s="28"/>
      <c r="AK31" s="28"/>
      <c r="AL31" s="28"/>
      <c r="AM31" s="28"/>
      <c r="AN31" s="28"/>
      <c r="AO31" s="10"/>
      <c r="AP31" s="10"/>
      <c r="AQ31" s="10">
        <f t="shared" si="0"/>
        <v>1</v>
      </c>
      <c r="AR31" s="10"/>
    </row>
    <row r="32" spans="1:44" ht="15.75" x14ac:dyDescent="0.25">
      <c r="A32" s="11">
        <v>28</v>
      </c>
      <c r="B32" s="12"/>
      <c r="C32" s="12"/>
      <c r="D32" s="12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9">
        <v>1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12"/>
      <c r="AP32" s="12"/>
      <c r="AQ32" s="10">
        <f t="shared" si="0"/>
        <v>1</v>
      </c>
      <c r="AR32" s="12"/>
    </row>
    <row r="33" spans="1:44" ht="15.75" x14ac:dyDescent="0.25">
      <c r="A33" s="9">
        <v>29</v>
      </c>
      <c r="B33" s="10"/>
      <c r="C33" s="10"/>
      <c r="D33" s="10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39">
        <v>1</v>
      </c>
      <c r="AP33" s="10"/>
      <c r="AQ33" s="10">
        <f t="shared" si="0"/>
        <v>1</v>
      </c>
      <c r="AR33" s="10"/>
    </row>
    <row r="34" spans="1:44" ht="15.75" x14ac:dyDescent="0.25">
      <c r="A34" s="11">
        <v>30</v>
      </c>
      <c r="B34" s="12"/>
      <c r="C34" s="12"/>
      <c r="D34" s="12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9">
        <v>1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12"/>
      <c r="AP34" s="12"/>
      <c r="AQ34" s="10">
        <f t="shared" si="0"/>
        <v>1</v>
      </c>
      <c r="AR34" s="12"/>
    </row>
    <row r="35" spans="1:44" ht="15.75" x14ac:dyDescent="0.25">
      <c r="A35" s="9">
        <v>31</v>
      </c>
      <c r="B35" s="10"/>
      <c r="C35" s="10"/>
      <c r="D35" s="10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39">
        <v>1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10"/>
      <c r="AP35" s="10"/>
      <c r="AQ35" s="10">
        <f t="shared" si="0"/>
        <v>1</v>
      </c>
      <c r="AR35" s="10"/>
    </row>
    <row r="36" spans="1:44" ht="15.75" x14ac:dyDescent="0.25">
      <c r="A36" s="11">
        <v>32</v>
      </c>
      <c r="B36" s="12"/>
      <c r="C36" s="12"/>
      <c r="D36" s="12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9">
        <v>1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12"/>
      <c r="AP36" s="12"/>
      <c r="AQ36" s="10">
        <f t="shared" si="0"/>
        <v>1</v>
      </c>
      <c r="AR36" s="12"/>
    </row>
    <row r="37" spans="1:44" ht="15.75" x14ac:dyDescent="0.25">
      <c r="A37" s="9">
        <v>33</v>
      </c>
      <c r="B37" s="10"/>
      <c r="C37" s="10"/>
      <c r="D37" s="10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39">
        <v>1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10"/>
      <c r="AP37" s="10"/>
      <c r="AQ37" s="10">
        <f t="shared" si="0"/>
        <v>1</v>
      </c>
      <c r="AR37" s="10"/>
    </row>
    <row r="38" spans="1:44" ht="15.75" x14ac:dyDescent="0.25">
      <c r="A38" s="11">
        <v>34</v>
      </c>
      <c r="B38" s="12"/>
      <c r="C38" s="12"/>
      <c r="D38" s="12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39">
        <v>1</v>
      </c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12"/>
      <c r="AP38" s="12"/>
      <c r="AQ38" s="10">
        <f t="shared" si="0"/>
        <v>1</v>
      </c>
      <c r="AR38" s="12"/>
    </row>
    <row r="39" spans="1:44" ht="15.75" x14ac:dyDescent="0.25">
      <c r="A39" s="9">
        <v>35</v>
      </c>
      <c r="B39" s="10"/>
      <c r="C39" s="10"/>
      <c r="D39" s="10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39">
        <v>1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10"/>
      <c r="AP39" s="10"/>
      <c r="AQ39" s="10">
        <f t="shared" si="0"/>
        <v>1</v>
      </c>
      <c r="AR39" s="10"/>
    </row>
    <row r="40" spans="1:44" ht="15.75" x14ac:dyDescent="0.25">
      <c r="A40" s="11">
        <v>36</v>
      </c>
      <c r="B40" s="12"/>
      <c r="C40" s="12"/>
      <c r="D40" s="12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39">
        <v>1</v>
      </c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12"/>
      <c r="AP40" s="12"/>
      <c r="AQ40" s="10">
        <f t="shared" si="0"/>
        <v>1</v>
      </c>
      <c r="AR40" s="12"/>
    </row>
    <row r="41" spans="1:44" ht="15.75" x14ac:dyDescent="0.25">
      <c r="A41" s="9">
        <v>37</v>
      </c>
      <c r="B41" s="10"/>
      <c r="C41" s="10"/>
      <c r="D41" s="10"/>
      <c r="E41" s="28"/>
      <c r="F41" s="28"/>
      <c r="G41" s="28"/>
      <c r="H41" s="28"/>
      <c r="I41" s="28"/>
      <c r="J41" s="39">
        <v>1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10"/>
      <c r="AP41" s="10"/>
      <c r="AQ41" s="10">
        <f t="shared" si="0"/>
        <v>1</v>
      </c>
      <c r="AR41" s="10"/>
    </row>
    <row r="42" spans="1:44" ht="15.75" x14ac:dyDescent="0.25">
      <c r="A42" s="11">
        <v>38</v>
      </c>
      <c r="B42" s="12"/>
      <c r="C42" s="12"/>
      <c r="D42" s="12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9">
        <v>1</v>
      </c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12"/>
      <c r="AP42" s="12"/>
      <c r="AQ42" s="10">
        <f t="shared" si="0"/>
        <v>1</v>
      </c>
      <c r="AR42" s="12"/>
    </row>
    <row r="43" spans="1:44" ht="15.75" x14ac:dyDescent="0.25">
      <c r="A43" s="9">
        <v>39</v>
      </c>
      <c r="B43" s="10"/>
      <c r="C43" s="10"/>
      <c r="D43" s="10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39">
        <v>1</v>
      </c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10"/>
      <c r="AP43" s="10"/>
      <c r="AQ43" s="10">
        <f t="shared" si="0"/>
        <v>1</v>
      </c>
      <c r="AR43" s="10"/>
    </row>
    <row r="44" spans="1:44" ht="15.75" x14ac:dyDescent="0.25">
      <c r="A44" s="11">
        <v>40</v>
      </c>
      <c r="B44" s="12"/>
      <c r="C44" s="12"/>
      <c r="D44" s="12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39">
        <v>1</v>
      </c>
      <c r="AM44" s="29"/>
      <c r="AN44" s="29"/>
      <c r="AO44" s="12"/>
      <c r="AP44" s="12"/>
      <c r="AQ44" s="10">
        <f t="shared" si="0"/>
        <v>1</v>
      </c>
      <c r="AR44" s="12"/>
    </row>
    <row r="45" spans="1:44" ht="15.75" x14ac:dyDescent="0.25">
      <c r="A45" s="9">
        <v>41</v>
      </c>
      <c r="B45" s="10"/>
      <c r="C45" s="10"/>
      <c r="D45" s="10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39">
        <v>1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10"/>
      <c r="AP45" s="10"/>
      <c r="AQ45" s="10">
        <f t="shared" si="0"/>
        <v>1</v>
      </c>
      <c r="AR45" s="10"/>
    </row>
    <row r="46" spans="1:44" ht="15.75" x14ac:dyDescent="0.25">
      <c r="A46" s="11">
        <v>42</v>
      </c>
      <c r="B46" s="12"/>
      <c r="C46" s="12"/>
      <c r="D46" s="12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39">
        <v>1</v>
      </c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12"/>
      <c r="AP46" s="12"/>
      <c r="AQ46" s="10">
        <f t="shared" si="0"/>
        <v>1</v>
      </c>
      <c r="AR46" s="12"/>
    </row>
    <row r="47" spans="1:44" ht="15.75" x14ac:dyDescent="0.25">
      <c r="A47" s="9">
        <v>43</v>
      </c>
      <c r="B47" s="10"/>
      <c r="C47" s="10"/>
      <c r="D47" s="10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39">
        <v>1</v>
      </c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10"/>
      <c r="AP47" s="10"/>
      <c r="AQ47" s="10">
        <f t="shared" si="0"/>
        <v>1</v>
      </c>
      <c r="AR47" s="10"/>
    </row>
    <row r="48" spans="1:44" ht="15.75" x14ac:dyDescent="0.25">
      <c r="A48" s="11">
        <v>44</v>
      </c>
      <c r="B48" s="12"/>
      <c r="C48" s="12"/>
      <c r="D48" s="12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39">
        <v>1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12"/>
      <c r="AP48" s="12"/>
      <c r="AQ48" s="10">
        <f t="shared" si="0"/>
        <v>1</v>
      </c>
      <c r="AR48" s="12"/>
    </row>
    <row r="49" spans="1:44" ht="15.75" x14ac:dyDescent="0.25">
      <c r="A49" s="9">
        <v>45</v>
      </c>
      <c r="B49" s="10"/>
      <c r="C49" s="10"/>
      <c r="D49" s="10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9">
        <v>1</v>
      </c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10"/>
      <c r="AP49" s="10"/>
      <c r="AQ49" s="10">
        <f t="shared" si="0"/>
        <v>1</v>
      </c>
      <c r="AR49" s="10"/>
    </row>
    <row r="50" spans="1:44" ht="15.75" x14ac:dyDescent="0.25">
      <c r="A50" s="11">
        <v>46</v>
      </c>
      <c r="B50" s="12"/>
      <c r="C50" s="12"/>
      <c r="D50" s="12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9">
        <v>1</v>
      </c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12"/>
      <c r="AP50" s="12"/>
      <c r="AQ50" s="10">
        <f t="shared" si="0"/>
        <v>1</v>
      </c>
      <c r="AR50" s="12"/>
    </row>
    <row r="51" spans="1:44" ht="15.75" x14ac:dyDescent="0.25">
      <c r="A51" s="9">
        <v>47</v>
      </c>
      <c r="B51" s="10"/>
      <c r="C51" s="10"/>
      <c r="D51" s="10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39">
        <v>1</v>
      </c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10"/>
      <c r="AP51" s="10"/>
      <c r="AQ51" s="10">
        <f t="shared" si="0"/>
        <v>1</v>
      </c>
      <c r="AR51" s="10"/>
    </row>
    <row r="52" spans="1:44" ht="15.75" x14ac:dyDescent="0.25">
      <c r="A52" s="11">
        <v>48</v>
      </c>
      <c r="B52" s="12"/>
      <c r="C52" s="12"/>
      <c r="D52" s="12"/>
      <c r="E52" s="29"/>
      <c r="F52" s="29"/>
      <c r="G52" s="29"/>
      <c r="H52" s="29"/>
      <c r="I52" s="29"/>
      <c r="J52" s="29"/>
      <c r="K52" s="29"/>
      <c r="L52" s="29"/>
      <c r="M52" s="39">
        <v>1</v>
      </c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12"/>
      <c r="AP52" s="12"/>
      <c r="AQ52" s="10">
        <f t="shared" si="0"/>
        <v>1</v>
      </c>
      <c r="AR52" s="12"/>
    </row>
    <row r="53" spans="1:44" ht="15.75" x14ac:dyDescent="0.25">
      <c r="A53" s="9">
        <v>49</v>
      </c>
      <c r="B53" s="10"/>
      <c r="C53" s="10"/>
      <c r="D53" s="10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39">
        <v>1</v>
      </c>
      <c r="AI53" s="28"/>
      <c r="AJ53" s="28"/>
      <c r="AK53" s="28"/>
      <c r="AL53" s="28"/>
      <c r="AM53" s="28"/>
      <c r="AN53" s="28"/>
      <c r="AO53" s="10"/>
      <c r="AP53" s="10"/>
      <c r="AQ53" s="10">
        <f t="shared" si="0"/>
        <v>1</v>
      </c>
      <c r="AR53" s="10"/>
    </row>
    <row r="54" spans="1:44" ht="15.75" x14ac:dyDescent="0.25">
      <c r="A54" s="11">
        <v>50</v>
      </c>
      <c r="B54" s="12"/>
      <c r="C54" s="12"/>
      <c r="D54" s="12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12"/>
      <c r="AJ54" s="12"/>
      <c r="AK54" s="12"/>
      <c r="AL54" s="39">
        <v>1</v>
      </c>
      <c r="AM54" s="12"/>
      <c r="AN54" s="12"/>
      <c r="AO54" s="12"/>
      <c r="AP54" s="12"/>
      <c r="AQ54" s="10">
        <f t="shared" si="0"/>
        <v>1</v>
      </c>
      <c r="AR54" s="12"/>
    </row>
    <row r="55" spans="1:44" ht="15.75" x14ac:dyDescent="0.25">
      <c r="A55" s="9">
        <v>51</v>
      </c>
      <c r="B55" s="10"/>
      <c r="C55" s="10"/>
      <c r="D55" s="10"/>
      <c r="E55" s="28"/>
      <c r="F55" s="28"/>
      <c r="G55" s="28"/>
      <c r="H55" s="28"/>
      <c r="I55" s="28"/>
      <c r="J55" s="28"/>
      <c r="K55" s="39">
        <v>1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10"/>
      <c r="AJ55" s="10"/>
      <c r="AK55" s="10"/>
      <c r="AL55" s="10"/>
      <c r="AM55" s="10"/>
      <c r="AN55" s="10"/>
      <c r="AO55" s="10"/>
      <c r="AP55" s="10"/>
      <c r="AQ55" s="10">
        <f t="shared" si="0"/>
        <v>1</v>
      </c>
      <c r="AR55" s="10"/>
    </row>
    <row r="56" spans="1:44" ht="15.75" x14ac:dyDescent="0.25">
      <c r="A56" s="30">
        <v>52</v>
      </c>
      <c r="B56" s="31"/>
      <c r="C56" s="31"/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9">
        <v>1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1"/>
      <c r="AP56" s="31"/>
      <c r="AQ56" s="10">
        <f t="shared" si="0"/>
        <v>1</v>
      </c>
      <c r="AR56" s="31"/>
    </row>
    <row r="57" spans="1:44" ht="15.75" x14ac:dyDescent="0.25">
      <c r="A57" s="33">
        <v>53</v>
      </c>
      <c r="B57" s="2"/>
      <c r="C57" s="2"/>
      <c r="D57" s="22"/>
      <c r="E57" s="39">
        <v>1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"/>
      <c r="AP57" s="2"/>
      <c r="AQ57" s="10">
        <f t="shared" si="0"/>
        <v>1</v>
      </c>
      <c r="AR57" s="2"/>
    </row>
    <row r="58" spans="1:44" ht="15.75" x14ac:dyDescent="0.25">
      <c r="A58" s="34">
        <v>54</v>
      </c>
      <c r="B58" s="10"/>
      <c r="C58" s="10"/>
      <c r="D58" s="10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39">
        <v>1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10"/>
      <c r="AP58" s="10"/>
      <c r="AQ58" s="10">
        <f t="shared" si="0"/>
        <v>1</v>
      </c>
      <c r="AR58" s="10"/>
    </row>
    <row r="59" spans="1:44" ht="15.75" x14ac:dyDescent="0.25">
      <c r="A59" s="35">
        <v>55</v>
      </c>
      <c r="B59" s="12"/>
      <c r="C59" s="12"/>
      <c r="D59" s="12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39">
        <v>1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12"/>
      <c r="AP59" s="12"/>
      <c r="AQ59" s="10">
        <f t="shared" si="0"/>
        <v>1</v>
      </c>
      <c r="AR59" s="12"/>
    </row>
    <row r="60" spans="1:44" ht="15.75" x14ac:dyDescent="0.25">
      <c r="A60" s="34">
        <v>56</v>
      </c>
      <c r="B60" s="10"/>
      <c r="C60" s="10"/>
      <c r="D60" s="10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9">
        <v>1</v>
      </c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10"/>
      <c r="AP60" s="10"/>
      <c r="AQ60" s="10">
        <f t="shared" si="0"/>
        <v>1</v>
      </c>
      <c r="AR60" s="10"/>
    </row>
    <row r="61" spans="1:44" ht="15.75" x14ac:dyDescent="0.25">
      <c r="A61" s="35">
        <v>57</v>
      </c>
      <c r="B61" s="12"/>
      <c r="C61" s="12"/>
      <c r="D61" s="12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39">
        <v>1</v>
      </c>
      <c r="AO61" s="12"/>
      <c r="AP61" s="12"/>
      <c r="AQ61" s="10">
        <f t="shared" si="0"/>
        <v>1</v>
      </c>
      <c r="AR61" s="12"/>
    </row>
    <row r="62" spans="1:44" ht="15.75" x14ac:dyDescent="0.25">
      <c r="A62" s="36">
        <v>58</v>
      </c>
      <c r="B62" s="2"/>
      <c r="C62" s="2"/>
      <c r="D62" s="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39">
        <v>1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"/>
      <c r="AP62" s="2"/>
      <c r="AQ62" s="10">
        <f t="shared" si="0"/>
        <v>1</v>
      </c>
      <c r="AR62" s="2"/>
    </row>
    <row r="63" spans="1:44" ht="15.75" x14ac:dyDescent="0.25">
      <c r="A63" s="36">
        <v>59</v>
      </c>
      <c r="B63" s="2"/>
      <c r="C63" s="2"/>
      <c r="D63" s="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39">
        <v>1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"/>
      <c r="AP63" s="2"/>
      <c r="AQ63" s="10">
        <f t="shared" si="0"/>
        <v>1</v>
      </c>
      <c r="AR63" s="2"/>
    </row>
    <row r="64" spans="1:44" ht="15.75" x14ac:dyDescent="0.25">
      <c r="A64" s="36">
        <v>60</v>
      </c>
      <c r="B64" s="2"/>
      <c r="C64" s="2"/>
      <c r="D64" s="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39">
        <v>1</v>
      </c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"/>
      <c r="AP64" s="2"/>
      <c r="AQ64" s="10">
        <f t="shared" si="0"/>
        <v>1</v>
      </c>
      <c r="AR64" s="2"/>
    </row>
    <row r="65" spans="1:44" ht="15.75" x14ac:dyDescent="0.25">
      <c r="A65" s="36">
        <v>61</v>
      </c>
      <c r="B65" s="2"/>
      <c r="C65" s="2"/>
      <c r="D65" s="2"/>
      <c r="E65" s="22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10">
        <f t="shared" si="0"/>
        <v>0</v>
      </c>
      <c r="AR65" s="2"/>
    </row>
    <row r="66" spans="1:44" ht="15.75" x14ac:dyDescent="0.25">
      <c r="A66" s="36">
        <v>62</v>
      </c>
      <c r="B66" s="2"/>
      <c r="C66" s="2"/>
      <c r="D66" s="2"/>
      <c r="E66" s="22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10">
        <f t="shared" si="0"/>
        <v>0</v>
      </c>
      <c r="AR66" s="2"/>
    </row>
    <row r="67" spans="1:44" ht="15.75" x14ac:dyDescent="0.25">
      <c r="A67" s="36">
        <v>63</v>
      </c>
      <c r="B67" s="2"/>
      <c r="C67" s="2"/>
      <c r="D67" s="2"/>
      <c r="E67" s="22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10">
        <f t="shared" si="0"/>
        <v>0</v>
      </c>
      <c r="AR67" s="2"/>
    </row>
    <row r="68" spans="1:44" ht="15.75" x14ac:dyDescent="0.25">
      <c r="A68" s="36">
        <v>64</v>
      </c>
      <c r="B68" s="2"/>
      <c r="C68" s="2"/>
      <c r="D68" s="2"/>
      <c r="E68" s="22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10">
        <f t="shared" si="0"/>
        <v>0</v>
      </c>
      <c r="AR68" s="2"/>
    </row>
    <row r="69" spans="1:44" ht="15.75" x14ac:dyDescent="0.25">
      <c r="A69" s="36">
        <v>65</v>
      </c>
      <c r="B69" s="2"/>
      <c r="C69" s="2"/>
      <c r="D69" s="2"/>
      <c r="E69" s="22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10">
        <f t="shared" si="0"/>
        <v>0</v>
      </c>
      <c r="AR69" s="2"/>
    </row>
    <row r="70" spans="1:44" ht="15.75" x14ac:dyDescent="0.25">
      <c r="A70" s="36">
        <v>66</v>
      </c>
      <c r="B70" s="2"/>
      <c r="C70" s="2"/>
      <c r="D70" s="2"/>
      <c r="E70" s="22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10">
        <f t="shared" ref="AQ70:AQ124" si="1">SUM(B70:AP70)</f>
        <v>0</v>
      </c>
      <c r="AR70" s="2"/>
    </row>
    <row r="71" spans="1:44" ht="15.75" x14ac:dyDescent="0.25">
      <c r="A71" s="36">
        <v>67</v>
      </c>
      <c r="B71" s="2"/>
      <c r="C71" s="2"/>
      <c r="D71" s="2"/>
      <c r="E71" s="22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10">
        <f t="shared" si="1"/>
        <v>0</v>
      </c>
      <c r="AR71" s="2"/>
    </row>
    <row r="72" spans="1:44" ht="15.75" x14ac:dyDescent="0.25">
      <c r="A72" s="36">
        <v>68</v>
      </c>
      <c r="B72" s="2"/>
      <c r="C72" s="2"/>
      <c r="D72" s="2"/>
      <c r="E72" s="22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10">
        <f t="shared" si="1"/>
        <v>0</v>
      </c>
      <c r="AR72" s="2"/>
    </row>
    <row r="73" spans="1:44" ht="15.75" x14ac:dyDescent="0.25">
      <c r="A73" s="36">
        <v>69</v>
      </c>
      <c r="B73" s="2"/>
      <c r="C73" s="2"/>
      <c r="D73" s="2"/>
      <c r="E73" s="22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10">
        <f t="shared" si="1"/>
        <v>0</v>
      </c>
      <c r="AR73" s="2"/>
    </row>
    <row r="74" spans="1:44" ht="15.75" x14ac:dyDescent="0.25">
      <c r="A74" s="36">
        <v>70</v>
      </c>
      <c r="B74" s="2"/>
      <c r="C74" s="2"/>
      <c r="D74" s="2"/>
      <c r="E74" s="22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10">
        <f t="shared" si="1"/>
        <v>0</v>
      </c>
      <c r="AR74" s="2"/>
    </row>
    <row r="75" spans="1:44" ht="15.75" x14ac:dyDescent="0.25">
      <c r="A75" s="36">
        <v>71</v>
      </c>
      <c r="B75" s="2"/>
      <c r="C75" s="2"/>
      <c r="D75" s="2"/>
      <c r="E75" s="22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10">
        <f t="shared" si="1"/>
        <v>0</v>
      </c>
      <c r="AR75" s="2"/>
    </row>
    <row r="76" spans="1:44" ht="15.75" x14ac:dyDescent="0.25">
      <c r="A76" s="36">
        <v>72</v>
      </c>
      <c r="B76" s="2"/>
      <c r="C76" s="2"/>
      <c r="D76" s="2"/>
      <c r="E76" s="22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10">
        <f t="shared" si="1"/>
        <v>0</v>
      </c>
      <c r="AR76" s="2"/>
    </row>
    <row r="77" spans="1:44" ht="15.75" x14ac:dyDescent="0.25">
      <c r="A77" s="36">
        <v>73</v>
      </c>
      <c r="B77" s="2"/>
      <c r="C77" s="2"/>
      <c r="D77" s="2"/>
      <c r="E77" s="22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10">
        <f t="shared" si="1"/>
        <v>0</v>
      </c>
      <c r="AR77" s="2"/>
    </row>
    <row r="78" spans="1:44" ht="15.75" x14ac:dyDescent="0.25">
      <c r="A78" s="36">
        <v>74</v>
      </c>
      <c r="B78" s="2"/>
      <c r="C78" s="2"/>
      <c r="D78" s="2"/>
      <c r="E78" s="22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10">
        <f t="shared" si="1"/>
        <v>0</v>
      </c>
      <c r="AR78" s="2"/>
    </row>
    <row r="79" spans="1:44" ht="15.75" x14ac:dyDescent="0.25">
      <c r="A79" s="36">
        <v>75</v>
      </c>
      <c r="B79" s="2"/>
      <c r="C79" s="2"/>
      <c r="D79" s="2"/>
      <c r="E79" s="22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10">
        <f t="shared" si="1"/>
        <v>0</v>
      </c>
      <c r="AR79" s="2"/>
    </row>
    <row r="80" spans="1:44" ht="15.75" x14ac:dyDescent="0.25">
      <c r="A80" s="36">
        <v>76</v>
      </c>
      <c r="B80" s="2"/>
      <c r="C80" s="2"/>
      <c r="D80" s="2"/>
      <c r="E80" s="22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10">
        <f t="shared" si="1"/>
        <v>0</v>
      </c>
      <c r="AR80" s="2"/>
    </row>
    <row r="81" spans="1:44" ht="15.75" x14ac:dyDescent="0.25">
      <c r="A81" s="36">
        <v>77</v>
      </c>
      <c r="B81" s="2"/>
      <c r="C81" s="2"/>
      <c r="D81" s="2"/>
      <c r="E81" s="22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10">
        <f t="shared" si="1"/>
        <v>0</v>
      </c>
      <c r="AR81" s="2"/>
    </row>
    <row r="82" spans="1:44" ht="15.75" x14ac:dyDescent="0.25">
      <c r="A82" s="36">
        <v>78</v>
      </c>
      <c r="B82" s="2"/>
      <c r="C82" s="2"/>
      <c r="D82" s="2"/>
      <c r="E82" s="22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10">
        <f t="shared" si="1"/>
        <v>0</v>
      </c>
      <c r="AR82" s="2"/>
    </row>
    <row r="83" spans="1:44" ht="15.75" x14ac:dyDescent="0.25">
      <c r="A83" s="36">
        <v>79</v>
      </c>
      <c r="B83" s="2"/>
      <c r="C83" s="2"/>
      <c r="D83" s="2"/>
      <c r="E83" s="22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10">
        <f t="shared" si="1"/>
        <v>0</v>
      </c>
      <c r="AR83" s="2"/>
    </row>
    <row r="84" spans="1:44" ht="15.75" x14ac:dyDescent="0.25">
      <c r="A84" s="36">
        <v>80</v>
      </c>
      <c r="B84" s="2"/>
      <c r="C84" s="2"/>
      <c r="D84" s="2"/>
      <c r="E84" s="22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10">
        <f t="shared" si="1"/>
        <v>0</v>
      </c>
      <c r="AR84" s="2"/>
    </row>
    <row r="85" spans="1:44" ht="15.75" x14ac:dyDescent="0.25">
      <c r="A85" s="36">
        <v>81</v>
      </c>
      <c r="B85" s="2"/>
      <c r="C85" s="2"/>
      <c r="D85" s="2"/>
      <c r="E85" s="39">
        <v>1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"/>
      <c r="AP85" s="2"/>
      <c r="AQ85" s="10">
        <f t="shared" si="1"/>
        <v>1</v>
      </c>
      <c r="AR85" s="2"/>
    </row>
    <row r="86" spans="1:44" ht="15.75" x14ac:dyDescent="0.25">
      <c r="A86" s="36">
        <v>82</v>
      </c>
      <c r="B86" s="2"/>
      <c r="C86" s="2"/>
      <c r="D86" s="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39">
        <v>1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"/>
      <c r="AP86" s="2"/>
      <c r="AQ86" s="10">
        <f t="shared" si="1"/>
        <v>1</v>
      </c>
      <c r="AR86" s="2"/>
    </row>
    <row r="87" spans="1:44" ht="15.75" x14ac:dyDescent="0.25">
      <c r="A87" s="36">
        <v>83</v>
      </c>
      <c r="B87" s="2"/>
      <c r="C87" s="2"/>
      <c r="D87" s="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39">
        <v>1</v>
      </c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"/>
      <c r="AP87" s="2"/>
      <c r="AQ87" s="10">
        <f t="shared" si="1"/>
        <v>1</v>
      </c>
      <c r="AR87" s="2"/>
    </row>
    <row r="88" spans="1:44" ht="15.75" x14ac:dyDescent="0.25">
      <c r="A88" s="36">
        <v>84</v>
      </c>
      <c r="B88" s="2"/>
      <c r="C88" s="2"/>
      <c r="D88" s="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39">
        <v>1</v>
      </c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"/>
      <c r="AP88" s="2"/>
      <c r="AQ88" s="10">
        <f t="shared" si="1"/>
        <v>1</v>
      </c>
      <c r="AR88" s="2"/>
    </row>
    <row r="89" spans="1:44" ht="15.75" x14ac:dyDescent="0.25">
      <c r="A89" s="36">
        <v>85</v>
      </c>
      <c r="B89" s="2"/>
      <c r="C89" s="2"/>
      <c r="D89" s="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39">
        <v>1</v>
      </c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"/>
      <c r="AP89" s="2"/>
      <c r="AQ89" s="10">
        <f t="shared" si="1"/>
        <v>1</v>
      </c>
      <c r="AR89" s="2"/>
    </row>
    <row r="90" spans="1:44" ht="15.75" x14ac:dyDescent="0.25">
      <c r="A90" s="36">
        <v>86</v>
      </c>
      <c r="B90" s="2"/>
      <c r="C90" s="2"/>
      <c r="D90" s="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39">
        <v>1</v>
      </c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"/>
      <c r="AP90" s="2"/>
      <c r="AQ90" s="10">
        <f t="shared" si="1"/>
        <v>1</v>
      </c>
      <c r="AR90" s="2"/>
    </row>
    <row r="91" spans="1:44" ht="15.75" x14ac:dyDescent="0.25">
      <c r="A91" s="36">
        <v>87</v>
      </c>
      <c r="B91" s="2"/>
      <c r="C91" s="2"/>
      <c r="D91" s="2"/>
      <c r="E91" s="39">
        <v>1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"/>
      <c r="AP91" s="2"/>
      <c r="AQ91" s="10">
        <f t="shared" si="1"/>
        <v>1</v>
      </c>
      <c r="AR91" s="2"/>
    </row>
    <row r="92" spans="1:44" ht="15.75" x14ac:dyDescent="0.25">
      <c r="A92" s="36">
        <v>88</v>
      </c>
      <c r="B92" s="2"/>
      <c r="C92" s="2"/>
      <c r="D92" s="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39">
        <v>1</v>
      </c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"/>
      <c r="AP92" s="2"/>
      <c r="AQ92" s="10">
        <f t="shared" si="1"/>
        <v>1</v>
      </c>
      <c r="AR92" s="2"/>
    </row>
    <row r="93" spans="1:44" ht="15.75" x14ac:dyDescent="0.25">
      <c r="A93" s="36">
        <v>89</v>
      </c>
      <c r="B93" s="2"/>
      <c r="C93" s="2"/>
      <c r="D93" s="2"/>
      <c r="E93" s="22"/>
      <c r="F93" s="22"/>
      <c r="G93" s="22"/>
      <c r="H93" s="22"/>
      <c r="I93" s="22"/>
      <c r="J93" s="22"/>
      <c r="K93" s="39">
        <v>1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"/>
      <c r="AP93" s="2"/>
      <c r="AQ93" s="10">
        <f t="shared" si="1"/>
        <v>1</v>
      </c>
      <c r="AR93" s="2"/>
    </row>
    <row r="94" spans="1:44" ht="15.75" x14ac:dyDescent="0.25">
      <c r="A94" s="36">
        <v>90</v>
      </c>
      <c r="B94" s="2"/>
      <c r="C94" s="2"/>
      <c r="D94" s="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39">
        <v>1</v>
      </c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"/>
      <c r="AP94" s="2"/>
      <c r="AQ94" s="10">
        <f t="shared" si="1"/>
        <v>1</v>
      </c>
      <c r="AR94" s="2"/>
    </row>
    <row r="95" spans="1:44" ht="15.75" x14ac:dyDescent="0.25">
      <c r="A95" s="36">
        <v>91</v>
      </c>
      <c r="B95" s="2"/>
      <c r="C95" s="2"/>
      <c r="D95" s="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39">
        <v>1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"/>
      <c r="AP95" s="2"/>
      <c r="AQ95" s="10">
        <f t="shared" si="1"/>
        <v>1</v>
      </c>
      <c r="AR95" s="2"/>
    </row>
    <row r="96" spans="1:44" ht="15.75" x14ac:dyDescent="0.25">
      <c r="A96" s="36">
        <v>92</v>
      </c>
      <c r="B96" s="2"/>
      <c r="C96" s="2"/>
      <c r="D96" s="2"/>
      <c r="E96" s="22"/>
      <c r="F96" s="22"/>
      <c r="G96" s="22"/>
      <c r="H96" s="22"/>
      <c r="I96" s="22"/>
      <c r="J96" s="22"/>
      <c r="K96" s="22"/>
      <c r="L96" s="22"/>
      <c r="M96" s="39">
        <v>1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"/>
      <c r="AP96" s="2"/>
      <c r="AQ96" s="10">
        <f t="shared" si="1"/>
        <v>1</v>
      </c>
      <c r="AR96" s="2"/>
    </row>
    <row r="97" spans="1:44" ht="15.75" x14ac:dyDescent="0.25">
      <c r="A97" s="36">
        <v>93</v>
      </c>
      <c r="B97" s="2"/>
      <c r="C97" s="2"/>
      <c r="D97" s="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39">
        <v>1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"/>
      <c r="AP97" s="2"/>
      <c r="AQ97" s="10">
        <f t="shared" si="1"/>
        <v>1</v>
      </c>
      <c r="AR97" s="2"/>
    </row>
    <row r="98" spans="1:44" ht="15.75" x14ac:dyDescent="0.25">
      <c r="A98" s="36">
        <v>94</v>
      </c>
      <c r="B98" s="2"/>
      <c r="C98" s="2"/>
      <c r="D98" s="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39">
        <v>1</v>
      </c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"/>
      <c r="AP98" s="2"/>
      <c r="AQ98" s="10">
        <f t="shared" si="1"/>
        <v>1</v>
      </c>
      <c r="AR98" s="2"/>
    </row>
    <row r="99" spans="1:44" ht="15.75" x14ac:dyDescent="0.25">
      <c r="A99" s="36">
        <v>95</v>
      </c>
      <c r="B99" s="2"/>
      <c r="C99" s="2"/>
      <c r="D99" s="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39">
        <v>1</v>
      </c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"/>
      <c r="AP99" s="2"/>
      <c r="AQ99" s="10">
        <f t="shared" si="1"/>
        <v>1</v>
      </c>
      <c r="AR99" s="2"/>
    </row>
    <row r="100" spans="1:44" ht="15.75" x14ac:dyDescent="0.25">
      <c r="A100" s="36">
        <v>96</v>
      </c>
      <c r="B100" s="2"/>
      <c r="C100" s="2"/>
      <c r="D100" s="2"/>
      <c r="E100" s="22"/>
      <c r="F100" s="22"/>
      <c r="G100" s="22"/>
      <c r="H100" s="22"/>
      <c r="I100" s="39">
        <v>1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"/>
      <c r="AP100" s="2"/>
      <c r="AQ100" s="10">
        <f t="shared" si="1"/>
        <v>1</v>
      </c>
      <c r="AR100" s="2"/>
    </row>
    <row r="101" spans="1:44" ht="15.75" x14ac:dyDescent="0.25">
      <c r="A101" s="36">
        <v>97</v>
      </c>
      <c r="B101" s="2"/>
      <c r="C101" s="2"/>
      <c r="D101" s="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39">
        <v>1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"/>
      <c r="AP101" s="2"/>
      <c r="AQ101" s="10">
        <f t="shared" si="1"/>
        <v>1</v>
      </c>
      <c r="AR101" s="2"/>
    </row>
    <row r="102" spans="1:44" ht="15.75" x14ac:dyDescent="0.25">
      <c r="A102" s="36">
        <v>98</v>
      </c>
      <c r="B102" s="2"/>
      <c r="C102" s="2"/>
      <c r="D102" s="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39">
        <v>1</v>
      </c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"/>
      <c r="AP102" s="2"/>
      <c r="AQ102" s="10">
        <f t="shared" si="1"/>
        <v>1</v>
      </c>
      <c r="AR102" s="2"/>
    </row>
    <row r="103" spans="1:44" ht="15.75" x14ac:dyDescent="0.25">
      <c r="A103" s="36">
        <v>99</v>
      </c>
      <c r="B103" s="2"/>
      <c r="C103" s="2"/>
      <c r="D103" s="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39">
        <v>1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"/>
      <c r="AP103" s="2"/>
      <c r="AQ103" s="10">
        <f t="shared" si="1"/>
        <v>1</v>
      </c>
      <c r="AR103" s="2"/>
    </row>
    <row r="104" spans="1:44" ht="15.75" x14ac:dyDescent="0.25">
      <c r="A104" s="36">
        <v>100</v>
      </c>
      <c r="B104" s="2"/>
      <c r="C104" s="2"/>
      <c r="D104" s="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39">
        <v>1</v>
      </c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"/>
      <c r="AP104" s="2"/>
      <c r="AQ104" s="10">
        <f t="shared" si="1"/>
        <v>1</v>
      </c>
      <c r="AR104" s="2"/>
    </row>
    <row r="105" spans="1:44" ht="15.75" x14ac:dyDescent="0.25">
      <c r="A105" s="36">
        <v>101</v>
      </c>
      <c r="B105" s="2"/>
      <c r="C105" s="2"/>
      <c r="D105" s="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39">
        <v>1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"/>
      <c r="AP105" s="2"/>
      <c r="AQ105" s="10">
        <f t="shared" si="1"/>
        <v>1</v>
      </c>
      <c r="AR105" s="2"/>
    </row>
    <row r="106" spans="1:44" ht="15.75" x14ac:dyDescent="0.25">
      <c r="A106" s="36">
        <v>102</v>
      </c>
      <c r="B106" s="2"/>
      <c r="C106" s="2"/>
      <c r="D106" s="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39">
        <v>1</v>
      </c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"/>
      <c r="AP106" s="2"/>
      <c r="AQ106" s="10">
        <f t="shared" si="1"/>
        <v>1</v>
      </c>
      <c r="AR106" s="2"/>
    </row>
    <row r="107" spans="1:44" ht="15.75" x14ac:dyDescent="0.25">
      <c r="A107" s="36">
        <v>103</v>
      </c>
      <c r="B107" s="2"/>
      <c r="C107" s="2"/>
      <c r="D107" s="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39">
        <v>1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"/>
      <c r="AP107" s="2"/>
      <c r="AQ107" s="10">
        <f t="shared" si="1"/>
        <v>1</v>
      </c>
      <c r="AR107" s="2"/>
    </row>
    <row r="108" spans="1:44" ht="15.75" x14ac:dyDescent="0.25">
      <c r="A108" s="36">
        <v>104</v>
      </c>
      <c r="B108" s="2"/>
      <c r="C108" s="2"/>
      <c r="D108" s="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39">
        <v>1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"/>
      <c r="AP108" s="2"/>
      <c r="AQ108" s="10">
        <f t="shared" si="1"/>
        <v>1</v>
      </c>
      <c r="AR108" s="2"/>
    </row>
    <row r="109" spans="1:44" ht="15.75" x14ac:dyDescent="0.25">
      <c r="A109" s="36">
        <v>105</v>
      </c>
      <c r="B109" s="2"/>
      <c r="C109" s="38">
        <v>1</v>
      </c>
      <c r="D109" s="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"/>
      <c r="AP109" s="2"/>
      <c r="AQ109" s="10">
        <f t="shared" si="1"/>
        <v>1</v>
      </c>
      <c r="AR109" s="2"/>
    </row>
    <row r="110" spans="1:44" ht="15.75" x14ac:dyDescent="0.25">
      <c r="A110" s="36">
        <v>106</v>
      </c>
      <c r="B110" s="2"/>
      <c r="C110" s="2"/>
      <c r="D110" s="38">
        <v>1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"/>
      <c r="AP110" s="2"/>
      <c r="AQ110" s="10">
        <f t="shared" si="1"/>
        <v>1</v>
      </c>
      <c r="AR110" s="2"/>
    </row>
    <row r="111" spans="1:44" ht="15.75" x14ac:dyDescent="0.25">
      <c r="A111" s="36">
        <v>107</v>
      </c>
      <c r="B111" s="2"/>
      <c r="C111" s="2"/>
      <c r="D111" s="2"/>
      <c r="E111" s="22"/>
      <c r="F111" s="39">
        <v>1</v>
      </c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"/>
      <c r="AP111" s="2"/>
      <c r="AQ111" s="10">
        <f t="shared" si="1"/>
        <v>1</v>
      </c>
      <c r="AR111" s="2"/>
    </row>
    <row r="112" spans="1:44" ht="15.75" x14ac:dyDescent="0.25">
      <c r="A112" s="36">
        <v>108</v>
      </c>
      <c r="B112" s="2"/>
      <c r="C112" s="2"/>
      <c r="D112" s="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39">
        <v>1</v>
      </c>
      <c r="AF112" s="22"/>
      <c r="AG112" s="22"/>
      <c r="AH112" s="22"/>
      <c r="AI112" s="22"/>
      <c r="AJ112" s="22"/>
      <c r="AK112" s="22"/>
      <c r="AL112" s="22"/>
      <c r="AM112" s="22"/>
      <c r="AN112" s="22"/>
      <c r="AO112" s="2"/>
      <c r="AP112" s="2"/>
      <c r="AQ112" s="10">
        <f t="shared" si="1"/>
        <v>1</v>
      </c>
      <c r="AR112" s="2"/>
    </row>
    <row r="113" spans="1:44" ht="15.75" x14ac:dyDescent="0.25">
      <c r="A113" s="36">
        <v>109</v>
      </c>
      <c r="B113" s="2"/>
      <c r="C113" s="2"/>
      <c r="D113" s="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39">
        <v>1</v>
      </c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"/>
      <c r="AP113" s="2"/>
      <c r="AQ113" s="10">
        <f t="shared" si="1"/>
        <v>1</v>
      </c>
      <c r="AR113" s="2"/>
    </row>
    <row r="114" spans="1:44" ht="15.75" x14ac:dyDescent="0.25">
      <c r="A114" s="36">
        <v>110</v>
      </c>
      <c r="B114" s="2"/>
      <c r="C114" s="2"/>
      <c r="D114" s="39">
        <v>1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"/>
      <c r="AP114" s="2"/>
      <c r="AQ114" s="10">
        <f t="shared" si="1"/>
        <v>1</v>
      </c>
      <c r="AR114" s="2"/>
    </row>
    <row r="115" spans="1:44" ht="15.75" x14ac:dyDescent="0.25">
      <c r="A115" s="36">
        <v>111</v>
      </c>
      <c r="B115" s="2"/>
      <c r="C115" s="2"/>
      <c r="D115" s="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39">
        <v>1</v>
      </c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"/>
      <c r="AP115" s="2"/>
      <c r="AQ115" s="10">
        <f t="shared" si="1"/>
        <v>1</v>
      </c>
      <c r="AR115" s="2"/>
    </row>
    <row r="116" spans="1:44" ht="15.75" x14ac:dyDescent="0.25">
      <c r="A116" s="36">
        <v>112</v>
      </c>
      <c r="B116" s="2"/>
      <c r="C116" s="2"/>
      <c r="D116" s="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39">
        <v>1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"/>
      <c r="AP116" s="2"/>
      <c r="AQ116" s="10">
        <f t="shared" si="1"/>
        <v>1</v>
      </c>
      <c r="AR116" s="2"/>
    </row>
    <row r="117" spans="1:44" ht="15.75" x14ac:dyDescent="0.25">
      <c r="A117" s="36">
        <v>113</v>
      </c>
      <c r="B117" s="2"/>
      <c r="C117" s="2"/>
      <c r="D117" s="2"/>
      <c r="E117" s="22"/>
      <c r="F117" s="22"/>
      <c r="G117" s="22"/>
      <c r="H117" s="22"/>
      <c r="I117" s="39">
        <v>1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"/>
      <c r="AP117" s="2"/>
      <c r="AQ117" s="10">
        <f t="shared" si="1"/>
        <v>1</v>
      </c>
      <c r="AR117" s="2"/>
    </row>
    <row r="118" spans="1:44" ht="15.75" x14ac:dyDescent="0.25">
      <c r="A118" s="36">
        <v>114</v>
      </c>
      <c r="B118" s="2"/>
      <c r="C118" s="2"/>
      <c r="D118" s="2"/>
      <c r="E118" s="22"/>
      <c r="F118" s="22"/>
      <c r="G118" s="22"/>
      <c r="H118" s="22"/>
      <c r="I118" s="39">
        <v>1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"/>
      <c r="AP118" s="2"/>
      <c r="AQ118" s="10">
        <f t="shared" si="1"/>
        <v>1</v>
      </c>
      <c r="AR118" s="2"/>
    </row>
    <row r="119" spans="1:44" ht="15.75" x14ac:dyDescent="0.25">
      <c r="A119" s="36">
        <v>115</v>
      </c>
      <c r="B119" s="2"/>
      <c r="C119" s="2"/>
      <c r="D119" s="2"/>
      <c r="E119" s="22"/>
      <c r="F119" s="22"/>
      <c r="G119" s="22"/>
      <c r="H119" s="22"/>
      <c r="I119" s="39">
        <v>1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"/>
      <c r="AP119" s="2"/>
      <c r="AQ119" s="10">
        <f t="shared" si="1"/>
        <v>1</v>
      </c>
      <c r="AR119" s="2"/>
    </row>
    <row r="120" spans="1:44" ht="15.75" x14ac:dyDescent="0.25">
      <c r="A120" s="36">
        <v>116</v>
      </c>
      <c r="B120" s="2"/>
      <c r="C120" s="2"/>
      <c r="D120" s="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39">
        <v>1</v>
      </c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"/>
      <c r="AP120" s="2"/>
      <c r="AQ120" s="10">
        <f t="shared" si="1"/>
        <v>1</v>
      </c>
      <c r="AR120" s="2"/>
    </row>
    <row r="121" spans="1:44" ht="15.75" x14ac:dyDescent="0.25">
      <c r="A121" s="36">
        <v>117</v>
      </c>
      <c r="B121" s="2"/>
      <c r="C121" s="2"/>
      <c r="D121" s="2"/>
      <c r="E121" s="22"/>
      <c r="F121" s="22"/>
      <c r="G121" s="22"/>
      <c r="H121" s="22"/>
      <c r="I121" s="39">
        <v>1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"/>
      <c r="AP121" s="2"/>
      <c r="AQ121" s="10">
        <f t="shared" si="1"/>
        <v>1</v>
      </c>
      <c r="AR121" s="2"/>
    </row>
    <row r="122" spans="1:44" ht="15.75" x14ac:dyDescent="0.25">
      <c r="A122" s="36">
        <v>118</v>
      </c>
      <c r="B122" s="2"/>
      <c r="C122" s="39">
        <v>1</v>
      </c>
      <c r="D122" s="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"/>
      <c r="AP122" s="2"/>
      <c r="AQ122" s="10">
        <f t="shared" si="1"/>
        <v>1</v>
      </c>
      <c r="AR122" s="2"/>
    </row>
    <row r="123" spans="1:44" ht="15.75" x14ac:dyDescent="0.25">
      <c r="A123" s="36">
        <v>119</v>
      </c>
      <c r="B123" s="2"/>
      <c r="C123" s="2"/>
      <c r="D123" s="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39">
        <v>1</v>
      </c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"/>
      <c r="AP123" s="2"/>
      <c r="AQ123" s="10">
        <f t="shared" si="1"/>
        <v>1</v>
      </c>
      <c r="AR123" s="2"/>
    </row>
    <row r="124" spans="1:44" s="45" customFormat="1" ht="15.75" x14ac:dyDescent="0.25">
      <c r="A124" s="46">
        <v>120</v>
      </c>
      <c r="B124" s="47"/>
      <c r="C124" s="47"/>
      <c r="D124" s="47"/>
      <c r="E124" s="48"/>
      <c r="F124" s="48"/>
      <c r="G124" s="48"/>
      <c r="H124" s="48"/>
      <c r="I124" s="49">
        <v>1</v>
      </c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7"/>
      <c r="AP124" s="47"/>
      <c r="AQ124" s="10">
        <f t="shared" si="1"/>
        <v>1</v>
      </c>
      <c r="AR124" s="47"/>
    </row>
    <row r="125" spans="1:44" ht="15.75" x14ac:dyDescent="0.25">
      <c r="A125" s="36" t="s">
        <v>17</v>
      </c>
      <c r="B125" s="2">
        <f>COUNT(B5:B124)</f>
        <v>0</v>
      </c>
      <c r="C125" s="2">
        <f t="shared" ref="C125:AP125" si="2">COUNT(C5:C124)</f>
        <v>4</v>
      </c>
      <c r="D125" s="2">
        <f t="shared" si="2"/>
        <v>3</v>
      </c>
      <c r="E125" s="2">
        <f t="shared" si="2"/>
        <v>4</v>
      </c>
      <c r="F125" s="2">
        <f t="shared" si="2"/>
        <v>1</v>
      </c>
      <c r="G125" s="2">
        <f t="shared" si="2"/>
        <v>0</v>
      </c>
      <c r="H125" s="2">
        <f t="shared" si="2"/>
        <v>0</v>
      </c>
      <c r="I125" s="2">
        <f t="shared" si="2"/>
        <v>9</v>
      </c>
      <c r="J125" s="2">
        <f t="shared" si="2"/>
        <v>1</v>
      </c>
      <c r="K125" s="2">
        <f t="shared" si="2"/>
        <v>2</v>
      </c>
      <c r="L125" s="2">
        <f t="shared" si="2"/>
        <v>2</v>
      </c>
      <c r="M125" s="2">
        <f t="shared" si="2"/>
        <v>3</v>
      </c>
      <c r="N125" s="2">
        <f t="shared" si="2"/>
        <v>0</v>
      </c>
      <c r="O125" s="2">
        <f t="shared" si="2"/>
        <v>0</v>
      </c>
      <c r="P125" s="2">
        <f t="shared" si="2"/>
        <v>13</v>
      </c>
      <c r="Q125" s="2">
        <f t="shared" si="2"/>
        <v>3</v>
      </c>
      <c r="R125" s="2">
        <f t="shared" si="2"/>
        <v>3</v>
      </c>
      <c r="S125" s="2">
        <f t="shared" si="2"/>
        <v>6</v>
      </c>
      <c r="T125" s="2">
        <f t="shared" si="2"/>
        <v>9</v>
      </c>
      <c r="U125" s="2">
        <f t="shared" si="2"/>
        <v>0</v>
      </c>
      <c r="V125" s="2">
        <f t="shared" si="2"/>
        <v>0</v>
      </c>
      <c r="W125" s="2">
        <f t="shared" si="2"/>
        <v>11</v>
      </c>
      <c r="X125" s="2">
        <f t="shared" si="2"/>
        <v>2</v>
      </c>
      <c r="Y125" s="2">
        <f t="shared" si="2"/>
        <v>2</v>
      </c>
      <c r="Z125" s="2">
        <f t="shared" si="2"/>
        <v>3</v>
      </c>
      <c r="AA125" s="2">
        <f t="shared" si="2"/>
        <v>1</v>
      </c>
      <c r="AB125" s="2">
        <f t="shared" si="2"/>
        <v>0</v>
      </c>
      <c r="AC125" s="2">
        <f t="shared" si="2"/>
        <v>0</v>
      </c>
      <c r="AD125" s="2">
        <f t="shared" si="2"/>
        <v>8</v>
      </c>
      <c r="AE125" s="2">
        <f t="shared" si="2"/>
        <v>3</v>
      </c>
      <c r="AF125" s="2">
        <f t="shared" si="2"/>
        <v>0</v>
      </c>
      <c r="AG125" s="2">
        <f t="shared" si="2"/>
        <v>0</v>
      </c>
      <c r="AH125" s="2">
        <f t="shared" si="2"/>
        <v>1</v>
      </c>
      <c r="AI125" s="2">
        <f t="shared" si="2"/>
        <v>0</v>
      </c>
      <c r="AJ125" s="2">
        <f t="shared" si="2"/>
        <v>0</v>
      </c>
      <c r="AK125" s="2">
        <f t="shared" si="2"/>
        <v>0</v>
      </c>
      <c r="AL125" s="2">
        <f t="shared" si="2"/>
        <v>2</v>
      </c>
      <c r="AM125" s="2">
        <f t="shared" si="2"/>
        <v>1</v>
      </c>
      <c r="AN125" s="2">
        <f t="shared" si="2"/>
        <v>1</v>
      </c>
      <c r="AO125" s="2">
        <f t="shared" si="2"/>
        <v>2</v>
      </c>
      <c r="AP125" s="2">
        <f t="shared" si="2"/>
        <v>0</v>
      </c>
      <c r="AQ125" s="2">
        <f>SUM(B125:AP125)</f>
        <v>100</v>
      </c>
      <c r="AR125" s="2"/>
    </row>
    <row r="126" spans="1:44" ht="15.75" x14ac:dyDescent="0.25">
      <c r="A126" s="36"/>
      <c r="B126" s="2">
        <f>'Albopictus Mortality'!C28</f>
        <v>0</v>
      </c>
      <c r="C126" s="2">
        <f>'Albopictus Mortality'!D28</f>
        <v>1</v>
      </c>
      <c r="D126" s="2">
        <f>'Albopictus Mortality'!E28</f>
        <v>2</v>
      </c>
      <c r="E126" s="2">
        <f>'Albopictus Mortality'!F28</f>
        <v>0</v>
      </c>
      <c r="F126" s="2">
        <f>'Albopictus Mortality'!G28</f>
        <v>0</v>
      </c>
      <c r="G126" s="2">
        <f>'Albopictus Mortality'!H28</f>
        <v>0</v>
      </c>
      <c r="H126" s="2">
        <f>'Albopictus Mortality'!I28</f>
        <v>0</v>
      </c>
      <c r="I126" s="2">
        <f>'Albopictus Mortality'!J28</f>
        <v>2</v>
      </c>
      <c r="J126" s="2">
        <f>'Albopictus Mortality'!K28</f>
        <v>0</v>
      </c>
      <c r="K126" s="2">
        <f>'Albopictus Mortality'!L28</f>
        <v>1</v>
      </c>
      <c r="L126" s="2">
        <f>'Albopictus Mortality'!M28</f>
        <v>0</v>
      </c>
      <c r="M126" s="2">
        <f>'Albopictus Mortality'!N28</f>
        <v>0</v>
      </c>
      <c r="N126" s="2">
        <f>'Albopictus Mortality'!O28</f>
        <v>0</v>
      </c>
      <c r="O126" s="2">
        <f>'Albopictus Mortality'!P28</f>
        <v>0</v>
      </c>
      <c r="P126" s="2">
        <f>'Albopictus Mortality'!Q28</f>
        <v>0</v>
      </c>
      <c r="Q126" s="2">
        <f>'Albopictus Mortality'!R28</f>
        <v>0</v>
      </c>
      <c r="R126" s="2">
        <f>'Albopictus Mortality'!S28</f>
        <v>0</v>
      </c>
      <c r="S126" s="2">
        <f>'Albopictus Mortality'!T28</f>
        <v>1</v>
      </c>
      <c r="T126" s="2">
        <f>'Albopictus Mortality'!U28</f>
        <v>2</v>
      </c>
      <c r="U126" s="2">
        <f>'Albopictus Mortality'!V28</f>
        <v>0</v>
      </c>
      <c r="V126" s="2">
        <f>'Albopictus Mortality'!W28</f>
        <v>0</v>
      </c>
      <c r="W126" s="2">
        <f>'Albopictus Mortality'!X28</f>
        <v>1</v>
      </c>
      <c r="X126" s="2">
        <f>'Albopictus Mortality'!Y28</f>
        <v>0</v>
      </c>
      <c r="Y126" s="2">
        <f>'Albopictus Mortality'!Z28</f>
        <v>0</v>
      </c>
      <c r="Z126" s="2">
        <f>'Albopictus Mortality'!AA28</f>
        <v>0</v>
      </c>
      <c r="AA126" s="2">
        <f>'Albopictus Mortality'!AB28</f>
        <v>0</v>
      </c>
      <c r="AB126" s="2">
        <f>'Albopictus Mortality'!AC28</f>
        <v>0</v>
      </c>
      <c r="AC126" s="2">
        <f>'Albopictus Mortality'!AD28</f>
        <v>0</v>
      </c>
      <c r="AD126" s="2">
        <f>'Albopictus Mortality'!AE28</f>
        <v>0</v>
      </c>
      <c r="AE126" s="2">
        <f>'Albopictus Mortality'!AF28</f>
        <v>1</v>
      </c>
      <c r="AF126" s="2">
        <f>'Albopictus Mortality'!AG28</f>
        <v>0</v>
      </c>
      <c r="AG126" s="2">
        <f>'Albopictus Mortality'!AH28</f>
        <v>0</v>
      </c>
      <c r="AH126" s="2">
        <f>'Albopictus Mortality'!AI28</f>
        <v>0</v>
      </c>
      <c r="AI126" s="2">
        <f>'Albopictus Mortality'!AJ28</f>
        <v>0</v>
      </c>
      <c r="AJ126" s="2">
        <f>'Albopictus Mortality'!AK28</f>
        <v>0</v>
      </c>
      <c r="AK126" s="2">
        <f>'Albopictus Mortality'!AL28</f>
        <v>0</v>
      </c>
      <c r="AL126" s="2">
        <f>'Albopictus Mortality'!AM28</f>
        <v>0</v>
      </c>
      <c r="AM126" s="2">
        <f>'Albopictus Mortality'!AN28</f>
        <v>0</v>
      </c>
      <c r="AN126" s="2">
        <f>'Albopictus Mortality'!AO28</f>
        <v>1</v>
      </c>
      <c r="AO126" s="2">
        <f>'Albopictus Mortality'!AP28</f>
        <v>1</v>
      </c>
      <c r="AP126" s="2" t="e">
        <f>'Albopictus Mortality'!#REF!</f>
        <v>#REF!</v>
      </c>
      <c r="AQ126" s="2"/>
      <c r="AR126" s="2"/>
    </row>
    <row r="127" spans="1:44" ht="15.75" x14ac:dyDescent="0.25">
      <c r="A127" s="36"/>
      <c r="B127" s="2">
        <f>B125-B126</f>
        <v>0</v>
      </c>
      <c r="C127" s="2">
        <f t="shared" ref="C127:AP127" si="3">C125-C126</f>
        <v>3</v>
      </c>
      <c r="D127" s="2">
        <f t="shared" si="3"/>
        <v>1</v>
      </c>
      <c r="E127" s="2">
        <f t="shared" si="3"/>
        <v>4</v>
      </c>
      <c r="F127" s="2">
        <f t="shared" si="3"/>
        <v>1</v>
      </c>
      <c r="G127" s="2">
        <f t="shared" si="3"/>
        <v>0</v>
      </c>
      <c r="H127" s="2">
        <f t="shared" si="3"/>
        <v>0</v>
      </c>
      <c r="I127" s="2">
        <f t="shared" si="3"/>
        <v>7</v>
      </c>
      <c r="J127" s="2">
        <f t="shared" si="3"/>
        <v>1</v>
      </c>
      <c r="K127" s="2">
        <f t="shared" si="3"/>
        <v>1</v>
      </c>
      <c r="L127" s="2">
        <f t="shared" si="3"/>
        <v>2</v>
      </c>
      <c r="M127" s="2">
        <f t="shared" si="3"/>
        <v>3</v>
      </c>
      <c r="N127" s="2">
        <f t="shared" si="3"/>
        <v>0</v>
      </c>
      <c r="O127" s="2">
        <f t="shared" si="3"/>
        <v>0</v>
      </c>
      <c r="P127" s="2">
        <f t="shared" si="3"/>
        <v>13</v>
      </c>
      <c r="Q127" s="2">
        <f t="shared" si="3"/>
        <v>3</v>
      </c>
      <c r="R127" s="2">
        <f t="shared" si="3"/>
        <v>3</v>
      </c>
      <c r="S127" s="2">
        <f t="shared" si="3"/>
        <v>5</v>
      </c>
      <c r="T127" s="2">
        <f t="shared" si="3"/>
        <v>7</v>
      </c>
      <c r="U127" s="2">
        <f t="shared" si="3"/>
        <v>0</v>
      </c>
      <c r="V127" s="2">
        <f t="shared" si="3"/>
        <v>0</v>
      </c>
      <c r="W127" s="2">
        <f t="shared" si="3"/>
        <v>10</v>
      </c>
      <c r="X127" s="2">
        <f t="shared" si="3"/>
        <v>2</v>
      </c>
      <c r="Y127" s="2">
        <f t="shared" si="3"/>
        <v>2</v>
      </c>
      <c r="Z127" s="2">
        <f t="shared" si="3"/>
        <v>3</v>
      </c>
      <c r="AA127" s="2">
        <f t="shared" si="3"/>
        <v>1</v>
      </c>
      <c r="AB127" s="2">
        <f t="shared" si="3"/>
        <v>0</v>
      </c>
      <c r="AC127" s="2">
        <f t="shared" si="3"/>
        <v>0</v>
      </c>
      <c r="AD127" s="2">
        <f t="shared" si="3"/>
        <v>8</v>
      </c>
      <c r="AE127" s="2">
        <f t="shared" si="3"/>
        <v>2</v>
      </c>
      <c r="AF127" s="2">
        <f t="shared" si="3"/>
        <v>0</v>
      </c>
      <c r="AG127" s="2">
        <f t="shared" si="3"/>
        <v>0</v>
      </c>
      <c r="AH127" s="2">
        <f t="shared" si="3"/>
        <v>1</v>
      </c>
      <c r="AI127" s="2">
        <f t="shared" si="3"/>
        <v>0</v>
      </c>
      <c r="AJ127" s="2">
        <f t="shared" si="3"/>
        <v>0</v>
      </c>
      <c r="AK127" s="2">
        <f t="shared" si="3"/>
        <v>0</v>
      </c>
      <c r="AL127" s="2">
        <f t="shared" si="3"/>
        <v>2</v>
      </c>
      <c r="AM127" s="2">
        <f t="shared" si="3"/>
        <v>1</v>
      </c>
      <c r="AN127" s="2">
        <f t="shared" si="3"/>
        <v>0</v>
      </c>
      <c r="AO127" s="2">
        <f t="shared" si="3"/>
        <v>1</v>
      </c>
      <c r="AP127" s="2" t="e">
        <f t="shared" si="3"/>
        <v>#REF!</v>
      </c>
      <c r="AQ127" s="2"/>
      <c r="AR127" s="2"/>
    </row>
    <row r="128" spans="1:44" ht="15.75" x14ac:dyDescent="0.25">
      <c r="A128" s="36"/>
      <c r="B128" s="2"/>
      <c r="C128" s="2"/>
      <c r="D128" s="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"/>
      <c r="AP128" s="2"/>
      <c r="AQ128" s="2"/>
      <c r="AR128" s="2"/>
    </row>
    <row r="129" spans="1:44" ht="15.75" x14ac:dyDescent="0.25">
      <c r="A129" s="36"/>
      <c r="B129" s="2"/>
      <c r="C129" s="2"/>
      <c r="D129" s="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"/>
      <c r="AP129" s="2"/>
      <c r="AQ129" s="2"/>
      <c r="AR129" s="2"/>
    </row>
    <row r="130" spans="1:44" ht="15.75" x14ac:dyDescent="0.25">
      <c r="A130" s="36"/>
      <c r="B130" s="2"/>
      <c r="C130" s="2"/>
      <c r="D130" s="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"/>
      <c r="AP130" s="2"/>
      <c r="AQ130" s="2"/>
      <c r="AR130" s="2"/>
    </row>
    <row r="131" spans="1:44" ht="15.75" x14ac:dyDescent="0.25">
      <c r="A131" s="36"/>
      <c r="B131" s="2"/>
      <c r="C131" s="2"/>
      <c r="D131" s="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"/>
      <c r="AP131" s="2"/>
      <c r="AQ131" s="2"/>
      <c r="AR131" s="2"/>
    </row>
    <row r="132" spans="1:44" ht="15.75" x14ac:dyDescent="0.25">
      <c r="A132" s="36"/>
      <c r="B132" s="2"/>
      <c r="C132" s="2"/>
      <c r="D132" s="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"/>
      <c r="AP132" s="2"/>
      <c r="AQ132" s="2"/>
      <c r="AR132" s="2"/>
    </row>
    <row r="133" spans="1:44" ht="15.75" x14ac:dyDescent="0.25">
      <c r="A133" s="36"/>
      <c r="B133" s="2"/>
      <c r="C133" s="2"/>
      <c r="D133" s="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"/>
      <c r="AP133" s="2"/>
      <c r="AQ133" s="2"/>
      <c r="AR133" s="2"/>
    </row>
    <row r="134" spans="1:44" ht="15.75" x14ac:dyDescent="0.25">
      <c r="A134" s="36"/>
      <c r="B134" s="2"/>
      <c r="C134" s="2"/>
      <c r="D134" s="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"/>
      <c r="AP134" s="2"/>
      <c r="AQ134" s="2"/>
      <c r="AR134" s="2"/>
    </row>
    <row r="135" spans="1:44" ht="15.75" x14ac:dyDescent="0.25">
      <c r="A135" s="36"/>
      <c r="B135" s="2"/>
      <c r="C135" s="2"/>
      <c r="D135" s="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"/>
      <c r="AP135" s="2"/>
      <c r="AQ135" s="2"/>
      <c r="AR135" s="2"/>
    </row>
    <row r="136" spans="1:44" ht="15.75" x14ac:dyDescent="0.25">
      <c r="A136" s="36"/>
      <c r="B136" s="2"/>
      <c r="C136" s="2"/>
      <c r="D136" s="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"/>
      <c r="AP136" s="2"/>
      <c r="AQ136" s="2"/>
      <c r="AR136" s="2"/>
    </row>
    <row r="137" spans="1:44" ht="15.75" x14ac:dyDescent="0.25">
      <c r="A137" s="36"/>
      <c r="B137" s="2"/>
      <c r="C137" s="2"/>
      <c r="D137" s="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"/>
      <c r="AP137" s="2"/>
      <c r="AQ137" s="2"/>
      <c r="AR137" s="2"/>
    </row>
    <row r="138" spans="1:44" ht="15.75" x14ac:dyDescent="0.25">
      <c r="A138" s="36"/>
      <c r="B138" s="2"/>
      <c r="C138" s="2"/>
      <c r="D138" s="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"/>
      <c r="AP138" s="2"/>
      <c r="AQ138" s="2"/>
      <c r="AR138" s="2"/>
    </row>
    <row r="139" spans="1:44" ht="15.75" x14ac:dyDescent="0.25">
      <c r="A139" s="36"/>
      <c r="B139" s="2"/>
      <c r="C139" s="2"/>
      <c r="D139" s="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"/>
      <c r="AP139" s="2"/>
      <c r="AQ139" s="2"/>
      <c r="AR139" s="2"/>
    </row>
    <row r="140" spans="1:44" ht="15.75" x14ac:dyDescent="0.25">
      <c r="A140" s="36"/>
      <c r="B140" s="2"/>
      <c r="C140" s="2"/>
      <c r="D140" s="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"/>
      <c r="AP140" s="2"/>
      <c r="AQ140" s="2"/>
      <c r="AR140" s="2"/>
    </row>
    <row r="141" spans="1:44" ht="15.75" x14ac:dyDescent="0.25">
      <c r="A141" s="36"/>
      <c r="B141" s="2"/>
      <c r="C141" s="2"/>
      <c r="D141" s="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"/>
      <c r="AP141" s="2"/>
      <c r="AQ141" s="2"/>
      <c r="AR141" s="2"/>
    </row>
    <row r="142" spans="1:44" ht="15.75" x14ac:dyDescent="0.25">
      <c r="A142" s="2"/>
      <c r="B142" s="2"/>
      <c r="C142" s="2"/>
      <c r="D142" s="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5.75" x14ac:dyDescent="0.25">
      <c r="A143" s="2"/>
      <c r="B143" s="2"/>
      <c r="C143" s="2"/>
      <c r="D143" s="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5.75" x14ac:dyDescent="0.25">
      <c r="A144" s="2"/>
      <c r="B144" s="2"/>
      <c r="C144" s="2"/>
      <c r="D144" s="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5.75" x14ac:dyDescent="0.25">
      <c r="A145" s="2"/>
      <c r="B145" s="2"/>
      <c r="C145" s="2"/>
      <c r="D145" s="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5.75" x14ac:dyDescent="0.25">
      <c r="A146" s="2"/>
      <c r="B146" s="2"/>
      <c r="C146" s="2"/>
      <c r="D146" s="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5.75" x14ac:dyDescent="0.25">
      <c r="A147" s="2"/>
      <c r="B147" s="2"/>
      <c r="C147" s="2"/>
      <c r="D147" s="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5.75" x14ac:dyDescent="0.25">
      <c r="A148" s="2"/>
      <c r="B148" s="2"/>
      <c r="C148" s="2"/>
      <c r="D148" s="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5.75" x14ac:dyDescent="0.25">
      <c r="A149" s="2"/>
      <c r="B149" s="2"/>
      <c r="C149" s="2"/>
      <c r="D149" s="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5.75" x14ac:dyDescent="0.25">
      <c r="A150" s="2"/>
      <c r="B150" s="2"/>
      <c r="C150" s="2"/>
      <c r="D150" s="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5.75" x14ac:dyDescent="0.25">
      <c r="A151" s="2"/>
      <c r="B151" s="2"/>
      <c r="C151" s="2"/>
      <c r="D151" s="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5.75" x14ac:dyDescent="0.25">
      <c r="A152" s="2"/>
      <c r="B152" s="2"/>
      <c r="C152" s="2"/>
      <c r="D152" s="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5.75" x14ac:dyDescent="0.25">
      <c r="A153" s="2"/>
      <c r="B153" s="2"/>
      <c r="C153" s="2"/>
      <c r="D153" s="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5.75" x14ac:dyDescent="0.25">
      <c r="A154" s="2"/>
      <c r="B154" s="2"/>
      <c r="C154" s="2"/>
      <c r="D154" s="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5.75" x14ac:dyDescent="0.25">
      <c r="A155" s="2"/>
      <c r="B155" s="2"/>
      <c r="C155" s="2"/>
      <c r="D155" s="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5.75" x14ac:dyDescent="0.25">
      <c r="A156" s="2"/>
      <c r="B156" s="2"/>
      <c r="C156" s="2"/>
      <c r="D156" s="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5.75" x14ac:dyDescent="0.25">
      <c r="A157" s="2"/>
      <c r="B157" s="2"/>
      <c r="C157" s="2"/>
      <c r="D157" s="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5.75" x14ac:dyDescent="0.25">
      <c r="A158" s="2"/>
      <c r="B158" s="2"/>
      <c r="C158" s="2"/>
      <c r="D158" s="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5.75" x14ac:dyDescent="0.25">
      <c r="A159" s="2"/>
      <c r="B159" s="2"/>
      <c r="C159" s="2"/>
      <c r="D159" s="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5.75" x14ac:dyDescent="0.25">
      <c r="A160" s="2"/>
      <c r="B160" s="2"/>
      <c r="C160" s="2"/>
      <c r="D160" s="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5.75" x14ac:dyDescent="0.25">
      <c r="A161" s="2"/>
      <c r="B161" s="2"/>
      <c r="C161" s="2"/>
      <c r="D161" s="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5.75" x14ac:dyDescent="0.25">
      <c r="A162" s="2"/>
      <c r="B162" s="2"/>
      <c r="C162" s="2"/>
      <c r="D162" s="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5.75" x14ac:dyDescent="0.25">
      <c r="A163" s="2"/>
      <c r="B163" s="2"/>
      <c r="C163" s="2"/>
      <c r="D163" s="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5.75" x14ac:dyDescent="0.25">
      <c r="A164" s="2"/>
      <c r="B164" s="2"/>
      <c r="C164" s="2"/>
      <c r="D164" s="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5.75" x14ac:dyDescent="0.25">
      <c r="A165" s="2"/>
      <c r="B165" s="2"/>
      <c r="C165" s="2"/>
      <c r="D165" s="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5.75" x14ac:dyDescent="0.25">
      <c r="A166" s="2"/>
      <c r="B166" s="2"/>
      <c r="C166" s="2"/>
      <c r="D166" s="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5.75" x14ac:dyDescent="0.25">
      <c r="A167" s="2"/>
      <c r="B167" s="2"/>
      <c r="C167" s="2"/>
      <c r="D167" s="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5.75" x14ac:dyDescent="0.25">
      <c r="A168" s="2"/>
      <c r="B168" s="2"/>
      <c r="C168" s="2"/>
      <c r="D168" s="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5.75" x14ac:dyDescent="0.25">
      <c r="A169" s="2"/>
      <c r="B169" s="2"/>
      <c r="C169" s="2"/>
      <c r="D169" s="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5.75" x14ac:dyDescent="0.25">
      <c r="A170" s="2"/>
      <c r="B170" s="2"/>
      <c r="C170" s="2"/>
      <c r="D170" s="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5.75" x14ac:dyDescent="0.25">
      <c r="A171" s="2"/>
      <c r="B171" s="2"/>
      <c r="C171" s="2"/>
      <c r="D171" s="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5.75" x14ac:dyDescent="0.25">
      <c r="A172" s="2"/>
      <c r="B172" s="2"/>
      <c r="C172" s="2"/>
      <c r="D172" s="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5.75" x14ac:dyDescent="0.25">
      <c r="A173" s="2"/>
      <c r="B173" s="2"/>
      <c r="C173" s="2"/>
      <c r="D173" s="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5.75" x14ac:dyDescent="0.25">
      <c r="A174" s="2"/>
      <c r="B174" s="2"/>
      <c r="C174" s="2"/>
      <c r="D174" s="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5.75" x14ac:dyDescent="0.25">
      <c r="A175" s="2"/>
      <c r="B175" s="2"/>
      <c r="C175" s="2"/>
      <c r="D175" s="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5.75" x14ac:dyDescent="0.25">
      <c r="A176" s="2"/>
      <c r="B176" s="2"/>
      <c r="C176" s="2"/>
      <c r="D176" s="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5.75" x14ac:dyDescent="0.25">
      <c r="A177" s="2"/>
      <c r="B177" s="2"/>
      <c r="C177" s="2"/>
      <c r="D177" s="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5.75" x14ac:dyDescent="0.25">
      <c r="A178" s="2"/>
      <c r="B178" s="2"/>
      <c r="C178" s="2"/>
      <c r="D178" s="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5.75" x14ac:dyDescent="0.25">
      <c r="A179" s="2"/>
      <c r="B179" s="2"/>
      <c r="C179" s="2"/>
      <c r="D179" s="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5.75" x14ac:dyDescent="0.25">
      <c r="A180" s="2"/>
      <c r="B180" s="2"/>
      <c r="C180" s="2"/>
      <c r="D180" s="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5.75" x14ac:dyDescent="0.25">
      <c r="A181" s="2"/>
      <c r="B181" s="2"/>
      <c r="C181" s="2"/>
      <c r="D181" s="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5.75" x14ac:dyDescent="0.25">
      <c r="A182" s="2"/>
      <c r="B182" s="2"/>
      <c r="C182" s="2"/>
      <c r="D182" s="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5.75" x14ac:dyDescent="0.25">
      <c r="A183" s="2"/>
      <c r="B183" s="2"/>
      <c r="C183" s="2"/>
      <c r="D183" s="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5.75" x14ac:dyDescent="0.25">
      <c r="A184" s="2"/>
      <c r="B184" s="2"/>
      <c r="C184" s="2"/>
      <c r="D184" s="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5.75" x14ac:dyDescent="0.25">
      <c r="A185" s="2"/>
      <c r="B185" s="2"/>
      <c r="C185" s="2"/>
      <c r="D185" s="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5.75" x14ac:dyDescent="0.25">
      <c r="A186" s="2"/>
      <c r="B186" s="2"/>
      <c r="C186" s="2"/>
      <c r="D186" s="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5.75" x14ac:dyDescent="0.25">
      <c r="A187" s="2"/>
      <c r="B187" s="2"/>
      <c r="C187" s="2"/>
      <c r="D187" s="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5.75" x14ac:dyDescent="0.25">
      <c r="A188" s="2"/>
      <c r="B188" s="2"/>
      <c r="C188" s="2"/>
      <c r="D188" s="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5.75" x14ac:dyDescent="0.25">
      <c r="A189" s="2"/>
      <c r="B189" s="2"/>
      <c r="C189" s="2"/>
      <c r="D189" s="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5.75" x14ac:dyDescent="0.25">
      <c r="A190" s="2"/>
      <c r="B190" s="2"/>
      <c r="C190" s="2"/>
      <c r="D190" s="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5.75" x14ac:dyDescent="0.25">
      <c r="A191" s="2"/>
      <c r="B191" s="2"/>
      <c r="C191" s="2"/>
      <c r="D191" s="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5.75" x14ac:dyDescent="0.25">
      <c r="A192" s="2"/>
      <c r="B192" s="2"/>
      <c r="C192" s="2"/>
      <c r="D192" s="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5.75" x14ac:dyDescent="0.25">
      <c r="A193" s="2"/>
      <c r="B193" s="2"/>
      <c r="C193" s="2"/>
      <c r="D193" s="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5.75" x14ac:dyDescent="0.25">
      <c r="A194" s="2"/>
      <c r="B194" s="2"/>
      <c r="C194" s="2"/>
      <c r="D194" s="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5.75" x14ac:dyDescent="0.25">
      <c r="A195" s="2"/>
      <c r="B195" s="2"/>
      <c r="C195" s="2"/>
      <c r="D195" s="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5.75" x14ac:dyDescent="0.25">
      <c r="A196" s="2"/>
      <c r="B196" s="2"/>
      <c r="C196" s="2"/>
      <c r="D196" s="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5.75" x14ac:dyDescent="0.25">
      <c r="A197" s="2"/>
      <c r="B197" s="2"/>
      <c r="C197" s="2"/>
      <c r="D197" s="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5.75" x14ac:dyDescent="0.25">
      <c r="A198" s="2"/>
      <c r="B198" s="2"/>
      <c r="C198" s="2"/>
      <c r="D198" s="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5.75" x14ac:dyDescent="0.25">
      <c r="A199" s="2"/>
      <c r="B199" s="2"/>
      <c r="C199" s="2"/>
      <c r="D199" s="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5.75" x14ac:dyDescent="0.25">
      <c r="A200" s="2"/>
      <c r="B200" s="2"/>
      <c r="C200" s="2"/>
      <c r="D200" s="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5.75" x14ac:dyDescent="0.25">
      <c r="A201" s="2"/>
      <c r="B201" s="2"/>
      <c r="C201" s="2"/>
      <c r="D201" s="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5.75" x14ac:dyDescent="0.25">
      <c r="A202" s="2"/>
      <c r="B202" s="2"/>
      <c r="C202" s="2"/>
      <c r="D202" s="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5.75" x14ac:dyDescent="0.25">
      <c r="A203" s="2"/>
      <c r="B203" s="2"/>
      <c r="C203" s="2"/>
      <c r="D203" s="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5.75" x14ac:dyDescent="0.25">
      <c r="A204" s="2"/>
      <c r="B204" s="2"/>
      <c r="C204" s="2"/>
      <c r="D204" s="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5.75" x14ac:dyDescent="0.25">
      <c r="A205" s="2"/>
      <c r="B205" s="2"/>
      <c r="C205" s="2"/>
      <c r="D205" s="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5.75" x14ac:dyDescent="0.25">
      <c r="A206" s="2"/>
      <c r="B206" s="2"/>
      <c r="C206" s="2"/>
      <c r="D206" s="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5.75" x14ac:dyDescent="0.25">
      <c r="A207" s="2"/>
      <c r="B207" s="2"/>
      <c r="C207" s="2"/>
      <c r="D207" s="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5.75" x14ac:dyDescent="0.25">
      <c r="A208" s="2"/>
      <c r="B208" s="2"/>
      <c r="C208" s="2"/>
      <c r="D208" s="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5.75" x14ac:dyDescent="0.25">
      <c r="A209" s="2"/>
      <c r="B209" s="2"/>
      <c r="C209" s="2"/>
      <c r="D209" s="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5.75" x14ac:dyDescent="0.25">
      <c r="A210" s="2"/>
      <c r="B210" s="2"/>
      <c r="C210" s="2"/>
      <c r="D210" s="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5.75" x14ac:dyDescent="0.25">
      <c r="A211" s="2"/>
      <c r="B211" s="2"/>
      <c r="C211" s="2"/>
      <c r="D211" s="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5.75" x14ac:dyDescent="0.25">
      <c r="A212" s="2"/>
      <c r="B212" s="2"/>
      <c r="C212" s="2"/>
      <c r="D212" s="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5.75" x14ac:dyDescent="0.25">
      <c r="A213" s="2"/>
      <c r="B213" s="2"/>
      <c r="C213" s="2"/>
      <c r="D213" s="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5.75" x14ac:dyDescent="0.25">
      <c r="A214" s="2"/>
      <c r="B214" s="2"/>
      <c r="C214" s="2"/>
      <c r="D214" s="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5.75" x14ac:dyDescent="0.25">
      <c r="A215" s="2"/>
      <c r="B215" s="2"/>
      <c r="C215" s="2"/>
      <c r="D215" s="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5.75" x14ac:dyDescent="0.25">
      <c r="A216" s="2"/>
      <c r="B216" s="2"/>
      <c r="C216" s="2"/>
      <c r="D216" s="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5.75" x14ac:dyDescent="0.25">
      <c r="A217" s="2"/>
      <c r="B217" s="2"/>
      <c r="C217" s="2"/>
      <c r="D217" s="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5.75" x14ac:dyDescent="0.25">
      <c r="A218" s="2"/>
      <c r="B218" s="2"/>
      <c r="C218" s="2"/>
      <c r="D218" s="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5.75" x14ac:dyDescent="0.25">
      <c r="A219" s="2"/>
      <c r="B219" s="2"/>
      <c r="C219" s="2"/>
      <c r="D219" s="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5.75" x14ac:dyDescent="0.25">
      <c r="A220" s="2"/>
      <c r="B220" s="2"/>
      <c r="C220" s="2"/>
      <c r="D220" s="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5.75" x14ac:dyDescent="0.25">
      <c r="A221" s="2"/>
      <c r="B221" s="2"/>
      <c r="C221" s="2"/>
      <c r="D221" s="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5.75" x14ac:dyDescent="0.25">
      <c r="A222" s="2"/>
      <c r="B222" s="2"/>
      <c r="C222" s="2"/>
      <c r="D222" s="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5.75" x14ac:dyDescent="0.25">
      <c r="A223" s="2"/>
      <c r="B223" s="2"/>
      <c r="C223" s="2"/>
      <c r="D223" s="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5.75" x14ac:dyDescent="0.25">
      <c r="A224" s="2"/>
      <c r="B224" s="2"/>
      <c r="C224" s="2"/>
      <c r="D224" s="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5.75" x14ac:dyDescent="0.25">
      <c r="A225" s="2"/>
      <c r="B225" s="2"/>
      <c r="C225" s="2"/>
      <c r="D225" s="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5.75" x14ac:dyDescent="0.25">
      <c r="A226" s="2"/>
      <c r="B226" s="2"/>
      <c r="C226" s="2"/>
      <c r="D226" s="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5.75" x14ac:dyDescent="0.25">
      <c r="A227" s="2"/>
      <c r="B227" s="2"/>
      <c r="C227" s="2"/>
      <c r="D227" s="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5.75" x14ac:dyDescent="0.25">
      <c r="A228" s="2"/>
      <c r="B228" s="2"/>
      <c r="C228" s="2"/>
      <c r="D228" s="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5.75" x14ac:dyDescent="0.25">
      <c r="A229" s="2"/>
      <c r="B229" s="2"/>
      <c r="C229" s="2"/>
      <c r="D229" s="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5.75" x14ac:dyDescent="0.25">
      <c r="A230" s="2"/>
      <c r="B230" s="2"/>
      <c r="C230" s="2"/>
      <c r="D230" s="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5.75" x14ac:dyDescent="0.25">
      <c r="A231" s="2"/>
      <c r="B231" s="2"/>
      <c r="C231" s="2"/>
      <c r="D231" s="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5.75" x14ac:dyDescent="0.25">
      <c r="A232" s="2"/>
      <c r="B232" s="2"/>
      <c r="C232" s="2"/>
      <c r="D232" s="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x14ac:dyDescent="0.25">
      <c r="A233" s="2"/>
      <c r="B233" s="2"/>
      <c r="C233" s="2"/>
      <c r="D233" s="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5.75" x14ac:dyDescent="0.25">
      <c r="A234" s="2"/>
      <c r="B234" s="2"/>
      <c r="C234" s="2"/>
      <c r="D234" s="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5.75" x14ac:dyDescent="0.25">
      <c r="A235" s="2"/>
      <c r="B235" s="2"/>
      <c r="C235" s="2"/>
      <c r="D235" s="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5.75" x14ac:dyDescent="0.25">
      <c r="A236" s="2"/>
      <c r="B236" s="2"/>
      <c r="C236" s="2"/>
      <c r="D236" s="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5.75" x14ac:dyDescent="0.25">
      <c r="A237" s="2"/>
      <c r="B237" s="2"/>
      <c r="C237" s="2"/>
      <c r="D237" s="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5.75" x14ac:dyDescent="0.25">
      <c r="A238" s="2"/>
      <c r="B238" s="2"/>
      <c r="C238" s="2"/>
      <c r="D238" s="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5.75" x14ac:dyDescent="0.25">
      <c r="A239" s="2"/>
      <c r="B239" s="2"/>
      <c r="C239" s="2"/>
      <c r="D239" s="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5.75" x14ac:dyDescent="0.25">
      <c r="A240" s="2"/>
      <c r="B240" s="2"/>
      <c r="C240" s="2"/>
      <c r="D240" s="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5.75" x14ac:dyDescent="0.25">
      <c r="A241" s="2"/>
      <c r="B241" s="2"/>
      <c r="C241" s="2"/>
      <c r="D241" s="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5.75" x14ac:dyDescent="0.25">
      <c r="A242" s="2"/>
      <c r="B242" s="2"/>
      <c r="C242" s="2"/>
      <c r="D242" s="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5.75" x14ac:dyDescent="0.25">
      <c r="A243" s="2"/>
      <c r="B243" s="2"/>
      <c r="C243" s="2"/>
      <c r="D243" s="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5.75" x14ac:dyDescent="0.25">
      <c r="A244" s="2"/>
      <c r="B244" s="2"/>
      <c r="C244" s="2"/>
      <c r="D244" s="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5.75" x14ac:dyDescent="0.25">
      <c r="A245" s="2"/>
      <c r="B245" s="2"/>
      <c r="C245" s="2"/>
      <c r="D245" s="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5.75" x14ac:dyDescent="0.25">
      <c r="A246" s="2"/>
      <c r="B246" s="2"/>
      <c r="C246" s="2"/>
      <c r="D246" s="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5.75" x14ac:dyDescent="0.25">
      <c r="A247" s="2"/>
      <c r="B247" s="2"/>
      <c r="C247" s="2"/>
      <c r="D247" s="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5.75" x14ac:dyDescent="0.25">
      <c r="A248" s="2"/>
      <c r="B248" s="2"/>
      <c r="C248" s="2"/>
      <c r="D248" s="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5.75" x14ac:dyDescent="0.25">
      <c r="A249" s="2"/>
      <c r="B249" s="2"/>
      <c r="C249" s="2"/>
      <c r="D249" s="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5.75" x14ac:dyDescent="0.25">
      <c r="A250" s="2"/>
      <c r="B250" s="2"/>
      <c r="C250" s="2"/>
      <c r="D250" s="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5.75" x14ac:dyDescent="0.25">
      <c r="A251" s="2"/>
      <c r="B251" s="2"/>
      <c r="C251" s="2"/>
      <c r="D251" s="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5.75" x14ac:dyDescent="0.25">
      <c r="A252" s="2"/>
      <c r="B252" s="2"/>
      <c r="C252" s="2"/>
      <c r="D252" s="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5.75" x14ac:dyDescent="0.25">
      <c r="A253" s="2"/>
      <c r="B253" s="2"/>
      <c r="C253" s="2"/>
      <c r="D253" s="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5.75" x14ac:dyDescent="0.25">
      <c r="A254" s="2"/>
      <c r="B254" s="2"/>
      <c r="C254" s="2"/>
      <c r="D254" s="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5.75" x14ac:dyDescent="0.25">
      <c r="A255" s="2"/>
      <c r="B255" s="2"/>
      <c r="C255" s="2"/>
      <c r="D255" s="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5.75" x14ac:dyDescent="0.25">
      <c r="A256" s="2"/>
      <c r="B256" s="2"/>
      <c r="C256" s="2"/>
      <c r="D256" s="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5.75" x14ac:dyDescent="0.25">
      <c r="A257" s="2"/>
      <c r="B257" s="2"/>
      <c r="C257" s="2"/>
      <c r="D257" s="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5.75" x14ac:dyDescent="0.25">
      <c r="A258" s="2"/>
      <c r="B258" s="2"/>
      <c r="C258" s="2"/>
      <c r="D258" s="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5.75" x14ac:dyDescent="0.25">
      <c r="A259" s="2"/>
      <c r="B259" s="2"/>
      <c r="C259" s="2"/>
      <c r="D259" s="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5.75" x14ac:dyDescent="0.25">
      <c r="A260" s="2"/>
      <c r="B260" s="2"/>
      <c r="C260" s="2"/>
      <c r="D260" s="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5.75" x14ac:dyDescent="0.25">
      <c r="A261" s="2"/>
      <c r="B261" s="2"/>
      <c r="C261" s="2"/>
      <c r="D261" s="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5.75" x14ac:dyDescent="0.25">
      <c r="A262" s="2"/>
      <c r="B262" s="2"/>
      <c r="C262" s="2"/>
      <c r="D262" s="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5.75" x14ac:dyDescent="0.25">
      <c r="A263" s="2"/>
      <c r="B263" s="2"/>
      <c r="C263" s="2"/>
      <c r="D263" s="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5.75" x14ac:dyDescent="0.25">
      <c r="A264" s="2"/>
      <c r="B264" s="2"/>
      <c r="C264" s="2"/>
      <c r="D264" s="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5.75" x14ac:dyDescent="0.25">
      <c r="A265" s="2"/>
      <c r="B265" s="2"/>
      <c r="C265" s="2"/>
      <c r="D265" s="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5.75" x14ac:dyDescent="0.25">
      <c r="A266" s="2"/>
      <c r="B266" s="2"/>
      <c r="C266" s="2"/>
      <c r="D266" s="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5.75" x14ac:dyDescent="0.25">
      <c r="A267" s="2"/>
      <c r="B267" s="2"/>
      <c r="C267" s="2"/>
      <c r="D267" s="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5.75" x14ac:dyDescent="0.25">
      <c r="A268" s="2"/>
      <c r="B268" s="2"/>
      <c r="C268" s="2"/>
      <c r="D268" s="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5.75" x14ac:dyDescent="0.25">
      <c r="A269" s="2"/>
      <c r="B269" s="2"/>
      <c r="C269" s="2"/>
      <c r="D269" s="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5.75" x14ac:dyDescent="0.25">
      <c r="A270" s="2"/>
      <c r="B270" s="2"/>
      <c r="C270" s="2"/>
      <c r="D270" s="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5.75" x14ac:dyDescent="0.25">
      <c r="A271" s="2"/>
      <c r="B271" s="2"/>
      <c r="C271" s="2"/>
      <c r="D271" s="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5.75" x14ac:dyDescent="0.25">
      <c r="A272" s="2"/>
      <c r="B272" s="2"/>
      <c r="C272" s="2"/>
      <c r="D272" s="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5.75" x14ac:dyDescent="0.25">
      <c r="A273" s="2"/>
      <c r="B273" s="2"/>
      <c r="C273" s="2"/>
      <c r="D273" s="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5.75" x14ac:dyDescent="0.25">
      <c r="A274" s="2"/>
      <c r="B274" s="2"/>
      <c r="C274" s="2"/>
      <c r="D274" s="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5.75" x14ac:dyDescent="0.25">
      <c r="A275" s="2"/>
      <c r="B275" s="2"/>
      <c r="C275" s="2"/>
      <c r="D275" s="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5.75" x14ac:dyDescent="0.25">
      <c r="A276" s="2"/>
      <c r="B276" s="2"/>
      <c r="C276" s="2"/>
      <c r="D276" s="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5.75" x14ac:dyDescent="0.25">
      <c r="A277" s="2"/>
      <c r="B277" s="2"/>
      <c r="C277" s="2"/>
      <c r="D277" s="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5.75" x14ac:dyDescent="0.25">
      <c r="A278" s="2"/>
      <c r="B278" s="2"/>
      <c r="C278" s="2"/>
      <c r="D278" s="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5.75" x14ac:dyDescent="0.25">
      <c r="A279" s="2"/>
      <c r="B279" s="2"/>
      <c r="C279" s="2"/>
      <c r="D279" s="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5.75" x14ac:dyDescent="0.25">
      <c r="A280" s="2"/>
      <c r="B280" s="2"/>
      <c r="C280" s="2"/>
      <c r="D280" s="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5.75" x14ac:dyDescent="0.25">
      <c r="A281" s="2"/>
      <c r="B281" s="2"/>
      <c r="C281" s="2"/>
      <c r="D281" s="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5.75" x14ac:dyDescent="0.25">
      <c r="A282" s="2"/>
      <c r="B282" s="2"/>
      <c r="C282" s="2"/>
      <c r="D282" s="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5.75" x14ac:dyDescent="0.25">
      <c r="A283" s="2"/>
      <c r="B283" s="2"/>
      <c r="C283" s="2"/>
      <c r="D283" s="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5.75" x14ac:dyDescent="0.25">
      <c r="A284" s="2"/>
      <c r="B284" s="2"/>
      <c r="C284" s="2"/>
      <c r="D284" s="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5.75" x14ac:dyDescent="0.25">
      <c r="A285" s="2"/>
      <c r="B285" s="2"/>
      <c r="C285" s="2"/>
      <c r="D285" s="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5.75" x14ac:dyDescent="0.25">
      <c r="A286" s="2"/>
      <c r="B286" s="2"/>
      <c r="C286" s="2"/>
      <c r="D286" s="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5.75" x14ac:dyDescent="0.25">
      <c r="A287" s="2"/>
      <c r="B287" s="2"/>
      <c r="C287" s="2"/>
      <c r="D287" s="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5.75" x14ac:dyDescent="0.25">
      <c r="A288" s="2"/>
      <c r="B288" s="2"/>
      <c r="C288" s="2"/>
      <c r="D288" s="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5.75" x14ac:dyDescent="0.25">
      <c r="A289" s="2"/>
      <c r="B289" s="2"/>
      <c r="C289" s="2"/>
      <c r="D289" s="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5.75" x14ac:dyDescent="0.25">
      <c r="A290" s="2"/>
      <c r="B290" s="2"/>
      <c r="C290" s="2"/>
      <c r="D290" s="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5.75" x14ac:dyDescent="0.25">
      <c r="A291" s="2"/>
      <c r="B291" s="2"/>
      <c r="C291" s="2"/>
      <c r="D291" s="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5.75" x14ac:dyDescent="0.25">
      <c r="A292" s="2"/>
      <c r="B292" s="2"/>
      <c r="C292" s="2"/>
      <c r="D292" s="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5.75" x14ac:dyDescent="0.25">
      <c r="A293" s="2"/>
      <c r="B293" s="2"/>
      <c r="C293" s="2"/>
      <c r="D293" s="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5.75" x14ac:dyDescent="0.25">
      <c r="A294" s="2"/>
      <c r="B294" s="2"/>
      <c r="C294" s="2"/>
      <c r="D294" s="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5.75" x14ac:dyDescent="0.25">
      <c r="A295" s="2"/>
      <c r="B295" s="2"/>
      <c r="C295" s="2"/>
      <c r="D295" s="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5.75" x14ac:dyDescent="0.25">
      <c r="A296" s="2"/>
      <c r="B296" s="2"/>
      <c r="C296" s="2"/>
      <c r="D296" s="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5.75" x14ac:dyDescent="0.25">
      <c r="A297" s="2"/>
      <c r="B297" s="2"/>
      <c r="C297" s="2"/>
      <c r="D297" s="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5.75" x14ac:dyDescent="0.25">
      <c r="A298" s="2"/>
      <c r="B298" s="2"/>
      <c r="C298" s="2"/>
      <c r="D298" s="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5.75" x14ac:dyDescent="0.25">
      <c r="A299" s="2"/>
      <c r="B299" s="2"/>
      <c r="C299" s="2"/>
      <c r="D299" s="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5.75" x14ac:dyDescent="0.25">
      <c r="A300" s="2"/>
      <c r="B300" s="2"/>
      <c r="C300" s="2"/>
      <c r="D300" s="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5.75" x14ac:dyDescent="0.25">
      <c r="A301" s="2"/>
      <c r="B301" s="2"/>
      <c r="C301" s="2"/>
      <c r="D301" s="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5.75" x14ac:dyDescent="0.25">
      <c r="A302" s="2"/>
      <c r="B302" s="2"/>
      <c r="C302" s="2"/>
      <c r="D302" s="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5.75" x14ac:dyDescent="0.25">
      <c r="A303" s="2"/>
      <c r="B303" s="2"/>
      <c r="C303" s="2"/>
      <c r="D303" s="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5.75" x14ac:dyDescent="0.25">
      <c r="A304" s="2"/>
      <c r="B304" s="2"/>
      <c r="C304" s="2"/>
      <c r="D304" s="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5.75" x14ac:dyDescent="0.25">
      <c r="A305" s="2"/>
      <c r="B305" s="2"/>
      <c r="C305" s="2"/>
      <c r="D305" s="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5.75" x14ac:dyDescent="0.25">
      <c r="A306" s="2"/>
      <c r="B306" s="2"/>
      <c r="C306" s="2"/>
      <c r="D306" s="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5.75" x14ac:dyDescent="0.25">
      <c r="A307" s="2"/>
      <c r="B307" s="2"/>
      <c r="C307" s="2"/>
      <c r="D307" s="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5.75" x14ac:dyDescent="0.25">
      <c r="A308" s="2"/>
      <c r="B308" s="2"/>
      <c r="C308" s="2"/>
      <c r="D308" s="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5.75" x14ac:dyDescent="0.25">
      <c r="A309" s="2"/>
      <c r="B309" s="2"/>
      <c r="C309" s="2"/>
      <c r="D309" s="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5.75" x14ac:dyDescent="0.25">
      <c r="A310" s="2"/>
      <c r="B310" s="2"/>
      <c r="C310" s="2"/>
      <c r="D310" s="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5.75" x14ac:dyDescent="0.25">
      <c r="A311" s="2"/>
      <c r="B311" s="2"/>
      <c r="C311" s="2"/>
      <c r="D311" s="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5.75" x14ac:dyDescent="0.25">
      <c r="A312" s="2"/>
      <c r="B312" s="2"/>
      <c r="C312" s="2"/>
      <c r="D312" s="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5.75" x14ac:dyDescent="0.25">
      <c r="A313" s="2"/>
      <c r="B313" s="2"/>
      <c r="C313" s="2"/>
      <c r="D313" s="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5.75" x14ac:dyDescent="0.25">
      <c r="A314" s="2"/>
      <c r="B314" s="2"/>
      <c r="C314" s="2"/>
      <c r="D314" s="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5.75" x14ac:dyDescent="0.25">
      <c r="A315" s="2"/>
      <c r="B315" s="2"/>
      <c r="C315" s="2"/>
      <c r="D315" s="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5.75" x14ac:dyDescent="0.25">
      <c r="A316" s="2"/>
      <c r="B316" s="2"/>
      <c r="C316" s="2"/>
      <c r="D316" s="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5.75" x14ac:dyDescent="0.25">
      <c r="A317" s="2"/>
      <c r="B317" s="2"/>
      <c r="C317" s="2"/>
      <c r="D317" s="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5.75" x14ac:dyDescent="0.25">
      <c r="A318" s="2"/>
      <c r="B318" s="2"/>
      <c r="C318" s="2"/>
      <c r="D318" s="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5.75" x14ac:dyDescent="0.25">
      <c r="A319" s="2"/>
      <c r="B319" s="2"/>
      <c r="C319" s="2"/>
      <c r="D319" s="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5.75" x14ac:dyDescent="0.25">
      <c r="A320" s="2"/>
      <c r="B320" s="2"/>
      <c r="C320" s="2"/>
      <c r="D320" s="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5.75" x14ac:dyDescent="0.25">
      <c r="A321" s="2"/>
      <c r="B321" s="2"/>
      <c r="C321" s="2"/>
      <c r="D321" s="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5.75" x14ac:dyDescent="0.25">
      <c r="A322" s="2"/>
      <c r="B322" s="2"/>
      <c r="C322" s="2"/>
      <c r="D322" s="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5.75" x14ac:dyDescent="0.25">
      <c r="A323" s="2"/>
      <c r="B323" s="2"/>
      <c r="C323" s="2"/>
      <c r="D323" s="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5.75" x14ac:dyDescent="0.25">
      <c r="A324" s="2"/>
      <c r="B324" s="2"/>
      <c r="C324" s="2"/>
      <c r="D324" s="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5.75" x14ac:dyDescent="0.25">
      <c r="A325" s="2"/>
      <c r="B325" s="2"/>
      <c r="C325" s="2"/>
      <c r="D325" s="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5.75" x14ac:dyDescent="0.25">
      <c r="A326" s="2"/>
      <c r="B326" s="2"/>
      <c r="C326" s="2"/>
      <c r="D326" s="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5.75" x14ac:dyDescent="0.25">
      <c r="A327" s="2"/>
      <c r="B327" s="2"/>
      <c r="C327" s="2"/>
      <c r="D327" s="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5.75" x14ac:dyDescent="0.25">
      <c r="A328" s="2"/>
      <c r="B328" s="2"/>
      <c r="C328" s="2"/>
      <c r="D328" s="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5.75" x14ac:dyDescent="0.25">
      <c r="A329" s="2"/>
      <c r="B329" s="2"/>
      <c r="C329" s="2"/>
      <c r="D329" s="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5.75" x14ac:dyDescent="0.25">
      <c r="A330" s="2"/>
      <c r="B330" s="2"/>
      <c r="C330" s="2"/>
      <c r="D330" s="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5.75" x14ac:dyDescent="0.25">
      <c r="A331" s="2"/>
      <c r="B331" s="2"/>
      <c r="C331" s="2"/>
      <c r="D331" s="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5.75" x14ac:dyDescent="0.25">
      <c r="A332" s="2"/>
      <c r="B332" s="2"/>
      <c r="C332" s="2"/>
      <c r="D332" s="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5.75" x14ac:dyDescent="0.25">
      <c r="A333" s="2"/>
      <c r="B333" s="2"/>
      <c r="C333" s="2"/>
      <c r="D333" s="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5.75" x14ac:dyDescent="0.25">
      <c r="A334" s="2"/>
      <c r="B334" s="2"/>
      <c r="C334" s="2"/>
      <c r="D334" s="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5.75" x14ac:dyDescent="0.25">
      <c r="A335" s="2"/>
      <c r="B335" s="2"/>
      <c r="C335" s="2"/>
      <c r="D335" s="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5.75" x14ac:dyDescent="0.25">
      <c r="A336" s="2"/>
      <c r="B336" s="2"/>
      <c r="C336" s="2"/>
      <c r="D336" s="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5.75" x14ac:dyDescent="0.25">
      <c r="A337" s="2"/>
      <c r="B337" s="2"/>
      <c r="C337" s="2"/>
      <c r="D337" s="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5.75" x14ac:dyDescent="0.25">
      <c r="A338" s="2"/>
      <c r="B338" s="2"/>
      <c r="C338" s="2"/>
      <c r="D338" s="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5.75" x14ac:dyDescent="0.25">
      <c r="A339" s="2"/>
      <c r="B339" s="2"/>
      <c r="C339" s="2"/>
      <c r="D339" s="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5.75" x14ac:dyDescent="0.25">
      <c r="A340" s="2"/>
      <c r="B340" s="2"/>
      <c r="C340" s="2"/>
      <c r="D340" s="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5.75" x14ac:dyDescent="0.25">
      <c r="A341" s="2"/>
      <c r="B341" s="2"/>
      <c r="C341" s="2"/>
      <c r="D341" s="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5.75" x14ac:dyDescent="0.25">
      <c r="A342" s="2"/>
      <c r="B342" s="2"/>
      <c r="C342" s="2"/>
      <c r="D342" s="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5.75" x14ac:dyDescent="0.25">
      <c r="A343" s="2"/>
      <c r="B343" s="2"/>
      <c r="C343" s="2"/>
      <c r="D343" s="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5.75" x14ac:dyDescent="0.25">
      <c r="A344" s="2"/>
      <c r="B344" s="2"/>
      <c r="C344" s="2"/>
      <c r="D344" s="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5.75" x14ac:dyDescent="0.25">
      <c r="A345" s="2"/>
      <c r="B345" s="2"/>
      <c r="C345" s="2"/>
      <c r="D345" s="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5.75" x14ac:dyDescent="0.25">
      <c r="A346" s="2"/>
      <c r="B346" s="2"/>
      <c r="C346" s="2"/>
      <c r="D346" s="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5.75" x14ac:dyDescent="0.25">
      <c r="A347" s="2"/>
      <c r="B347" s="2"/>
      <c r="C347" s="2"/>
      <c r="D347" s="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5.75" x14ac:dyDescent="0.25">
      <c r="A348" s="2"/>
      <c r="B348" s="2"/>
      <c r="C348" s="2"/>
      <c r="D348" s="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5.75" x14ac:dyDescent="0.25">
      <c r="A349" s="2"/>
      <c r="B349" s="2"/>
      <c r="C349" s="2"/>
      <c r="D349" s="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5.75" x14ac:dyDescent="0.25">
      <c r="A350" s="2"/>
      <c r="B350" s="2"/>
      <c r="C350" s="2"/>
      <c r="D350" s="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5.75" x14ac:dyDescent="0.25">
      <c r="A351" s="2"/>
      <c r="B351" s="2"/>
      <c r="C351" s="2"/>
      <c r="D351" s="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5.75" x14ac:dyDescent="0.25">
      <c r="A352" s="2"/>
      <c r="B352" s="2"/>
      <c r="C352" s="2"/>
      <c r="D352" s="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5.75" x14ac:dyDescent="0.25">
      <c r="A353" s="2"/>
      <c r="B353" s="2"/>
      <c r="C353" s="2"/>
      <c r="D353" s="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5.75" x14ac:dyDescent="0.25">
      <c r="A354" s="2"/>
      <c r="B354" s="2"/>
      <c r="C354" s="2"/>
      <c r="D354" s="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5.75" x14ac:dyDescent="0.25">
      <c r="A355" s="2"/>
      <c r="B355" s="2"/>
      <c r="C355" s="2"/>
      <c r="D355" s="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5.75" x14ac:dyDescent="0.25">
      <c r="A356" s="2"/>
      <c r="B356" s="2"/>
      <c r="C356" s="2"/>
      <c r="D356" s="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5.75" x14ac:dyDescent="0.25">
      <c r="A357" s="2"/>
      <c r="B357" s="2"/>
      <c r="C357" s="2"/>
      <c r="D357" s="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5.75" x14ac:dyDescent="0.25">
      <c r="A358" s="2"/>
      <c r="B358" s="2"/>
      <c r="C358" s="2"/>
      <c r="D358" s="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5.75" x14ac:dyDescent="0.25">
      <c r="A359" s="2"/>
      <c r="B359" s="2"/>
      <c r="C359" s="2"/>
      <c r="D359" s="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5.75" x14ac:dyDescent="0.25">
      <c r="A360" s="2"/>
      <c r="B360" s="2"/>
      <c r="C360" s="2"/>
      <c r="D360" s="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5.75" x14ac:dyDescent="0.25">
      <c r="A361" s="2"/>
      <c r="B361" s="2"/>
      <c r="C361" s="2"/>
      <c r="D361" s="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5.75" x14ac:dyDescent="0.25">
      <c r="A362" s="2"/>
      <c r="B362" s="2"/>
      <c r="C362" s="2"/>
      <c r="D362" s="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5.75" x14ac:dyDescent="0.25">
      <c r="A363" s="2"/>
      <c r="B363" s="2"/>
      <c r="C363" s="2"/>
      <c r="D363" s="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5.75" x14ac:dyDescent="0.25">
      <c r="A364" s="2"/>
      <c r="B364" s="2"/>
      <c r="C364" s="2"/>
      <c r="D364" s="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5.75" x14ac:dyDescent="0.25">
      <c r="A365" s="2"/>
      <c r="B365" s="2"/>
      <c r="C365" s="2"/>
      <c r="D365" s="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5.75" x14ac:dyDescent="0.25">
      <c r="A366" s="2"/>
      <c r="B366" s="2"/>
      <c r="C366" s="2"/>
      <c r="D366" s="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5.75" x14ac:dyDescent="0.25">
      <c r="A367" s="2"/>
      <c r="B367" s="2"/>
      <c r="C367" s="2"/>
      <c r="D367" s="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5.75" x14ac:dyDescent="0.25">
      <c r="A368" s="2"/>
      <c r="B368" s="2"/>
      <c r="C368" s="2"/>
      <c r="D368" s="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5.75" x14ac:dyDescent="0.25">
      <c r="A369" s="2"/>
      <c r="B369" s="2"/>
      <c r="C369" s="2"/>
      <c r="D369" s="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5.75" x14ac:dyDescent="0.25">
      <c r="A370" s="2"/>
      <c r="B370" s="2"/>
      <c r="C370" s="2"/>
      <c r="D370" s="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5.75" x14ac:dyDescent="0.25">
      <c r="A371" s="2"/>
      <c r="B371" s="2"/>
      <c r="C371" s="2"/>
      <c r="D371" s="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.75" x14ac:dyDescent="0.25">
      <c r="A372" s="2"/>
      <c r="B372" s="2"/>
      <c r="C372" s="2"/>
      <c r="D372" s="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5.75" x14ac:dyDescent="0.25">
      <c r="A373" s="2"/>
      <c r="B373" s="2"/>
      <c r="C373" s="2"/>
      <c r="D373" s="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5.75" x14ac:dyDescent="0.25">
      <c r="A374" s="2"/>
      <c r="B374" s="2"/>
      <c r="C374" s="2"/>
      <c r="D374" s="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5.75" x14ac:dyDescent="0.25">
      <c r="A375" s="2"/>
      <c r="B375" s="2"/>
      <c r="C375" s="2"/>
      <c r="D375" s="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5.75" x14ac:dyDescent="0.25">
      <c r="A376" s="2"/>
      <c r="B376" s="2"/>
      <c r="C376" s="2"/>
      <c r="D376" s="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5.75" x14ac:dyDescent="0.25">
      <c r="A377" s="2"/>
      <c r="B377" s="2"/>
      <c r="C377" s="2"/>
      <c r="D377" s="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5.75" x14ac:dyDescent="0.25">
      <c r="A378" s="2"/>
      <c r="B378" s="2"/>
      <c r="C378" s="2"/>
      <c r="D378" s="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5.75" x14ac:dyDescent="0.25">
      <c r="A379" s="2"/>
      <c r="B379" s="2"/>
      <c r="C379" s="2"/>
      <c r="D379" s="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5.75" x14ac:dyDescent="0.25">
      <c r="A380" s="2"/>
      <c r="B380" s="2"/>
      <c r="C380" s="2"/>
      <c r="D380" s="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5.75" x14ac:dyDescent="0.25">
      <c r="A381" s="2"/>
      <c r="B381" s="2"/>
      <c r="C381" s="2"/>
      <c r="D381" s="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5.75" x14ac:dyDescent="0.25">
      <c r="A382" s="2"/>
      <c r="B382" s="2"/>
      <c r="C382" s="2"/>
      <c r="D382" s="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5.75" x14ac:dyDescent="0.25">
      <c r="A383" s="2"/>
      <c r="B383" s="2"/>
      <c r="C383" s="2"/>
      <c r="D383" s="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5.75" x14ac:dyDescent="0.25">
      <c r="A384" s="2"/>
      <c r="B384" s="2"/>
      <c r="C384" s="2"/>
      <c r="D384" s="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5.75" x14ac:dyDescent="0.25">
      <c r="A385" s="2"/>
      <c r="B385" s="2"/>
      <c r="C385" s="2"/>
      <c r="D385" s="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5.75" x14ac:dyDescent="0.25">
      <c r="A386" s="2"/>
      <c r="B386" s="2"/>
      <c r="C386" s="2"/>
      <c r="D386" s="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5.75" x14ac:dyDescent="0.25">
      <c r="A387" s="2"/>
      <c r="B387" s="2"/>
      <c r="C387" s="2"/>
      <c r="D387" s="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5.75" x14ac:dyDescent="0.25">
      <c r="A388" s="2"/>
      <c r="B388" s="2"/>
      <c r="C388" s="2"/>
      <c r="D388" s="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5.75" x14ac:dyDescent="0.25">
      <c r="A389" s="2"/>
      <c r="B389" s="2"/>
      <c r="C389" s="2"/>
      <c r="D389" s="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5.75" x14ac:dyDescent="0.25">
      <c r="A390" s="2"/>
      <c r="B390" s="2"/>
      <c r="C390" s="2"/>
      <c r="D390" s="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5.75" x14ac:dyDescent="0.25">
      <c r="A391" s="2"/>
      <c r="B391" s="2"/>
      <c r="C391" s="2"/>
      <c r="D391" s="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5.75" x14ac:dyDescent="0.25">
      <c r="A392" s="2"/>
      <c r="B392" s="2"/>
      <c r="C392" s="2"/>
      <c r="D392" s="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5.75" x14ac:dyDescent="0.25">
      <c r="A393" s="2"/>
      <c r="B393" s="2"/>
      <c r="C393" s="2"/>
      <c r="D393" s="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5.75" x14ac:dyDescent="0.25">
      <c r="A394" s="2"/>
      <c r="B394" s="2"/>
      <c r="C394" s="2"/>
      <c r="D394" s="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5.75" x14ac:dyDescent="0.25">
      <c r="A395" s="2"/>
      <c r="B395" s="2"/>
      <c r="C395" s="2"/>
      <c r="D395" s="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5.75" x14ac:dyDescent="0.25">
      <c r="A396" s="2"/>
      <c r="B396" s="2"/>
      <c r="C396" s="2"/>
      <c r="D396" s="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5.75" x14ac:dyDescent="0.25">
      <c r="A397" s="2"/>
      <c r="B397" s="2"/>
      <c r="C397" s="2"/>
      <c r="D397" s="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5.75" x14ac:dyDescent="0.25">
      <c r="A398" s="2"/>
      <c r="B398" s="2"/>
      <c r="C398" s="2"/>
      <c r="D398" s="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5.75" x14ac:dyDescent="0.25">
      <c r="A399" s="2"/>
      <c r="B399" s="2"/>
      <c r="C399" s="2"/>
      <c r="D399" s="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5.75" x14ac:dyDescent="0.25">
      <c r="A400" s="2"/>
      <c r="B400" s="2"/>
      <c r="C400" s="2"/>
      <c r="D400" s="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.75" x14ac:dyDescent="0.25">
      <c r="A401" s="2"/>
      <c r="B401" s="2"/>
      <c r="C401" s="2"/>
      <c r="D401" s="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5.75" x14ac:dyDescent="0.25">
      <c r="A402" s="2"/>
      <c r="B402" s="2"/>
      <c r="C402" s="2"/>
      <c r="D402" s="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5.75" x14ac:dyDescent="0.25">
      <c r="A403" s="2"/>
      <c r="B403" s="2"/>
      <c r="C403" s="2"/>
      <c r="D403" s="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5.75" x14ac:dyDescent="0.25">
      <c r="A404" s="2"/>
      <c r="B404" s="2"/>
      <c r="C404" s="2"/>
      <c r="D404" s="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5.75" x14ac:dyDescent="0.25">
      <c r="A405" s="2"/>
      <c r="B405" s="2"/>
      <c r="C405" s="2"/>
      <c r="D405" s="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5.75" x14ac:dyDescent="0.25">
      <c r="A406" s="2"/>
      <c r="B406" s="2"/>
      <c r="C406" s="2"/>
      <c r="D406" s="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5.75" x14ac:dyDescent="0.25">
      <c r="A407" s="2"/>
      <c r="B407" s="2"/>
      <c r="C407" s="2"/>
      <c r="D407" s="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5.75" x14ac:dyDescent="0.25">
      <c r="A408" s="2"/>
      <c r="B408" s="2"/>
      <c r="C408" s="2"/>
      <c r="D408" s="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5.75" x14ac:dyDescent="0.25">
      <c r="A409" s="2"/>
      <c r="B409" s="2"/>
      <c r="C409" s="2"/>
      <c r="D409" s="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5.75" x14ac:dyDescent="0.25">
      <c r="A410" s="2"/>
      <c r="B410" s="2"/>
      <c r="C410" s="2"/>
      <c r="D410" s="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5.75" x14ac:dyDescent="0.25">
      <c r="A411" s="2"/>
      <c r="B411" s="2"/>
      <c r="C411" s="2"/>
      <c r="D411" s="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5.75" x14ac:dyDescent="0.25">
      <c r="A412" s="2"/>
      <c r="B412" s="2"/>
      <c r="C412" s="2"/>
      <c r="D412" s="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5.75" x14ac:dyDescent="0.25">
      <c r="A413" s="2"/>
      <c r="B413" s="2"/>
      <c r="C413" s="2"/>
      <c r="D413" s="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5.75" x14ac:dyDescent="0.25">
      <c r="A414" s="2"/>
      <c r="B414" s="2"/>
      <c r="C414" s="2"/>
      <c r="D414" s="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5.75" x14ac:dyDescent="0.25">
      <c r="A415" s="2"/>
      <c r="B415" s="2"/>
      <c r="C415" s="2"/>
      <c r="D415" s="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5.75" x14ac:dyDescent="0.25">
      <c r="A416" s="2"/>
      <c r="B416" s="2"/>
      <c r="C416" s="2"/>
      <c r="D416" s="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5.75" x14ac:dyDescent="0.25">
      <c r="A417" s="2"/>
      <c r="B417" s="2"/>
      <c r="C417" s="2"/>
      <c r="D417" s="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5.75" x14ac:dyDescent="0.25">
      <c r="A418" s="2"/>
      <c r="B418" s="2"/>
      <c r="C418" s="2"/>
      <c r="D418" s="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5.75" x14ac:dyDescent="0.25">
      <c r="A419" s="2"/>
      <c r="B419" s="2"/>
      <c r="C419" s="2"/>
      <c r="D419" s="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5.75" x14ac:dyDescent="0.25">
      <c r="A420" s="2"/>
      <c r="B420" s="2"/>
      <c r="C420" s="2"/>
      <c r="D420" s="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5.75" x14ac:dyDescent="0.25">
      <c r="A421" s="2"/>
      <c r="B421" s="2"/>
      <c r="C421" s="2"/>
      <c r="D421" s="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5.75" x14ac:dyDescent="0.25">
      <c r="A422" s="2"/>
      <c r="B422" s="2"/>
      <c r="C422" s="2"/>
      <c r="D422" s="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5.75" x14ac:dyDescent="0.25">
      <c r="A423" s="2"/>
      <c r="B423" s="2"/>
      <c r="C423" s="2"/>
      <c r="D423" s="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5.75" x14ac:dyDescent="0.25">
      <c r="A424" s="2"/>
      <c r="B424" s="2"/>
      <c r="C424" s="2"/>
      <c r="D424" s="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5.75" x14ac:dyDescent="0.25">
      <c r="A425" s="2"/>
      <c r="B425" s="2"/>
      <c r="C425" s="2"/>
      <c r="D425" s="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5.75" x14ac:dyDescent="0.25">
      <c r="A426" s="2"/>
      <c r="B426" s="2"/>
      <c r="C426" s="2"/>
      <c r="D426" s="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5.75" x14ac:dyDescent="0.25">
      <c r="A427" s="2"/>
      <c r="B427" s="2"/>
      <c r="C427" s="2"/>
      <c r="D427" s="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5.75" x14ac:dyDescent="0.25">
      <c r="A428" s="2"/>
      <c r="B428" s="2"/>
      <c r="C428" s="2"/>
      <c r="D428" s="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5.75" x14ac:dyDescent="0.25">
      <c r="A429" s="2"/>
      <c r="B429" s="2"/>
      <c r="C429" s="2"/>
      <c r="D429" s="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5.75" x14ac:dyDescent="0.25">
      <c r="A430" s="2"/>
      <c r="B430" s="2"/>
      <c r="C430" s="2"/>
      <c r="D430" s="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5.75" x14ac:dyDescent="0.25">
      <c r="A431" s="2"/>
      <c r="B431" s="2"/>
      <c r="C431" s="2"/>
      <c r="D431" s="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5.75" x14ac:dyDescent="0.25">
      <c r="A432" s="2"/>
      <c r="B432" s="2"/>
      <c r="C432" s="2"/>
      <c r="D432" s="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5.75" x14ac:dyDescent="0.25">
      <c r="A433" s="2"/>
      <c r="B433" s="2"/>
      <c r="C433" s="2"/>
      <c r="D433" s="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5.75" x14ac:dyDescent="0.25">
      <c r="A434" s="2"/>
      <c r="B434" s="2"/>
      <c r="C434" s="2"/>
      <c r="D434" s="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5.75" x14ac:dyDescent="0.25">
      <c r="A435" s="2"/>
      <c r="B435" s="2"/>
      <c r="C435" s="2"/>
      <c r="D435" s="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5.75" x14ac:dyDescent="0.25">
      <c r="A436" s="2"/>
      <c r="B436" s="2"/>
      <c r="C436" s="2"/>
      <c r="D436" s="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5.75" x14ac:dyDescent="0.25">
      <c r="A437" s="2"/>
      <c r="B437" s="2"/>
      <c r="C437" s="2"/>
      <c r="D437" s="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5.75" x14ac:dyDescent="0.25">
      <c r="A438" s="2"/>
      <c r="B438" s="2"/>
      <c r="C438" s="2"/>
      <c r="D438" s="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5.75" x14ac:dyDescent="0.25">
      <c r="A439" s="2"/>
      <c r="B439" s="2"/>
      <c r="C439" s="2"/>
      <c r="D439" s="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5.75" x14ac:dyDescent="0.25">
      <c r="A440" s="2"/>
      <c r="B440" s="2"/>
      <c r="C440" s="2"/>
      <c r="D440" s="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5.75" x14ac:dyDescent="0.25">
      <c r="A441" s="2"/>
      <c r="B441" s="2"/>
      <c r="C441" s="2"/>
      <c r="D441" s="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5.75" x14ac:dyDescent="0.25">
      <c r="A442" s="2"/>
      <c r="B442" s="2"/>
      <c r="C442" s="2"/>
      <c r="D442" s="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5.75" x14ac:dyDescent="0.25">
      <c r="A443" s="2"/>
      <c r="B443" s="2"/>
      <c r="C443" s="2"/>
      <c r="D443" s="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5.75" x14ac:dyDescent="0.25">
      <c r="A444" s="2"/>
      <c r="B444" s="2"/>
      <c r="C444" s="2"/>
      <c r="D444" s="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5.75" x14ac:dyDescent="0.25">
      <c r="A445" s="2"/>
      <c r="B445" s="2"/>
      <c r="C445" s="2"/>
      <c r="D445" s="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5.75" x14ac:dyDescent="0.25">
      <c r="A446" s="2"/>
      <c r="B446" s="2"/>
      <c r="C446" s="2"/>
      <c r="D446" s="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5.75" x14ac:dyDescent="0.25">
      <c r="A447" s="2"/>
      <c r="B447" s="2"/>
      <c r="C447" s="2"/>
      <c r="D447" s="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5.75" x14ac:dyDescent="0.25">
      <c r="A448" s="2"/>
      <c r="B448" s="2"/>
      <c r="C448" s="2"/>
      <c r="D448" s="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5.75" x14ac:dyDescent="0.25">
      <c r="A449" s="2"/>
      <c r="B449" s="2"/>
      <c r="C449" s="2"/>
      <c r="D449" s="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5.75" x14ac:dyDescent="0.25">
      <c r="A450" s="2"/>
      <c r="B450" s="2"/>
      <c r="C450" s="2"/>
      <c r="D450" s="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5.75" x14ac:dyDescent="0.25">
      <c r="A451" s="2"/>
      <c r="B451" s="2"/>
      <c r="C451" s="2"/>
      <c r="D451" s="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5.75" x14ac:dyDescent="0.25">
      <c r="A452" s="2"/>
      <c r="B452" s="2"/>
      <c r="C452" s="2"/>
      <c r="D452" s="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5.75" x14ac:dyDescent="0.25">
      <c r="A453" s="2"/>
      <c r="B453" s="2"/>
      <c r="C453" s="2"/>
      <c r="D453" s="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5.75" x14ac:dyDescent="0.25">
      <c r="A454" s="2"/>
      <c r="B454" s="2"/>
      <c r="C454" s="2"/>
      <c r="D454" s="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5.75" x14ac:dyDescent="0.25">
      <c r="A455" s="2"/>
      <c r="B455" s="2"/>
      <c r="C455" s="2"/>
      <c r="D455" s="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5.75" x14ac:dyDescent="0.25">
      <c r="A456" s="2"/>
      <c r="B456" s="2"/>
      <c r="C456" s="2"/>
      <c r="D456" s="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5.75" x14ac:dyDescent="0.25">
      <c r="A457" s="2"/>
      <c r="B457" s="2"/>
      <c r="C457" s="2"/>
      <c r="D457" s="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5.75" x14ac:dyDescent="0.25">
      <c r="A458" s="2"/>
      <c r="B458" s="2"/>
      <c r="C458" s="2"/>
      <c r="D458" s="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5.75" x14ac:dyDescent="0.25">
      <c r="A459" s="2"/>
      <c r="B459" s="2"/>
      <c r="C459" s="2"/>
      <c r="D459" s="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5.75" x14ac:dyDescent="0.25">
      <c r="A460" s="2"/>
      <c r="B460" s="2"/>
      <c r="C460" s="2"/>
      <c r="D460" s="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5.75" x14ac:dyDescent="0.25">
      <c r="A461" s="2"/>
      <c r="B461" s="2"/>
      <c r="C461" s="2"/>
      <c r="D461" s="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5.75" x14ac:dyDescent="0.25">
      <c r="A462" s="2"/>
      <c r="B462" s="2"/>
      <c r="C462" s="2"/>
      <c r="D462" s="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5.75" x14ac:dyDescent="0.25">
      <c r="A463" s="2"/>
      <c r="B463" s="2"/>
      <c r="C463" s="2"/>
      <c r="D463" s="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5.75" x14ac:dyDescent="0.25">
      <c r="A464" s="2"/>
      <c r="B464" s="2"/>
      <c r="C464" s="2"/>
      <c r="D464" s="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5.75" x14ac:dyDescent="0.25">
      <c r="A465" s="2"/>
      <c r="B465" s="2"/>
      <c r="C465" s="2"/>
      <c r="D465" s="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5.75" x14ac:dyDescent="0.25">
      <c r="A466" s="2"/>
      <c r="B466" s="2"/>
      <c r="C466" s="2"/>
      <c r="D466" s="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5.75" x14ac:dyDescent="0.25">
      <c r="A467" s="2"/>
      <c r="B467" s="2"/>
      <c r="C467" s="2"/>
      <c r="D467" s="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5.75" x14ac:dyDescent="0.25">
      <c r="A468" s="2"/>
      <c r="B468" s="2"/>
      <c r="C468" s="2"/>
      <c r="D468" s="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5.75" x14ac:dyDescent="0.25">
      <c r="A469" s="2"/>
      <c r="B469" s="2"/>
      <c r="C469" s="2"/>
      <c r="D469" s="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5.75" x14ac:dyDescent="0.25">
      <c r="A470" s="2"/>
      <c r="B470" s="2"/>
      <c r="C470" s="2"/>
      <c r="D470" s="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5.75" x14ac:dyDescent="0.25">
      <c r="A471" s="2"/>
      <c r="B471" s="2"/>
      <c r="C471" s="2"/>
      <c r="D471" s="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5.75" x14ac:dyDescent="0.25">
      <c r="A472" s="2"/>
      <c r="B472" s="2"/>
      <c r="C472" s="2"/>
      <c r="D472" s="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5.75" x14ac:dyDescent="0.25">
      <c r="A473" s="2"/>
      <c r="B473" s="2"/>
      <c r="C473" s="2"/>
      <c r="D473" s="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5.75" x14ac:dyDescent="0.25">
      <c r="A474" s="2"/>
      <c r="B474" s="2"/>
      <c r="C474" s="2"/>
      <c r="D474" s="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5.75" x14ac:dyDescent="0.25">
      <c r="A475" s="2"/>
      <c r="B475" s="2"/>
      <c r="C475" s="2"/>
      <c r="D475" s="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5.75" x14ac:dyDescent="0.25">
      <c r="A476" s="2"/>
      <c r="B476" s="2"/>
      <c r="C476" s="2"/>
      <c r="D476" s="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5.75" x14ac:dyDescent="0.25">
      <c r="A477" s="2"/>
      <c r="B477" s="2"/>
      <c r="C477" s="2"/>
      <c r="D477" s="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5.75" x14ac:dyDescent="0.25">
      <c r="A478" s="2"/>
      <c r="B478" s="2"/>
      <c r="C478" s="2"/>
      <c r="D478" s="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5.75" x14ac:dyDescent="0.25">
      <c r="A479" s="2"/>
      <c r="B479" s="2"/>
      <c r="C479" s="2"/>
      <c r="D479" s="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5.75" x14ac:dyDescent="0.25">
      <c r="A480" s="2"/>
      <c r="B480" s="2"/>
      <c r="C480" s="2"/>
      <c r="D480" s="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5.75" x14ac:dyDescent="0.25">
      <c r="A481" s="2"/>
      <c r="B481" s="2"/>
      <c r="C481" s="2"/>
      <c r="D481" s="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5.75" x14ac:dyDescent="0.25">
      <c r="A482" s="2"/>
      <c r="B482" s="2"/>
      <c r="C482" s="2"/>
      <c r="D482" s="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5.75" x14ac:dyDescent="0.25">
      <c r="A483" s="2"/>
      <c r="B483" s="2"/>
      <c r="C483" s="2"/>
      <c r="D483" s="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5.75" x14ac:dyDescent="0.25">
      <c r="A484" s="2"/>
      <c r="B484" s="2"/>
      <c r="C484" s="2"/>
      <c r="D484" s="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5.75" x14ac:dyDescent="0.25">
      <c r="A485" s="2"/>
      <c r="B485" s="2"/>
      <c r="C485" s="2"/>
      <c r="D485" s="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5.75" x14ac:dyDescent="0.25">
      <c r="A486" s="2"/>
      <c r="B486" s="2"/>
      <c r="C486" s="2"/>
      <c r="D486" s="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5.75" x14ac:dyDescent="0.25">
      <c r="A487" s="2"/>
      <c r="B487" s="2"/>
      <c r="C487" s="2"/>
      <c r="D487" s="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5.75" x14ac:dyDescent="0.25">
      <c r="A488" s="2"/>
      <c r="B488" s="2"/>
      <c r="C488" s="2"/>
      <c r="D488" s="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5.75" x14ac:dyDescent="0.25">
      <c r="A489" s="2"/>
      <c r="B489" s="2"/>
      <c r="C489" s="2"/>
      <c r="D489" s="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5.75" x14ac:dyDescent="0.25">
      <c r="A490" s="2"/>
      <c r="B490" s="2"/>
      <c r="C490" s="2"/>
      <c r="D490" s="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5.75" x14ac:dyDescent="0.25">
      <c r="A491" s="2"/>
      <c r="B491" s="2"/>
      <c r="C491" s="2"/>
      <c r="D491" s="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5.75" x14ac:dyDescent="0.25">
      <c r="A492" s="2"/>
      <c r="B492" s="2"/>
      <c r="C492" s="2"/>
      <c r="D492" s="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5.75" x14ac:dyDescent="0.25">
      <c r="A493" s="2"/>
      <c r="B493" s="2"/>
      <c r="C493" s="2"/>
      <c r="D493" s="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5.75" x14ac:dyDescent="0.25">
      <c r="A494" s="2"/>
      <c r="B494" s="2"/>
      <c r="C494" s="2"/>
      <c r="D494" s="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5.75" x14ac:dyDescent="0.25">
      <c r="A495" s="2"/>
      <c r="B495" s="2"/>
      <c r="C495" s="2"/>
      <c r="D495" s="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5.75" x14ac:dyDescent="0.25">
      <c r="A496" s="2"/>
      <c r="B496" s="2"/>
      <c r="C496" s="2"/>
      <c r="D496" s="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5.75" x14ac:dyDescent="0.25">
      <c r="A497" s="2"/>
      <c r="B497" s="2"/>
      <c r="C497" s="2"/>
      <c r="D497" s="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5.75" x14ac:dyDescent="0.25">
      <c r="A498" s="2"/>
      <c r="B498" s="2"/>
      <c r="C498" s="2"/>
      <c r="D498" s="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5.75" x14ac:dyDescent="0.25">
      <c r="A499" s="2"/>
      <c r="B499" s="2"/>
      <c r="C499" s="2"/>
      <c r="D499" s="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5.75" x14ac:dyDescent="0.25">
      <c r="A500" s="2"/>
      <c r="B500" s="2"/>
      <c r="C500" s="2"/>
      <c r="D500" s="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5.75" x14ac:dyDescent="0.25">
      <c r="A501" s="2"/>
      <c r="B501" s="2"/>
      <c r="C501" s="2"/>
      <c r="D501" s="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5.75" x14ac:dyDescent="0.25">
      <c r="A502" s="2"/>
      <c r="B502" s="2"/>
      <c r="C502" s="2"/>
      <c r="D502" s="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5.75" x14ac:dyDescent="0.25">
      <c r="A503" s="2"/>
      <c r="B503" s="2"/>
      <c r="C503" s="2"/>
      <c r="D503" s="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5.75" x14ac:dyDescent="0.25">
      <c r="A504" s="2"/>
      <c r="B504" s="2"/>
      <c r="C504" s="2"/>
      <c r="D504" s="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5.75" x14ac:dyDescent="0.25">
      <c r="A505" s="2"/>
      <c r="B505" s="2"/>
      <c r="C505" s="2"/>
      <c r="D505" s="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5.75" x14ac:dyDescent="0.25">
      <c r="A506" s="2"/>
      <c r="B506" s="2"/>
      <c r="C506" s="2"/>
      <c r="D506" s="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5.75" x14ac:dyDescent="0.25">
      <c r="A507" s="2"/>
      <c r="B507" s="2"/>
      <c r="C507" s="2"/>
      <c r="D507" s="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5.75" x14ac:dyDescent="0.25">
      <c r="A508" s="2"/>
      <c r="B508" s="2"/>
      <c r="C508" s="2"/>
      <c r="D508" s="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5.75" x14ac:dyDescent="0.25">
      <c r="A509" s="2"/>
      <c r="B509" s="2"/>
      <c r="C509" s="2"/>
      <c r="D509" s="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5.75" x14ac:dyDescent="0.25">
      <c r="A510" s="2"/>
      <c r="B510" s="2"/>
      <c r="C510" s="2"/>
      <c r="D510" s="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5.75" x14ac:dyDescent="0.25">
      <c r="A511" s="2"/>
      <c r="B511" s="2"/>
      <c r="C511" s="2"/>
      <c r="D511" s="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5.75" x14ac:dyDescent="0.25">
      <c r="A512" s="2"/>
      <c r="B512" s="2"/>
      <c r="C512" s="2"/>
      <c r="D512" s="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5.75" x14ac:dyDescent="0.25">
      <c r="A513" s="2"/>
      <c r="B513" s="2"/>
      <c r="C513" s="2"/>
      <c r="D513" s="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5.75" x14ac:dyDescent="0.25">
      <c r="A514" s="2"/>
      <c r="B514" s="2"/>
      <c r="C514" s="2"/>
      <c r="D514" s="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5.75" x14ac:dyDescent="0.25">
      <c r="A515" s="2"/>
      <c r="B515" s="2"/>
      <c r="C515" s="2"/>
      <c r="D515" s="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5.75" x14ac:dyDescent="0.25">
      <c r="A516" s="2"/>
      <c r="B516" s="2"/>
      <c r="C516" s="2"/>
      <c r="D516" s="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5.75" x14ac:dyDescent="0.25">
      <c r="A517" s="2"/>
      <c r="B517" s="2"/>
      <c r="C517" s="2"/>
      <c r="D517" s="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5.75" x14ac:dyDescent="0.25">
      <c r="A518" s="2"/>
      <c r="B518" s="2"/>
      <c r="C518" s="2"/>
      <c r="D518" s="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5.75" x14ac:dyDescent="0.25">
      <c r="A519" s="2"/>
      <c r="B519" s="2"/>
      <c r="C519" s="2"/>
      <c r="D519" s="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5.75" x14ac:dyDescent="0.25">
      <c r="A520" s="2"/>
      <c r="B520" s="2"/>
      <c r="C520" s="2"/>
      <c r="D520" s="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5.75" x14ac:dyDescent="0.25">
      <c r="A521" s="2"/>
      <c r="B521" s="2"/>
      <c r="C521" s="2"/>
      <c r="D521" s="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5.75" x14ac:dyDescent="0.25">
      <c r="A522" s="2"/>
      <c r="B522" s="2"/>
      <c r="C522" s="2"/>
      <c r="D522" s="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5.75" x14ac:dyDescent="0.25">
      <c r="A523" s="2"/>
      <c r="B523" s="2"/>
      <c r="C523" s="2"/>
      <c r="D523" s="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5.75" x14ac:dyDescent="0.25">
      <c r="A524" s="2"/>
      <c r="B524" s="2"/>
      <c r="C524" s="2"/>
      <c r="D524" s="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5.75" x14ac:dyDescent="0.25">
      <c r="A525" s="2"/>
      <c r="B525" s="2"/>
      <c r="C525" s="2"/>
      <c r="D525" s="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5.75" x14ac:dyDescent="0.25">
      <c r="A526" s="2"/>
      <c r="B526" s="2"/>
      <c r="C526" s="2"/>
      <c r="D526" s="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5.75" x14ac:dyDescent="0.25">
      <c r="A527" s="2"/>
      <c r="B527" s="2"/>
      <c r="C527" s="2"/>
      <c r="D527" s="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5.75" x14ac:dyDescent="0.25">
      <c r="A528" s="2"/>
      <c r="B528" s="2"/>
      <c r="C528" s="2"/>
      <c r="D528" s="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5.75" x14ac:dyDescent="0.25">
      <c r="A529" s="2"/>
      <c r="B529" s="2"/>
      <c r="C529" s="2"/>
      <c r="D529" s="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5.75" x14ac:dyDescent="0.25">
      <c r="A530" s="2"/>
      <c r="B530" s="2"/>
      <c r="C530" s="2"/>
      <c r="D530" s="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5.75" x14ac:dyDescent="0.25">
      <c r="A531" s="2"/>
      <c r="B531" s="2"/>
      <c r="C531" s="2"/>
      <c r="D531" s="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5.75" x14ac:dyDescent="0.25">
      <c r="A532" s="2"/>
      <c r="B532" s="2"/>
      <c r="C532" s="2"/>
      <c r="D532" s="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5.75" x14ac:dyDescent="0.25">
      <c r="A533" s="2"/>
      <c r="B533" s="2"/>
      <c r="C533" s="2"/>
      <c r="D533" s="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5.75" x14ac:dyDescent="0.25">
      <c r="A534" s="2"/>
      <c r="B534" s="2"/>
      <c r="C534" s="2"/>
      <c r="D534" s="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5.75" x14ac:dyDescent="0.25">
      <c r="A535" s="2"/>
      <c r="B535" s="2"/>
      <c r="C535" s="2"/>
      <c r="D535" s="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5.75" x14ac:dyDescent="0.25">
      <c r="A536" s="2"/>
      <c r="B536" s="2"/>
      <c r="C536" s="2"/>
      <c r="D536" s="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5.75" x14ac:dyDescent="0.25">
      <c r="A537" s="2"/>
      <c r="B537" s="2"/>
      <c r="C537" s="2"/>
      <c r="D537" s="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5.75" x14ac:dyDescent="0.25">
      <c r="A538" s="2"/>
      <c r="B538" s="2"/>
      <c r="C538" s="2"/>
      <c r="D538" s="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5.75" x14ac:dyDescent="0.25">
      <c r="A539" s="2"/>
      <c r="B539" s="2"/>
      <c r="C539" s="2"/>
      <c r="D539" s="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5.75" x14ac:dyDescent="0.25">
      <c r="A540" s="2"/>
      <c r="B540" s="2"/>
      <c r="C540" s="2"/>
      <c r="D540" s="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5.75" x14ac:dyDescent="0.25">
      <c r="A541" s="2"/>
      <c r="B541" s="2"/>
      <c r="C541" s="2"/>
      <c r="D541" s="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5.75" x14ac:dyDescent="0.25">
      <c r="A542" s="2"/>
      <c r="B542" s="2"/>
      <c r="C542" s="2"/>
      <c r="D542" s="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5.75" x14ac:dyDescent="0.25">
      <c r="A543" s="2"/>
      <c r="B543" s="2"/>
      <c r="C543" s="2"/>
      <c r="D543" s="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5.75" x14ac:dyDescent="0.25">
      <c r="A544" s="2"/>
      <c r="B544" s="2"/>
      <c r="C544" s="2"/>
      <c r="D544" s="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5.75" x14ac:dyDescent="0.25">
      <c r="A545" s="2"/>
      <c r="B545" s="2"/>
      <c r="C545" s="2"/>
      <c r="D545" s="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5.75" x14ac:dyDescent="0.25">
      <c r="A546" s="2"/>
      <c r="B546" s="2"/>
      <c r="C546" s="2"/>
      <c r="D546" s="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5.75" x14ac:dyDescent="0.25">
      <c r="A547" s="2"/>
      <c r="B547" s="2"/>
      <c r="C547" s="2"/>
      <c r="D547" s="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5.75" x14ac:dyDescent="0.25">
      <c r="A548" s="2"/>
      <c r="B548" s="2"/>
      <c r="C548" s="2"/>
      <c r="D548" s="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5.75" x14ac:dyDescent="0.25">
      <c r="A549" s="2"/>
      <c r="B549" s="2"/>
      <c r="C549" s="2"/>
      <c r="D549" s="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5.75" x14ac:dyDescent="0.25">
      <c r="A550" s="2"/>
      <c r="B550" s="2"/>
      <c r="C550" s="2"/>
      <c r="D550" s="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5.75" x14ac:dyDescent="0.25">
      <c r="A551" s="2"/>
      <c r="B551" s="2"/>
      <c r="C551" s="2"/>
      <c r="D551" s="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5.75" x14ac:dyDescent="0.25">
      <c r="A552" s="2"/>
      <c r="B552" s="2"/>
      <c r="C552" s="2"/>
      <c r="D552" s="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5.75" x14ac:dyDescent="0.25">
      <c r="A553" s="2"/>
      <c r="B553" s="2"/>
      <c r="C553" s="2"/>
      <c r="D553" s="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5.75" x14ac:dyDescent="0.25">
      <c r="A554" s="2"/>
      <c r="B554" s="2"/>
      <c r="C554" s="2"/>
      <c r="D554" s="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5.75" x14ac:dyDescent="0.25">
      <c r="A555" s="2"/>
      <c r="B555" s="2"/>
      <c r="C555" s="2"/>
      <c r="D555" s="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5.75" x14ac:dyDescent="0.25">
      <c r="A556" s="2"/>
      <c r="B556" s="2"/>
      <c r="C556" s="2"/>
      <c r="D556" s="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5.75" x14ac:dyDescent="0.25">
      <c r="A557" s="2"/>
      <c r="B557" s="2"/>
      <c r="C557" s="2"/>
      <c r="D557" s="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5.75" x14ac:dyDescent="0.25">
      <c r="A558" s="2"/>
      <c r="B558" s="2"/>
      <c r="C558" s="2"/>
      <c r="D558" s="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5.75" x14ac:dyDescent="0.25">
      <c r="A559" s="2"/>
      <c r="B559" s="2"/>
      <c r="C559" s="2"/>
      <c r="D559" s="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5.75" x14ac:dyDescent="0.25">
      <c r="A560" s="2"/>
      <c r="B560" s="2"/>
      <c r="C560" s="2"/>
      <c r="D560" s="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5.75" x14ac:dyDescent="0.25">
      <c r="A561" s="2"/>
      <c r="B561" s="2"/>
      <c r="C561" s="2"/>
      <c r="D561" s="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5.75" x14ac:dyDescent="0.25">
      <c r="A562" s="2"/>
      <c r="B562" s="2"/>
      <c r="C562" s="2"/>
      <c r="D562" s="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5.75" x14ac:dyDescent="0.25">
      <c r="A563" s="2"/>
      <c r="B563" s="2"/>
      <c r="C563" s="2"/>
      <c r="D563" s="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5.75" x14ac:dyDescent="0.25">
      <c r="A564" s="2"/>
      <c r="B564" s="2"/>
      <c r="C564" s="2"/>
      <c r="D564" s="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5.75" x14ac:dyDescent="0.25">
      <c r="A565" s="2"/>
      <c r="B565" s="2"/>
      <c r="C565" s="2"/>
      <c r="D565" s="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5.75" x14ac:dyDescent="0.25">
      <c r="A566" s="2"/>
      <c r="B566" s="2"/>
      <c r="C566" s="2"/>
      <c r="D566" s="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5.75" x14ac:dyDescent="0.25">
      <c r="A567" s="2"/>
      <c r="B567" s="2"/>
      <c r="C567" s="2"/>
      <c r="D567" s="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5.75" x14ac:dyDescent="0.25">
      <c r="A568" s="2"/>
      <c r="B568" s="2"/>
      <c r="C568" s="2"/>
      <c r="D568" s="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5.75" x14ac:dyDescent="0.25">
      <c r="A569" s="2"/>
      <c r="B569" s="2"/>
      <c r="C569" s="2"/>
      <c r="D569" s="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5.75" x14ac:dyDescent="0.25">
      <c r="A570" s="2"/>
      <c r="B570" s="2"/>
      <c r="C570" s="2"/>
      <c r="D570" s="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5.75" x14ac:dyDescent="0.25">
      <c r="A571" s="2"/>
      <c r="B571" s="2"/>
      <c r="C571" s="2"/>
      <c r="D571" s="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5.75" x14ac:dyDescent="0.25">
      <c r="A572" s="2"/>
      <c r="B572" s="2"/>
      <c r="C572" s="2"/>
      <c r="D572" s="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5.75" x14ac:dyDescent="0.25">
      <c r="A573" s="2"/>
      <c r="B573" s="2"/>
      <c r="C573" s="2"/>
      <c r="D573" s="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5.75" x14ac:dyDescent="0.25">
      <c r="A574" s="2"/>
      <c r="B574" s="2"/>
      <c r="C574" s="2"/>
      <c r="D574" s="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5.75" x14ac:dyDescent="0.25">
      <c r="A575" s="2"/>
      <c r="B575" s="2"/>
      <c r="C575" s="2"/>
      <c r="D575" s="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5.75" x14ac:dyDescent="0.25">
      <c r="A576" s="2"/>
      <c r="B576" s="2"/>
      <c r="C576" s="2"/>
      <c r="D576" s="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5.75" x14ac:dyDescent="0.25">
      <c r="A577" s="2"/>
      <c r="B577" s="2"/>
      <c r="C577" s="2"/>
      <c r="D577" s="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5.75" x14ac:dyDescent="0.25">
      <c r="A578" s="2"/>
      <c r="B578" s="2"/>
      <c r="C578" s="2"/>
      <c r="D578" s="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5.75" x14ac:dyDescent="0.25">
      <c r="A579" s="2"/>
      <c r="B579" s="2"/>
      <c r="C579" s="2"/>
      <c r="D579" s="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5.75" x14ac:dyDescent="0.25">
      <c r="A580" s="2"/>
      <c r="B580" s="2"/>
      <c r="C580" s="2"/>
      <c r="D580" s="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5.75" x14ac:dyDescent="0.25">
      <c r="A581" s="2"/>
      <c r="B581" s="2"/>
      <c r="C581" s="2"/>
      <c r="D581" s="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5.75" x14ac:dyDescent="0.25">
      <c r="A582" s="2"/>
      <c r="B582" s="2"/>
      <c r="C582" s="2"/>
      <c r="D582" s="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5.75" x14ac:dyDescent="0.25">
      <c r="A583" s="2"/>
      <c r="B583" s="2"/>
      <c r="C583" s="2"/>
      <c r="D583" s="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5.75" x14ac:dyDescent="0.25">
      <c r="A584" s="2"/>
      <c r="B584" s="2"/>
      <c r="C584" s="2"/>
      <c r="D584" s="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5.75" x14ac:dyDescent="0.25">
      <c r="A585" s="2"/>
      <c r="B585" s="2"/>
      <c r="C585" s="2"/>
      <c r="D585" s="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5.75" x14ac:dyDescent="0.25">
      <c r="A586" s="2"/>
      <c r="B586" s="2"/>
      <c r="C586" s="2"/>
      <c r="D586" s="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5.75" x14ac:dyDescent="0.25">
      <c r="A587" s="2"/>
      <c r="B587" s="2"/>
      <c r="C587" s="2"/>
      <c r="D587" s="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5.75" x14ac:dyDescent="0.25">
      <c r="A588" s="2"/>
      <c r="B588" s="2"/>
      <c r="C588" s="2"/>
      <c r="D588" s="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5.75" x14ac:dyDescent="0.25">
      <c r="A589" s="2"/>
      <c r="B589" s="2"/>
      <c r="C589" s="2"/>
      <c r="D589" s="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5.75" x14ac:dyDescent="0.25">
      <c r="A590" s="2"/>
      <c r="B590" s="2"/>
      <c r="C590" s="2"/>
      <c r="D590" s="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5.75" x14ac:dyDescent="0.25">
      <c r="A591" s="2"/>
      <c r="B591" s="2"/>
      <c r="C591" s="2"/>
      <c r="D591" s="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5.75" x14ac:dyDescent="0.25">
      <c r="A592" s="2"/>
      <c r="B592" s="2"/>
      <c r="C592" s="2"/>
      <c r="D592" s="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5.75" x14ac:dyDescent="0.25">
      <c r="A593" s="2"/>
      <c r="B593" s="2"/>
      <c r="C593" s="2"/>
      <c r="D593" s="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5.75" x14ac:dyDescent="0.25">
      <c r="A594" s="2"/>
      <c r="B594" s="2"/>
      <c r="C594" s="2"/>
      <c r="D594" s="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5.75" x14ac:dyDescent="0.25">
      <c r="A595" s="2"/>
      <c r="B595" s="2"/>
      <c r="C595" s="2"/>
      <c r="D595" s="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5.75" x14ac:dyDescent="0.25">
      <c r="A596" s="2"/>
      <c r="B596" s="2"/>
      <c r="C596" s="2"/>
      <c r="D596" s="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5.75" x14ac:dyDescent="0.25">
      <c r="A597" s="2"/>
      <c r="B597" s="2"/>
      <c r="C597" s="2"/>
      <c r="D597" s="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5.75" x14ac:dyDescent="0.25">
      <c r="A598" s="2"/>
      <c r="B598" s="2"/>
      <c r="C598" s="2"/>
      <c r="D598" s="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5.75" x14ac:dyDescent="0.25">
      <c r="A599" s="2"/>
      <c r="B599" s="2"/>
      <c r="C599" s="2"/>
      <c r="D599" s="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5.75" x14ac:dyDescent="0.25">
      <c r="A600" s="2"/>
      <c r="B600" s="2"/>
      <c r="C600" s="2"/>
      <c r="D600" s="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5.75" x14ac:dyDescent="0.25">
      <c r="A601" s="2"/>
      <c r="B601" s="2"/>
      <c r="C601" s="2"/>
      <c r="D601" s="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5.75" x14ac:dyDescent="0.25">
      <c r="A602" s="2"/>
      <c r="B602" s="2"/>
      <c r="C602" s="2"/>
      <c r="D602" s="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5.75" x14ac:dyDescent="0.25">
      <c r="A603" s="2"/>
      <c r="B603" s="2"/>
      <c r="C603" s="2"/>
      <c r="D603" s="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5.75" x14ac:dyDescent="0.25">
      <c r="A604" s="2"/>
      <c r="B604" s="2"/>
      <c r="C604" s="2"/>
      <c r="D604" s="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5.75" x14ac:dyDescent="0.25">
      <c r="A605" s="2"/>
      <c r="B605" s="2"/>
      <c r="C605" s="2"/>
      <c r="D605" s="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5.75" x14ac:dyDescent="0.25">
      <c r="A606" s="2"/>
      <c r="B606" s="2"/>
      <c r="C606" s="2"/>
      <c r="D606" s="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5.75" x14ac:dyDescent="0.25">
      <c r="A607" s="2"/>
      <c r="B607" s="2"/>
      <c r="C607" s="2"/>
      <c r="D607" s="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5.75" x14ac:dyDescent="0.25">
      <c r="A608" s="2"/>
      <c r="B608" s="2"/>
      <c r="C608" s="2"/>
      <c r="D608" s="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5.75" x14ac:dyDescent="0.25">
      <c r="A609" s="2"/>
      <c r="B609" s="2"/>
      <c r="C609" s="2"/>
      <c r="D609" s="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5.75" x14ac:dyDescent="0.25">
      <c r="A610" s="2"/>
      <c r="B610" s="2"/>
      <c r="C610" s="2"/>
      <c r="D610" s="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5.75" x14ac:dyDescent="0.25">
      <c r="A611" s="2"/>
      <c r="B611" s="2"/>
      <c r="C611" s="2"/>
      <c r="D611" s="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5.75" x14ac:dyDescent="0.25">
      <c r="A612" s="2"/>
      <c r="B612" s="2"/>
      <c r="C612" s="2"/>
      <c r="D612" s="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5.75" x14ac:dyDescent="0.25">
      <c r="A613" s="2"/>
      <c r="B613" s="2"/>
      <c r="C613" s="2"/>
      <c r="D613" s="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5.75" x14ac:dyDescent="0.25">
      <c r="A614" s="2"/>
      <c r="B614" s="2"/>
      <c r="C614" s="2"/>
      <c r="D614" s="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5.75" x14ac:dyDescent="0.25">
      <c r="A615" s="2"/>
      <c r="B615" s="2"/>
      <c r="C615" s="2"/>
      <c r="D615" s="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5.75" x14ac:dyDescent="0.25">
      <c r="A616" s="2"/>
      <c r="B616" s="2"/>
      <c r="C616" s="2"/>
      <c r="D616" s="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5.75" x14ac:dyDescent="0.25">
      <c r="A617" s="2"/>
      <c r="B617" s="2"/>
      <c r="C617" s="2"/>
      <c r="D617" s="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5.75" x14ac:dyDescent="0.25">
      <c r="A618" s="2"/>
      <c r="B618" s="2"/>
      <c r="C618" s="2"/>
      <c r="D618" s="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5.75" x14ac:dyDescent="0.25">
      <c r="A619" s="2"/>
      <c r="B619" s="2"/>
      <c r="C619" s="2"/>
      <c r="D619" s="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5.75" x14ac:dyDescent="0.25">
      <c r="A620" s="2"/>
      <c r="B620" s="2"/>
      <c r="C620" s="2"/>
      <c r="D620" s="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5.75" x14ac:dyDescent="0.25">
      <c r="A621" s="2"/>
      <c r="B621" s="2"/>
      <c r="C621" s="2"/>
      <c r="D621" s="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5.75" x14ac:dyDescent="0.25">
      <c r="A622" s="2"/>
      <c r="B622" s="2"/>
      <c r="C622" s="2"/>
      <c r="D622" s="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5.75" x14ac:dyDescent="0.25">
      <c r="A623" s="2"/>
      <c r="B623" s="2"/>
      <c r="C623" s="2"/>
      <c r="D623" s="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5.75" x14ac:dyDescent="0.25">
      <c r="A624" s="2"/>
      <c r="B624" s="2"/>
      <c r="C624" s="2"/>
      <c r="D624" s="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5.75" x14ac:dyDescent="0.25">
      <c r="A625" s="2"/>
      <c r="B625" s="2"/>
      <c r="C625" s="2"/>
      <c r="D625" s="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5.75" x14ac:dyDescent="0.25">
      <c r="A626" s="2"/>
      <c r="B626" s="2"/>
      <c r="C626" s="2"/>
      <c r="D626" s="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5.75" x14ac:dyDescent="0.25">
      <c r="A627" s="2"/>
      <c r="B627" s="2"/>
      <c r="C627" s="2"/>
      <c r="D627" s="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5.75" x14ac:dyDescent="0.25">
      <c r="A628" s="2"/>
      <c r="B628" s="2"/>
      <c r="C628" s="2"/>
      <c r="D628" s="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5.75" x14ac:dyDescent="0.25">
      <c r="A629" s="2"/>
      <c r="B629" s="2"/>
      <c r="C629" s="2"/>
      <c r="D629" s="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5.75" x14ac:dyDescent="0.25">
      <c r="A630" s="2"/>
      <c r="B630" s="2"/>
      <c r="C630" s="2"/>
      <c r="D630" s="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5.75" x14ac:dyDescent="0.25">
      <c r="A631" s="2"/>
      <c r="B631" s="2"/>
      <c r="C631" s="2"/>
      <c r="D631" s="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5.75" x14ac:dyDescent="0.25">
      <c r="A632" s="2"/>
      <c r="B632" s="2"/>
      <c r="C632" s="2"/>
      <c r="D632" s="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5.75" x14ac:dyDescent="0.25">
      <c r="A633" s="2"/>
      <c r="B633" s="2"/>
      <c r="C633" s="2"/>
      <c r="D633" s="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5.75" x14ac:dyDescent="0.25">
      <c r="A634" s="2"/>
      <c r="B634" s="2"/>
      <c r="C634" s="2"/>
      <c r="D634" s="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5.75" x14ac:dyDescent="0.25">
      <c r="A635" s="2"/>
      <c r="B635" s="2"/>
      <c r="C635" s="2"/>
      <c r="D635" s="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5.75" x14ac:dyDescent="0.25">
      <c r="A636" s="2"/>
      <c r="B636" s="2"/>
      <c r="C636" s="2"/>
      <c r="D636" s="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5.75" x14ac:dyDescent="0.25">
      <c r="A637" s="2"/>
      <c r="B637" s="2"/>
      <c r="C637" s="2"/>
      <c r="D637" s="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5.75" x14ac:dyDescent="0.25">
      <c r="A638" s="2"/>
      <c r="B638" s="2"/>
      <c r="C638" s="2"/>
      <c r="D638" s="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5.75" x14ac:dyDescent="0.25">
      <c r="A639" s="2"/>
      <c r="B639" s="2"/>
      <c r="C639" s="2"/>
      <c r="D639" s="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5.75" x14ac:dyDescent="0.25">
      <c r="A640" s="2"/>
      <c r="B640" s="2"/>
      <c r="C640" s="2"/>
      <c r="D640" s="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5.75" x14ac:dyDescent="0.25">
      <c r="A641" s="2"/>
      <c r="B641" s="2"/>
      <c r="C641" s="2"/>
      <c r="D641" s="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5.75" x14ac:dyDescent="0.25">
      <c r="A642" s="2"/>
      <c r="B642" s="2"/>
      <c r="C642" s="2"/>
      <c r="D642" s="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5.75" x14ac:dyDescent="0.25">
      <c r="A643" s="2"/>
      <c r="B643" s="2"/>
      <c r="C643" s="2"/>
      <c r="D643" s="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5.75" x14ac:dyDescent="0.25">
      <c r="A644" s="2"/>
      <c r="B644" s="2"/>
      <c r="C644" s="2"/>
      <c r="D644" s="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5.75" x14ac:dyDescent="0.25">
      <c r="A645" s="2"/>
      <c r="B645" s="2"/>
      <c r="C645" s="2"/>
      <c r="D645" s="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5.75" x14ac:dyDescent="0.25">
      <c r="A646" s="2"/>
      <c r="B646" s="2"/>
      <c r="C646" s="2"/>
      <c r="D646" s="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5.75" x14ac:dyDescent="0.25">
      <c r="A647" s="2"/>
      <c r="B647" s="2"/>
      <c r="C647" s="2"/>
      <c r="D647" s="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5.75" x14ac:dyDescent="0.25">
      <c r="A648" s="2"/>
      <c r="B648" s="2"/>
      <c r="C648" s="2"/>
      <c r="D648" s="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5.75" x14ac:dyDescent="0.25">
      <c r="A649" s="2"/>
      <c r="B649" s="2"/>
      <c r="C649" s="2"/>
      <c r="D649" s="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5.75" x14ac:dyDescent="0.25">
      <c r="A650" s="2"/>
      <c r="B650" s="2"/>
      <c r="C650" s="2"/>
      <c r="D650" s="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5.75" x14ac:dyDescent="0.25">
      <c r="A651" s="2"/>
      <c r="B651" s="2"/>
      <c r="C651" s="2"/>
      <c r="D651" s="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5.75" x14ac:dyDescent="0.25">
      <c r="A652" s="2"/>
      <c r="B652" s="2"/>
      <c r="C652" s="2"/>
      <c r="D652" s="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5.75" x14ac:dyDescent="0.25">
      <c r="A653" s="2"/>
      <c r="B653" s="2"/>
      <c r="C653" s="2"/>
      <c r="D653" s="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5.75" x14ac:dyDescent="0.25">
      <c r="A654" s="2"/>
      <c r="B654" s="2"/>
      <c r="C654" s="2"/>
      <c r="D654" s="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5.75" x14ac:dyDescent="0.25">
      <c r="A655" s="2"/>
      <c r="B655" s="2"/>
      <c r="C655" s="2"/>
      <c r="D655" s="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5.75" x14ac:dyDescent="0.25">
      <c r="A656" s="2"/>
      <c r="B656" s="2"/>
      <c r="C656" s="2"/>
      <c r="D656" s="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5.75" x14ac:dyDescent="0.25">
      <c r="A657" s="2"/>
      <c r="B657" s="2"/>
      <c r="C657" s="2"/>
      <c r="D657" s="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5.75" x14ac:dyDescent="0.25">
      <c r="A658" s="2"/>
      <c r="B658" s="2"/>
      <c r="C658" s="2"/>
      <c r="D658" s="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5.75" x14ac:dyDescent="0.25">
      <c r="A659" s="2"/>
      <c r="B659" s="2"/>
      <c r="C659" s="2"/>
      <c r="D659" s="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5.75" x14ac:dyDescent="0.25">
      <c r="A660" s="2"/>
      <c r="B660" s="2"/>
      <c r="C660" s="2"/>
      <c r="D660" s="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5.75" x14ac:dyDescent="0.25">
      <c r="A661" s="2"/>
      <c r="B661" s="2"/>
      <c r="C661" s="2"/>
      <c r="D661" s="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5.75" x14ac:dyDescent="0.25">
      <c r="A662" s="2"/>
      <c r="B662" s="2"/>
      <c r="C662" s="2"/>
      <c r="D662" s="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5.75" x14ac:dyDescent="0.25">
      <c r="A663" s="2"/>
      <c r="B663" s="2"/>
      <c r="C663" s="2"/>
      <c r="D663" s="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5.75" x14ac:dyDescent="0.25">
      <c r="A664" s="2"/>
      <c r="B664" s="2"/>
      <c r="C664" s="2"/>
      <c r="D664" s="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5.75" x14ac:dyDescent="0.25">
      <c r="A665" s="2"/>
      <c r="B665" s="2"/>
      <c r="C665" s="2"/>
      <c r="D665" s="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5.75" x14ac:dyDescent="0.25">
      <c r="A666" s="2"/>
      <c r="B666" s="2"/>
      <c r="C666" s="2"/>
      <c r="D666" s="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5.75" x14ac:dyDescent="0.25">
      <c r="A667" s="2"/>
      <c r="B667" s="2"/>
      <c r="C667" s="2"/>
      <c r="D667" s="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5.75" x14ac:dyDescent="0.25">
      <c r="A668" s="2"/>
      <c r="B668" s="2"/>
      <c r="C668" s="2"/>
      <c r="D668" s="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5.75" x14ac:dyDescent="0.25">
      <c r="A669" s="2"/>
      <c r="B669" s="2"/>
      <c r="C669" s="2"/>
      <c r="D669" s="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5.75" x14ac:dyDescent="0.25">
      <c r="A670" s="2"/>
      <c r="B670" s="2"/>
      <c r="C670" s="2"/>
      <c r="D670" s="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5.75" x14ac:dyDescent="0.25">
      <c r="A671" s="2"/>
      <c r="B671" s="2"/>
      <c r="C671" s="2"/>
      <c r="D671" s="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5.75" x14ac:dyDescent="0.25">
      <c r="A672" s="2"/>
      <c r="B672" s="2"/>
      <c r="C672" s="2"/>
      <c r="D672" s="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5.75" x14ac:dyDescent="0.25">
      <c r="A673" s="2"/>
      <c r="B673" s="2"/>
      <c r="C673" s="2"/>
      <c r="D673" s="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5.75" x14ac:dyDescent="0.25">
      <c r="A674" s="2"/>
      <c r="B674" s="2"/>
      <c r="C674" s="2"/>
      <c r="D674" s="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5.75" x14ac:dyDescent="0.25">
      <c r="A675" s="2"/>
      <c r="B675" s="2"/>
      <c r="C675" s="2"/>
      <c r="D675" s="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5.75" x14ac:dyDescent="0.25">
      <c r="A676" s="2"/>
      <c r="B676" s="2"/>
      <c r="C676" s="2"/>
      <c r="D676" s="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5.75" x14ac:dyDescent="0.25">
      <c r="A677" s="2"/>
      <c r="B677" s="2"/>
      <c r="C677" s="2"/>
      <c r="D677" s="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5.75" x14ac:dyDescent="0.25">
      <c r="A678" s="2"/>
      <c r="B678" s="2"/>
      <c r="C678" s="2"/>
      <c r="D678" s="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5.75" x14ac:dyDescent="0.25">
      <c r="A679" s="2"/>
      <c r="B679" s="2"/>
      <c r="C679" s="2"/>
      <c r="D679" s="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5.75" x14ac:dyDescent="0.25">
      <c r="A680" s="2"/>
      <c r="B680" s="2"/>
      <c r="C680" s="2"/>
      <c r="D680" s="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5.75" x14ac:dyDescent="0.25">
      <c r="A681" s="2"/>
      <c r="B681" s="2"/>
      <c r="C681" s="2"/>
      <c r="D681" s="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5.75" x14ac:dyDescent="0.25">
      <c r="A682" s="2"/>
      <c r="B682" s="2"/>
      <c r="C682" s="2"/>
      <c r="D682" s="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5.75" x14ac:dyDescent="0.25">
      <c r="A683" s="2"/>
      <c r="B683" s="2"/>
      <c r="C683" s="2"/>
      <c r="D683" s="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5.75" x14ac:dyDescent="0.25">
      <c r="A684" s="2"/>
      <c r="B684" s="2"/>
      <c r="C684" s="2"/>
      <c r="D684" s="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5.75" x14ac:dyDescent="0.25">
      <c r="A685" s="2"/>
      <c r="B685" s="2"/>
      <c r="C685" s="2"/>
      <c r="D685" s="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5.75" x14ac:dyDescent="0.25">
      <c r="A686" s="2"/>
      <c r="B686" s="2"/>
      <c r="C686" s="2"/>
      <c r="D686" s="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5.75" x14ac:dyDescent="0.25">
      <c r="A687" s="2"/>
      <c r="B687" s="2"/>
      <c r="C687" s="2"/>
      <c r="D687" s="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5.75" x14ac:dyDescent="0.25">
      <c r="A688" s="2"/>
      <c r="B688" s="2"/>
      <c r="C688" s="2"/>
      <c r="D688" s="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5.75" x14ac:dyDescent="0.25">
      <c r="A689" s="2"/>
      <c r="B689" s="2"/>
      <c r="C689" s="2"/>
      <c r="D689" s="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5.75" x14ac:dyDescent="0.25">
      <c r="A690" s="2"/>
      <c r="B690" s="2"/>
      <c r="C690" s="2"/>
      <c r="D690" s="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5.75" x14ac:dyDescent="0.25">
      <c r="A691" s="2"/>
      <c r="B691" s="2"/>
      <c r="C691" s="2"/>
      <c r="D691" s="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5.75" x14ac:dyDescent="0.25">
      <c r="A692" s="2"/>
      <c r="B692" s="2"/>
      <c r="C692" s="2"/>
      <c r="D692" s="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5.75" x14ac:dyDescent="0.25">
      <c r="A693" s="2"/>
      <c r="B693" s="2"/>
      <c r="C693" s="2"/>
      <c r="D693" s="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5.75" x14ac:dyDescent="0.25">
      <c r="A694" s="2"/>
      <c r="B694" s="2"/>
      <c r="C694" s="2"/>
      <c r="D694" s="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5.75" x14ac:dyDescent="0.25">
      <c r="A695" s="2"/>
      <c r="B695" s="2"/>
      <c r="C695" s="2"/>
      <c r="D695" s="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5.75" x14ac:dyDescent="0.25">
      <c r="A696" s="2"/>
      <c r="B696" s="2"/>
      <c r="C696" s="2"/>
      <c r="D696" s="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5.75" x14ac:dyDescent="0.25">
      <c r="A697" s="2"/>
      <c r="B697" s="2"/>
      <c r="C697" s="2"/>
      <c r="D697" s="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5.75" x14ac:dyDescent="0.25">
      <c r="A698" s="2"/>
      <c r="B698" s="2"/>
      <c r="C698" s="2"/>
      <c r="D698" s="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5.75" x14ac:dyDescent="0.25">
      <c r="A699" s="2"/>
      <c r="B699" s="2"/>
      <c r="C699" s="2"/>
      <c r="D699" s="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5.75" x14ac:dyDescent="0.25">
      <c r="A700" s="2"/>
      <c r="B700" s="2"/>
      <c r="C700" s="2"/>
      <c r="D700" s="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5.75" x14ac:dyDescent="0.25">
      <c r="A701" s="2"/>
      <c r="B701" s="2"/>
      <c r="C701" s="2"/>
      <c r="D701" s="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5.75" x14ac:dyDescent="0.25">
      <c r="A702" s="2"/>
      <c r="B702" s="2"/>
      <c r="C702" s="2"/>
      <c r="D702" s="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5.75" x14ac:dyDescent="0.25">
      <c r="A703" s="2"/>
      <c r="B703" s="2"/>
      <c r="C703" s="2"/>
      <c r="D703" s="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5.75" x14ac:dyDescent="0.25">
      <c r="A704" s="2"/>
      <c r="B704" s="2"/>
      <c r="C704" s="2"/>
      <c r="D704" s="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5.75" x14ac:dyDescent="0.25">
      <c r="A705" s="2"/>
      <c r="B705" s="2"/>
      <c r="C705" s="2"/>
      <c r="D705" s="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5.75" x14ac:dyDescent="0.25">
      <c r="A706" s="2"/>
      <c r="B706" s="2"/>
      <c r="C706" s="2"/>
      <c r="D706" s="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5.75" x14ac:dyDescent="0.25">
      <c r="A707" s="2"/>
      <c r="B707" s="2"/>
      <c r="C707" s="2"/>
      <c r="D707" s="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5.75" x14ac:dyDescent="0.25">
      <c r="A708" s="2"/>
      <c r="B708" s="2"/>
      <c r="C708" s="2"/>
      <c r="D708" s="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5.75" x14ac:dyDescent="0.25">
      <c r="A709" s="2"/>
      <c r="B709" s="2"/>
      <c r="C709" s="2"/>
      <c r="D709" s="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5.75" x14ac:dyDescent="0.25">
      <c r="A710" s="2"/>
      <c r="B710" s="2"/>
      <c r="C710" s="2"/>
      <c r="D710" s="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5.75" x14ac:dyDescent="0.25">
      <c r="A711" s="2"/>
      <c r="B711" s="2"/>
      <c r="C711" s="2"/>
      <c r="D711" s="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5.75" x14ac:dyDescent="0.25">
      <c r="A712" s="2"/>
      <c r="B712" s="2"/>
      <c r="C712" s="2"/>
      <c r="D712" s="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5.75" x14ac:dyDescent="0.25">
      <c r="A713" s="2"/>
      <c r="B713" s="2"/>
      <c r="C713" s="2"/>
      <c r="D713" s="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5.75" x14ac:dyDescent="0.25">
      <c r="A714" s="2"/>
      <c r="B714" s="2"/>
      <c r="C714" s="2"/>
      <c r="D714" s="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5.75" x14ac:dyDescent="0.25">
      <c r="A715" s="2"/>
      <c r="B715" s="2"/>
      <c r="C715" s="2"/>
      <c r="D715" s="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5.75" x14ac:dyDescent="0.25">
      <c r="A716" s="2"/>
      <c r="B716" s="2"/>
      <c r="C716" s="2"/>
      <c r="D716" s="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5.75" x14ac:dyDescent="0.25">
      <c r="A717" s="2"/>
      <c r="B717" s="2"/>
      <c r="C717" s="2"/>
      <c r="D717" s="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5.75" x14ac:dyDescent="0.25">
      <c r="A718" s="2"/>
      <c r="B718" s="2"/>
      <c r="C718" s="2"/>
      <c r="D718" s="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5.75" x14ac:dyDescent="0.25">
      <c r="A719" s="2"/>
      <c r="B719" s="2"/>
      <c r="C719" s="2"/>
      <c r="D719" s="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5.75" x14ac:dyDescent="0.25">
      <c r="A720" s="2"/>
      <c r="B720" s="2"/>
      <c r="C720" s="2"/>
      <c r="D720" s="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5.75" x14ac:dyDescent="0.25">
      <c r="A721" s="2"/>
      <c r="B721" s="2"/>
      <c r="C721" s="2"/>
      <c r="D721" s="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5.75" x14ac:dyDescent="0.25">
      <c r="A722" s="2"/>
      <c r="B722" s="2"/>
      <c r="C722" s="2"/>
      <c r="D722" s="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5.75" x14ac:dyDescent="0.25">
      <c r="A723" s="2"/>
      <c r="B723" s="2"/>
      <c r="C723" s="2"/>
      <c r="D723" s="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5.75" x14ac:dyDescent="0.25">
      <c r="A724" s="2"/>
      <c r="B724" s="2"/>
      <c r="C724" s="2"/>
      <c r="D724" s="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5.75" x14ac:dyDescent="0.25">
      <c r="A725" s="2"/>
      <c r="B725" s="2"/>
      <c r="C725" s="2"/>
      <c r="D725" s="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5.75" x14ac:dyDescent="0.25">
      <c r="A726" s="2"/>
      <c r="B726" s="2"/>
      <c r="C726" s="2"/>
      <c r="D726" s="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5.75" x14ac:dyDescent="0.25">
      <c r="A727" s="2"/>
      <c r="B727" s="2"/>
      <c r="C727" s="2"/>
      <c r="D727" s="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5.75" x14ac:dyDescent="0.25">
      <c r="A728" s="2"/>
      <c r="B728" s="2"/>
      <c r="C728" s="2"/>
      <c r="D728" s="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5.75" x14ac:dyDescent="0.25">
      <c r="A729" s="2"/>
      <c r="B729" s="2"/>
      <c r="C729" s="2"/>
      <c r="D729" s="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5.75" x14ac:dyDescent="0.25">
      <c r="A730" s="2"/>
      <c r="B730" s="2"/>
      <c r="C730" s="2"/>
      <c r="D730" s="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5.75" x14ac:dyDescent="0.25">
      <c r="A731" s="2"/>
      <c r="B731" s="2"/>
      <c r="C731" s="2"/>
      <c r="D731" s="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5.75" x14ac:dyDescent="0.25">
      <c r="A732" s="2"/>
      <c r="B732" s="2"/>
      <c r="C732" s="2"/>
      <c r="D732" s="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5.75" x14ac:dyDescent="0.25">
      <c r="A733" s="2"/>
      <c r="B733" s="2"/>
      <c r="C733" s="2"/>
      <c r="D733" s="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5.75" x14ac:dyDescent="0.25">
      <c r="A734" s="2"/>
      <c r="B734" s="2"/>
      <c r="C734" s="2"/>
      <c r="D734" s="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5.75" x14ac:dyDescent="0.25">
      <c r="A735" s="2"/>
      <c r="B735" s="2"/>
      <c r="C735" s="2"/>
      <c r="D735" s="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5.75" x14ac:dyDescent="0.25">
      <c r="A736" s="2"/>
      <c r="B736" s="2"/>
      <c r="C736" s="2"/>
      <c r="D736" s="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5.75" x14ac:dyDescent="0.25">
      <c r="A737" s="2"/>
      <c r="B737" s="2"/>
      <c r="C737" s="2"/>
      <c r="D737" s="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5.75" x14ac:dyDescent="0.25">
      <c r="A738" s="2"/>
      <c r="B738" s="2"/>
      <c r="C738" s="2"/>
      <c r="D738" s="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5.75" x14ac:dyDescent="0.25">
      <c r="A739" s="2"/>
      <c r="B739" s="2"/>
      <c r="C739" s="2"/>
      <c r="D739" s="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5.75" x14ac:dyDescent="0.25">
      <c r="A740" s="2"/>
      <c r="B740" s="2"/>
      <c r="C740" s="2"/>
      <c r="D740" s="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5.75" x14ac:dyDescent="0.25">
      <c r="A741" s="2"/>
      <c r="B741" s="2"/>
      <c r="C741" s="2"/>
      <c r="D741" s="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5.75" x14ac:dyDescent="0.25">
      <c r="A742" s="2"/>
      <c r="B742" s="2"/>
      <c r="C742" s="2"/>
      <c r="D742" s="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5.75" x14ac:dyDescent="0.25">
      <c r="A743" s="2"/>
      <c r="B743" s="2"/>
      <c r="C743" s="2"/>
      <c r="D743" s="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5.75" x14ac:dyDescent="0.25">
      <c r="A744" s="2"/>
      <c r="B744" s="2"/>
      <c r="C744" s="2"/>
      <c r="D744" s="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5.75" x14ac:dyDescent="0.25">
      <c r="A745" s="2"/>
      <c r="B745" s="2"/>
      <c r="C745" s="2"/>
      <c r="D745" s="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5.75" x14ac:dyDescent="0.25">
      <c r="A746" s="2"/>
      <c r="B746" s="2"/>
      <c r="C746" s="2"/>
      <c r="D746" s="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5.75" x14ac:dyDescent="0.25">
      <c r="A747" s="2"/>
      <c r="B747" s="2"/>
      <c r="C747" s="2"/>
      <c r="D747" s="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5.75" x14ac:dyDescent="0.25">
      <c r="A748" s="2"/>
      <c r="B748" s="2"/>
      <c r="C748" s="2"/>
      <c r="D748" s="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5.75" x14ac:dyDescent="0.25">
      <c r="A749" s="2"/>
      <c r="B749" s="2"/>
      <c r="C749" s="2"/>
      <c r="D749" s="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5.75" x14ac:dyDescent="0.25">
      <c r="A750" s="2"/>
      <c r="B750" s="2"/>
      <c r="C750" s="2"/>
      <c r="D750" s="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5.75" x14ac:dyDescent="0.25">
      <c r="A751" s="2"/>
      <c r="B751" s="2"/>
      <c r="C751" s="2"/>
      <c r="D751" s="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5.75" x14ac:dyDescent="0.25">
      <c r="A752" s="2"/>
      <c r="B752" s="2"/>
      <c r="C752" s="2"/>
      <c r="D752" s="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5.75" x14ac:dyDescent="0.25">
      <c r="A753" s="2"/>
      <c r="B753" s="2"/>
      <c r="C753" s="2"/>
      <c r="D753" s="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5.75" x14ac:dyDescent="0.25">
      <c r="A754" s="2"/>
      <c r="B754" s="2"/>
      <c r="C754" s="2"/>
      <c r="D754" s="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5.75" x14ac:dyDescent="0.25">
      <c r="A755" s="2"/>
      <c r="B755" s="2"/>
      <c r="C755" s="2"/>
      <c r="D755" s="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5.75" x14ac:dyDescent="0.25">
      <c r="A756" s="2"/>
      <c r="B756" s="2"/>
      <c r="C756" s="2"/>
      <c r="D756" s="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5.75" x14ac:dyDescent="0.25">
      <c r="A757" s="2"/>
      <c r="B757" s="2"/>
      <c r="C757" s="2"/>
      <c r="D757" s="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5.75" x14ac:dyDescent="0.25">
      <c r="A758" s="2"/>
      <c r="B758" s="2"/>
      <c r="C758" s="2"/>
      <c r="D758" s="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5.75" x14ac:dyDescent="0.25">
      <c r="A759" s="2"/>
      <c r="B759" s="2"/>
      <c r="C759" s="2"/>
      <c r="D759" s="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5.75" x14ac:dyDescent="0.25">
      <c r="A760" s="2"/>
      <c r="B760" s="2"/>
      <c r="C760" s="2"/>
      <c r="D760" s="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5.75" x14ac:dyDescent="0.25">
      <c r="A761" s="2"/>
      <c r="B761" s="2"/>
      <c r="C761" s="2"/>
      <c r="D761" s="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5.75" x14ac:dyDescent="0.25">
      <c r="A762" s="2"/>
      <c r="B762" s="2"/>
      <c r="C762" s="2"/>
      <c r="D762" s="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5.75" x14ac:dyDescent="0.25">
      <c r="A763" s="2"/>
      <c r="B763" s="2"/>
      <c r="C763" s="2"/>
      <c r="D763" s="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5.75" x14ac:dyDescent="0.25">
      <c r="A764" s="2"/>
      <c r="B764" s="2"/>
      <c r="C764" s="2"/>
      <c r="D764" s="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5.75" x14ac:dyDescent="0.25">
      <c r="A765" s="2"/>
      <c r="B765" s="2"/>
      <c r="C765" s="2"/>
      <c r="D765" s="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5.75" x14ac:dyDescent="0.25">
      <c r="A766" s="2"/>
      <c r="B766" s="2"/>
      <c r="C766" s="2"/>
      <c r="D766" s="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5.75" x14ac:dyDescent="0.25">
      <c r="A767" s="2"/>
      <c r="B767" s="2"/>
      <c r="C767" s="2"/>
      <c r="D767" s="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5.75" x14ac:dyDescent="0.25">
      <c r="A768" s="2"/>
      <c r="B768" s="2"/>
      <c r="C768" s="2"/>
      <c r="D768" s="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5.75" x14ac:dyDescent="0.25">
      <c r="A769" s="2"/>
      <c r="B769" s="2"/>
      <c r="C769" s="2"/>
      <c r="D769" s="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5.75" x14ac:dyDescent="0.25">
      <c r="A770" s="2"/>
      <c r="B770" s="2"/>
      <c r="C770" s="2"/>
      <c r="D770" s="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5.75" x14ac:dyDescent="0.25">
      <c r="A771" s="2"/>
      <c r="B771" s="2"/>
      <c r="C771" s="2"/>
      <c r="D771" s="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5.75" x14ac:dyDescent="0.25">
      <c r="A772" s="2"/>
      <c r="B772" s="2"/>
      <c r="C772" s="2"/>
      <c r="D772" s="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5.75" x14ac:dyDescent="0.25">
      <c r="A773" s="2"/>
      <c r="B773" s="2"/>
      <c r="C773" s="2"/>
      <c r="D773" s="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5.75" x14ac:dyDescent="0.25">
      <c r="A774" s="2"/>
      <c r="B774" s="2"/>
      <c r="C774" s="2"/>
      <c r="D774" s="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5.75" x14ac:dyDescent="0.25">
      <c r="A775" s="2"/>
      <c r="B775" s="2"/>
      <c r="C775" s="2"/>
      <c r="D775" s="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5.75" x14ac:dyDescent="0.25">
      <c r="A776" s="2"/>
      <c r="B776" s="2"/>
      <c r="C776" s="2"/>
      <c r="D776" s="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5.75" x14ac:dyDescent="0.25">
      <c r="A777" s="2"/>
      <c r="B777" s="2"/>
      <c r="C777" s="2"/>
      <c r="D777" s="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5.75" x14ac:dyDescent="0.25">
      <c r="A778" s="2"/>
      <c r="B778" s="2"/>
      <c r="C778" s="2"/>
      <c r="D778" s="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5.75" x14ac:dyDescent="0.25">
      <c r="A779" s="2"/>
      <c r="B779" s="2"/>
      <c r="C779" s="2"/>
      <c r="D779" s="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5.75" x14ac:dyDescent="0.25">
      <c r="A780" s="2"/>
      <c r="B780" s="2"/>
      <c r="C780" s="2"/>
      <c r="D780" s="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5.75" x14ac:dyDescent="0.25">
      <c r="A781" s="2"/>
      <c r="B781" s="2"/>
      <c r="C781" s="2"/>
      <c r="D781" s="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5.75" x14ac:dyDescent="0.25">
      <c r="A782" s="2"/>
      <c r="B782" s="2"/>
      <c r="C782" s="2"/>
      <c r="D782" s="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5.75" x14ac:dyDescent="0.25">
      <c r="A783" s="2"/>
      <c r="B783" s="2"/>
      <c r="C783" s="2"/>
      <c r="D783" s="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5.75" x14ac:dyDescent="0.25">
      <c r="A784" s="2"/>
      <c r="B784" s="2"/>
      <c r="C784" s="2"/>
      <c r="D784" s="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5.75" x14ac:dyDescent="0.25">
      <c r="A785" s="2"/>
      <c r="B785" s="2"/>
      <c r="C785" s="2"/>
      <c r="D785" s="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5.75" x14ac:dyDescent="0.25">
      <c r="A786" s="2"/>
      <c r="B786" s="2"/>
      <c r="C786" s="2"/>
      <c r="D786" s="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5.75" x14ac:dyDescent="0.25">
      <c r="A787" s="2"/>
      <c r="B787" s="2"/>
      <c r="C787" s="2"/>
      <c r="D787" s="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5.75" x14ac:dyDescent="0.25">
      <c r="A788" s="2"/>
      <c r="B788" s="2"/>
      <c r="C788" s="2"/>
      <c r="D788" s="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5.75" x14ac:dyDescent="0.25">
      <c r="A789" s="2"/>
      <c r="B789" s="2"/>
      <c r="C789" s="2"/>
      <c r="D789" s="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5.75" x14ac:dyDescent="0.25">
      <c r="A790" s="2"/>
      <c r="B790" s="2"/>
      <c r="C790" s="2"/>
      <c r="D790" s="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5.75" x14ac:dyDescent="0.25">
      <c r="A791" s="2"/>
      <c r="B791" s="2"/>
      <c r="C791" s="2"/>
      <c r="D791" s="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5.75" x14ac:dyDescent="0.25">
      <c r="A792" s="2"/>
      <c r="B792" s="2"/>
      <c r="C792" s="2"/>
      <c r="D792" s="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5.75" x14ac:dyDescent="0.25">
      <c r="A793" s="2"/>
      <c r="B793" s="2"/>
      <c r="C793" s="2"/>
      <c r="D793" s="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5.75" x14ac:dyDescent="0.25">
      <c r="A794" s="2"/>
      <c r="B794" s="2"/>
      <c r="C794" s="2"/>
      <c r="D794" s="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5.75" x14ac:dyDescent="0.25">
      <c r="A795" s="2"/>
      <c r="B795" s="2"/>
      <c r="C795" s="2"/>
      <c r="D795" s="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5.75" x14ac:dyDescent="0.25">
      <c r="A796" s="2"/>
      <c r="B796" s="2"/>
      <c r="C796" s="2"/>
      <c r="D796" s="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5.75" x14ac:dyDescent="0.25">
      <c r="A797" s="2"/>
      <c r="B797" s="2"/>
      <c r="C797" s="2"/>
      <c r="D797" s="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5.75" x14ac:dyDescent="0.25">
      <c r="A798" s="2"/>
      <c r="B798" s="2"/>
      <c r="C798" s="2"/>
      <c r="D798" s="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5.75" x14ac:dyDescent="0.25">
      <c r="A799" s="2"/>
      <c r="B799" s="2"/>
      <c r="C799" s="2"/>
      <c r="D799" s="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5.75" x14ac:dyDescent="0.25">
      <c r="A800" s="2"/>
      <c r="B800" s="2"/>
      <c r="C800" s="2"/>
      <c r="D800" s="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5.75" x14ac:dyDescent="0.25">
      <c r="A801" s="2"/>
      <c r="B801" s="2"/>
      <c r="C801" s="2"/>
      <c r="D801" s="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5.75" x14ac:dyDescent="0.25">
      <c r="A802" s="2"/>
      <c r="B802" s="2"/>
      <c r="C802" s="2"/>
      <c r="D802" s="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5.75" x14ac:dyDescent="0.25">
      <c r="A803" s="2"/>
      <c r="B803" s="2"/>
      <c r="C803" s="2"/>
      <c r="D803" s="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5.75" x14ac:dyDescent="0.25">
      <c r="A804" s="2"/>
      <c r="B804" s="2"/>
      <c r="C804" s="2"/>
      <c r="D804" s="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5.75" x14ac:dyDescent="0.25">
      <c r="A805" s="2"/>
      <c r="B805" s="2"/>
      <c r="C805" s="2"/>
      <c r="D805" s="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5.75" x14ac:dyDescent="0.25">
      <c r="A806" s="2"/>
      <c r="B806" s="2"/>
      <c r="C806" s="2"/>
      <c r="D806" s="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5.75" x14ac:dyDescent="0.25">
      <c r="A807" s="2"/>
      <c r="B807" s="2"/>
      <c r="C807" s="2"/>
      <c r="D807" s="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5.75" x14ac:dyDescent="0.25">
      <c r="A808" s="2"/>
      <c r="B808" s="2"/>
      <c r="C808" s="2"/>
      <c r="D808" s="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5.75" x14ac:dyDescent="0.25">
      <c r="A809" s="2"/>
      <c r="B809" s="2"/>
      <c r="C809" s="2"/>
      <c r="D809" s="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5.75" x14ac:dyDescent="0.25">
      <c r="A810" s="2"/>
      <c r="B810" s="2"/>
      <c r="C810" s="2"/>
      <c r="D810" s="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5.75" x14ac:dyDescent="0.25">
      <c r="A811" s="2"/>
      <c r="B811" s="2"/>
      <c r="C811" s="2"/>
      <c r="D811" s="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5.75" x14ac:dyDescent="0.25">
      <c r="A812" s="2"/>
      <c r="B812" s="2"/>
      <c r="C812" s="2"/>
      <c r="D812" s="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5.75" x14ac:dyDescent="0.25">
      <c r="A813" s="2"/>
      <c r="B813" s="2"/>
      <c r="C813" s="2"/>
      <c r="D813" s="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5.75" x14ac:dyDescent="0.25">
      <c r="A814" s="2"/>
      <c r="B814" s="2"/>
      <c r="C814" s="2"/>
      <c r="D814" s="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5.75" x14ac:dyDescent="0.25">
      <c r="A815" s="2"/>
      <c r="B815" s="2"/>
      <c r="C815" s="2"/>
      <c r="D815" s="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5.75" x14ac:dyDescent="0.25">
      <c r="A816" s="2"/>
      <c r="B816" s="2"/>
      <c r="C816" s="2"/>
      <c r="D816" s="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5.75" x14ac:dyDescent="0.25">
      <c r="A817" s="2"/>
      <c r="B817" s="2"/>
      <c r="C817" s="2"/>
      <c r="D817" s="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5.75" x14ac:dyDescent="0.25">
      <c r="A818" s="2"/>
      <c r="B818" s="2"/>
      <c r="C818" s="2"/>
      <c r="D818" s="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5.75" x14ac:dyDescent="0.25">
      <c r="A819" s="2"/>
      <c r="B819" s="2"/>
      <c r="C819" s="2"/>
      <c r="D819" s="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5.75" x14ac:dyDescent="0.25">
      <c r="A820" s="2"/>
      <c r="B820" s="2"/>
      <c r="C820" s="2"/>
      <c r="D820" s="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5.75" x14ac:dyDescent="0.25">
      <c r="A821" s="2"/>
      <c r="B821" s="2"/>
      <c r="C821" s="2"/>
      <c r="D821" s="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5.75" x14ac:dyDescent="0.25">
      <c r="A822" s="2"/>
      <c r="B822" s="2"/>
      <c r="C822" s="2"/>
      <c r="D822" s="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5.75" x14ac:dyDescent="0.25">
      <c r="A823" s="2"/>
      <c r="B823" s="2"/>
      <c r="C823" s="2"/>
      <c r="D823" s="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5.75" x14ac:dyDescent="0.25">
      <c r="A824" s="2"/>
      <c r="B824" s="2"/>
      <c r="C824" s="2"/>
      <c r="D824" s="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5.75" x14ac:dyDescent="0.25">
      <c r="A825" s="2"/>
      <c r="B825" s="2"/>
      <c r="C825" s="2"/>
      <c r="D825" s="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5.75" x14ac:dyDescent="0.25">
      <c r="A826" s="2"/>
      <c r="B826" s="2"/>
      <c r="C826" s="2"/>
      <c r="D826" s="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5.75" x14ac:dyDescent="0.25">
      <c r="A827" s="2"/>
      <c r="B827" s="2"/>
      <c r="C827" s="2"/>
      <c r="D827" s="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5.75" x14ac:dyDescent="0.25">
      <c r="A828" s="2"/>
      <c r="B828" s="2"/>
      <c r="C828" s="2"/>
      <c r="D828" s="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5.75" x14ac:dyDescent="0.25">
      <c r="A829" s="2"/>
      <c r="B829" s="2"/>
      <c r="C829" s="2"/>
      <c r="D829" s="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5.75" x14ac:dyDescent="0.25">
      <c r="A830" s="2"/>
      <c r="B830" s="2"/>
      <c r="C830" s="2"/>
      <c r="D830" s="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5.75" x14ac:dyDescent="0.25">
      <c r="A831" s="2"/>
      <c r="B831" s="2"/>
      <c r="C831" s="2"/>
      <c r="D831" s="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5.75" x14ac:dyDescent="0.25">
      <c r="A832" s="2"/>
      <c r="B832" s="2"/>
      <c r="C832" s="2"/>
      <c r="D832" s="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5.75" x14ac:dyDescent="0.25">
      <c r="A833" s="2"/>
      <c r="B833" s="2"/>
      <c r="C833" s="2"/>
      <c r="D833" s="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5.75" x14ac:dyDescent="0.25">
      <c r="A834" s="2"/>
      <c r="B834" s="2"/>
      <c r="C834" s="2"/>
      <c r="D834" s="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5.75" x14ac:dyDescent="0.25">
      <c r="A835" s="2"/>
      <c r="B835" s="2"/>
      <c r="C835" s="2"/>
      <c r="D835" s="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5.75" x14ac:dyDescent="0.25">
      <c r="A836" s="2"/>
      <c r="B836" s="2"/>
      <c r="C836" s="2"/>
      <c r="D836" s="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5.75" x14ac:dyDescent="0.25">
      <c r="A837" s="2"/>
      <c r="B837" s="2"/>
      <c r="C837" s="2"/>
      <c r="D837" s="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5.75" x14ac:dyDescent="0.25">
      <c r="A838" s="2"/>
      <c r="B838" s="2"/>
      <c r="C838" s="2"/>
      <c r="D838" s="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5.75" x14ac:dyDescent="0.25">
      <c r="A839" s="2"/>
      <c r="B839" s="2"/>
      <c r="C839" s="2"/>
      <c r="D839" s="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5.75" x14ac:dyDescent="0.25">
      <c r="A840" s="2"/>
      <c r="B840" s="2"/>
      <c r="C840" s="2"/>
      <c r="D840" s="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5.75" x14ac:dyDescent="0.25">
      <c r="A841" s="2"/>
      <c r="B841" s="2"/>
      <c r="C841" s="2"/>
      <c r="D841" s="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5.75" x14ac:dyDescent="0.25">
      <c r="A842" s="2"/>
      <c r="B842" s="2"/>
      <c r="C842" s="2"/>
      <c r="D842" s="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5.75" x14ac:dyDescent="0.25">
      <c r="A843" s="2"/>
      <c r="B843" s="2"/>
      <c r="C843" s="2"/>
      <c r="D843" s="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5.75" x14ac:dyDescent="0.25">
      <c r="A844" s="2"/>
      <c r="B844" s="2"/>
      <c r="C844" s="2"/>
      <c r="D844" s="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5.75" x14ac:dyDescent="0.25">
      <c r="A845" s="2"/>
      <c r="B845" s="2"/>
      <c r="C845" s="2"/>
      <c r="D845" s="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5.75" x14ac:dyDescent="0.25">
      <c r="A846" s="2"/>
      <c r="B846" s="2"/>
      <c r="C846" s="2"/>
      <c r="D846" s="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5.75" x14ac:dyDescent="0.25">
      <c r="A847" s="2"/>
      <c r="B847" s="2"/>
      <c r="C847" s="2"/>
      <c r="D847" s="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5.75" x14ac:dyDescent="0.25">
      <c r="A848" s="2"/>
      <c r="B848" s="2"/>
      <c r="C848" s="2"/>
      <c r="D848" s="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5.75" x14ac:dyDescent="0.25">
      <c r="A849" s="2"/>
      <c r="B849" s="2"/>
      <c r="C849" s="2"/>
      <c r="D849" s="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5.75" x14ac:dyDescent="0.25">
      <c r="A850" s="2"/>
      <c r="B850" s="2"/>
      <c r="C850" s="2"/>
      <c r="D850" s="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5.75" x14ac:dyDescent="0.25">
      <c r="A851" s="2"/>
      <c r="B851" s="2"/>
      <c r="C851" s="2"/>
      <c r="D851" s="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5.75" x14ac:dyDescent="0.25">
      <c r="A852" s="2"/>
      <c r="B852" s="2"/>
      <c r="C852" s="2"/>
      <c r="D852" s="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5.75" x14ac:dyDescent="0.25">
      <c r="A853" s="2"/>
      <c r="B853" s="2"/>
      <c r="C853" s="2"/>
      <c r="D853" s="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5.75" x14ac:dyDescent="0.25">
      <c r="A854" s="2"/>
      <c r="B854" s="2"/>
      <c r="C854" s="2"/>
      <c r="D854" s="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5.75" x14ac:dyDescent="0.25">
      <c r="A855" s="2"/>
      <c r="B855" s="2"/>
      <c r="C855" s="2"/>
      <c r="D855" s="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5.75" x14ac:dyDescent="0.25">
      <c r="A856" s="2"/>
      <c r="B856" s="2"/>
      <c r="C856" s="2"/>
      <c r="D856" s="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5.75" x14ac:dyDescent="0.25">
      <c r="A857" s="2"/>
      <c r="B857" s="2"/>
      <c r="C857" s="2"/>
      <c r="D857" s="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5.75" x14ac:dyDescent="0.25">
      <c r="A858" s="2"/>
      <c r="B858" s="2"/>
      <c r="C858" s="2"/>
      <c r="D858" s="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5.75" x14ac:dyDescent="0.25">
      <c r="A859" s="2"/>
      <c r="B859" s="2"/>
      <c r="C859" s="2"/>
      <c r="D859" s="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5.75" x14ac:dyDescent="0.25">
      <c r="A860" s="2"/>
      <c r="B860" s="2"/>
      <c r="C860" s="2"/>
      <c r="D860" s="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5.75" x14ac:dyDescent="0.25">
      <c r="A861" s="2"/>
      <c r="B861" s="2"/>
      <c r="C861" s="2"/>
      <c r="D861" s="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5.75" x14ac:dyDescent="0.25">
      <c r="A862" s="2"/>
      <c r="B862" s="2"/>
      <c r="C862" s="2"/>
      <c r="D862" s="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5.75" x14ac:dyDescent="0.25">
      <c r="A863" s="2"/>
      <c r="B863" s="2"/>
      <c r="C863" s="2"/>
      <c r="D863" s="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5.75" x14ac:dyDescent="0.25">
      <c r="A864" s="2"/>
      <c r="B864" s="2"/>
      <c r="C864" s="2"/>
      <c r="D864" s="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5.75" x14ac:dyDescent="0.25">
      <c r="A865" s="2"/>
      <c r="B865" s="2"/>
      <c r="C865" s="2"/>
      <c r="D865" s="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5.75" x14ac:dyDescent="0.25">
      <c r="A866" s="2"/>
      <c r="B866" s="2"/>
      <c r="C866" s="2"/>
      <c r="D866" s="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5.75" x14ac:dyDescent="0.25">
      <c r="A867" s="2"/>
      <c r="B867" s="2"/>
      <c r="C867" s="2"/>
      <c r="D867" s="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5.75" x14ac:dyDescent="0.25">
      <c r="A868" s="2"/>
      <c r="B868" s="2"/>
      <c r="C868" s="2"/>
      <c r="D868" s="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5.75" x14ac:dyDescent="0.25">
      <c r="A869" s="2"/>
      <c r="B869" s="2"/>
      <c r="C869" s="2"/>
      <c r="D869" s="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5.75" x14ac:dyDescent="0.25">
      <c r="A870" s="2"/>
      <c r="B870" s="2"/>
      <c r="C870" s="2"/>
      <c r="D870" s="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5.75" x14ac:dyDescent="0.25">
      <c r="A871" s="2"/>
      <c r="B871" s="2"/>
      <c r="C871" s="2"/>
      <c r="D871" s="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5.75" x14ac:dyDescent="0.25">
      <c r="A872" s="2"/>
      <c r="B872" s="2"/>
      <c r="C872" s="2"/>
      <c r="D872" s="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5.75" x14ac:dyDescent="0.25">
      <c r="A873" s="2"/>
      <c r="B873" s="2"/>
      <c r="C873" s="2"/>
      <c r="D873" s="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5.75" x14ac:dyDescent="0.25">
      <c r="A874" s="2"/>
      <c r="B874" s="2"/>
      <c r="C874" s="2"/>
      <c r="D874" s="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5.75" x14ac:dyDescent="0.25">
      <c r="A875" s="2"/>
      <c r="B875" s="2"/>
      <c r="C875" s="2"/>
      <c r="D875" s="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5.75" x14ac:dyDescent="0.25">
      <c r="A876" s="2"/>
      <c r="B876" s="2"/>
      <c r="C876" s="2"/>
      <c r="D876" s="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5.75" x14ac:dyDescent="0.25">
      <c r="A877" s="2"/>
      <c r="B877" s="2"/>
      <c r="C877" s="2"/>
      <c r="D877" s="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5.75" x14ac:dyDescent="0.25">
      <c r="A878" s="2"/>
      <c r="B878" s="2"/>
      <c r="C878" s="2"/>
      <c r="D878" s="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5.75" x14ac:dyDescent="0.25">
      <c r="A879" s="2"/>
      <c r="B879" s="2"/>
      <c r="C879" s="2"/>
      <c r="D879" s="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5.75" x14ac:dyDescent="0.25">
      <c r="A880" s="2"/>
      <c r="B880" s="2"/>
      <c r="C880" s="2"/>
      <c r="D880" s="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5.75" x14ac:dyDescent="0.25">
      <c r="A881" s="2"/>
      <c r="B881" s="2"/>
      <c r="C881" s="2"/>
      <c r="D881" s="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5.75" x14ac:dyDescent="0.25">
      <c r="A882" s="2"/>
      <c r="B882" s="2"/>
      <c r="C882" s="2"/>
      <c r="D882" s="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5.75" x14ac:dyDescent="0.25">
      <c r="A883" s="2"/>
      <c r="B883" s="2"/>
      <c r="C883" s="2"/>
      <c r="D883" s="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5.75" x14ac:dyDescent="0.25">
      <c r="A884" s="2"/>
      <c r="B884" s="2"/>
      <c r="C884" s="2"/>
      <c r="D884" s="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5.75" x14ac:dyDescent="0.25">
      <c r="A885" s="2"/>
      <c r="B885" s="2"/>
      <c r="C885" s="2"/>
      <c r="D885" s="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5.75" x14ac:dyDescent="0.25">
      <c r="A886" s="2"/>
      <c r="B886" s="2"/>
      <c r="C886" s="2"/>
      <c r="D886" s="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5.75" x14ac:dyDescent="0.25">
      <c r="A887" s="2"/>
      <c r="B887" s="2"/>
      <c r="C887" s="2"/>
      <c r="D887" s="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5.75" x14ac:dyDescent="0.25">
      <c r="A888" s="2"/>
      <c r="B888" s="2"/>
      <c r="C888" s="2"/>
      <c r="D888" s="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5.75" x14ac:dyDescent="0.25">
      <c r="A889" s="2"/>
      <c r="B889" s="2"/>
      <c r="C889" s="2"/>
      <c r="D889" s="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5.75" x14ac:dyDescent="0.25">
      <c r="A890" s="2"/>
      <c r="B890" s="2"/>
      <c r="C890" s="2"/>
      <c r="D890" s="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5.75" x14ac:dyDescent="0.25">
      <c r="A891" s="2"/>
      <c r="B891" s="2"/>
      <c r="C891" s="2"/>
      <c r="D891" s="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5.75" x14ac:dyDescent="0.25">
      <c r="A892" s="2"/>
      <c r="B892" s="2"/>
      <c r="C892" s="2"/>
      <c r="D892" s="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5.75" x14ac:dyDescent="0.25">
      <c r="A893" s="2"/>
      <c r="B893" s="2"/>
      <c r="C893" s="2"/>
      <c r="D893" s="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5.75" x14ac:dyDescent="0.25">
      <c r="A894" s="2"/>
      <c r="B894" s="2"/>
      <c r="C894" s="2"/>
      <c r="D894" s="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5.75" x14ac:dyDescent="0.25">
      <c r="A895" s="2"/>
      <c r="B895" s="2"/>
      <c r="C895" s="2"/>
      <c r="D895" s="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5.75" x14ac:dyDescent="0.25">
      <c r="A896" s="2"/>
      <c r="B896" s="2"/>
      <c r="C896" s="2"/>
      <c r="D896" s="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5.75" x14ac:dyDescent="0.25">
      <c r="A897" s="2"/>
      <c r="B897" s="2"/>
      <c r="C897" s="2"/>
      <c r="D897" s="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5.75" x14ac:dyDescent="0.25">
      <c r="A898" s="2"/>
      <c r="B898" s="2"/>
      <c r="C898" s="2"/>
      <c r="D898" s="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5.75" x14ac:dyDescent="0.25">
      <c r="A899" s="2"/>
      <c r="B899" s="2"/>
      <c r="C899" s="2"/>
      <c r="D899" s="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5.75" x14ac:dyDescent="0.25">
      <c r="A900" s="2"/>
      <c r="B900" s="2"/>
      <c r="C900" s="2"/>
      <c r="D900" s="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5.75" x14ac:dyDescent="0.25">
      <c r="A901" s="2"/>
      <c r="B901" s="2"/>
      <c r="C901" s="2"/>
      <c r="D901" s="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5.75" x14ac:dyDescent="0.25">
      <c r="A902" s="2"/>
      <c r="B902" s="2"/>
      <c r="C902" s="2"/>
      <c r="D902" s="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5.75" x14ac:dyDescent="0.25">
      <c r="A903" s="2"/>
      <c r="B903" s="2"/>
      <c r="C903" s="2"/>
      <c r="D903" s="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5.75" x14ac:dyDescent="0.25">
      <c r="A904" s="2"/>
      <c r="B904" s="2"/>
      <c r="C904" s="2"/>
      <c r="D904" s="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5.75" x14ac:dyDescent="0.25">
      <c r="A905" s="2"/>
      <c r="B905" s="2"/>
      <c r="C905" s="2"/>
      <c r="D905" s="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5.75" x14ac:dyDescent="0.25">
      <c r="A906" s="2"/>
      <c r="B906" s="2"/>
      <c r="C906" s="2"/>
      <c r="D906" s="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5.75" x14ac:dyDescent="0.25">
      <c r="A907" s="2"/>
      <c r="B907" s="2"/>
      <c r="C907" s="2"/>
      <c r="D907" s="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5.75" x14ac:dyDescent="0.25">
      <c r="A908" s="2"/>
      <c r="B908" s="2"/>
      <c r="C908" s="2"/>
      <c r="D908" s="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5.75" x14ac:dyDescent="0.25">
      <c r="A909" s="2"/>
      <c r="B909" s="2"/>
      <c r="C909" s="2"/>
      <c r="D909" s="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5.75" x14ac:dyDescent="0.25">
      <c r="A910" s="2"/>
      <c r="B910" s="2"/>
      <c r="C910" s="2"/>
      <c r="D910" s="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5.75" x14ac:dyDescent="0.25">
      <c r="A911" s="2"/>
      <c r="B911" s="2"/>
      <c r="C911" s="2"/>
      <c r="D911" s="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5.75" x14ac:dyDescent="0.25">
      <c r="A912" s="2"/>
      <c r="B912" s="2"/>
      <c r="C912" s="2"/>
      <c r="D912" s="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5.75" x14ac:dyDescent="0.25">
      <c r="A913" s="2"/>
      <c r="B913" s="2"/>
      <c r="C913" s="2"/>
      <c r="D913" s="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5.75" x14ac:dyDescent="0.25">
      <c r="A914" s="2"/>
      <c r="B914" s="2"/>
      <c r="C914" s="2"/>
      <c r="D914" s="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5.75" x14ac:dyDescent="0.25">
      <c r="A915" s="2"/>
      <c r="B915" s="2"/>
      <c r="C915" s="2"/>
      <c r="D915" s="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5.75" x14ac:dyDescent="0.25">
      <c r="A916" s="2"/>
      <c r="B916" s="2"/>
      <c r="C916" s="2"/>
      <c r="D916" s="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5.75" x14ac:dyDescent="0.25">
      <c r="A917" s="2"/>
      <c r="B917" s="2"/>
      <c r="C917" s="2"/>
      <c r="D917" s="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5.75" x14ac:dyDescent="0.25">
      <c r="A918" s="2"/>
      <c r="B918" s="2"/>
      <c r="C918" s="2"/>
      <c r="D918" s="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5.75" x14ac:dyDescent="0.25">
      <c r="A919" s="2"/>
      <c r="B919" s="2"/>
      <c r="C919" s="2"/>
      <c r="D919" s="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5.75" x14ac:dyDescent="0.25">
      <c r="A920" s="2"/>
      <c r="B920" s="2"/>
      <c r="C920" s="2"/>
      <c r="D920" s="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5.75" x14ac:dyDescent="0.25">
      <c r="A921" s="2"/>
      <c r="B921" s="2"/>
      <c r="C921" s="2"/>
      <c r="D921" s="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5.75" x14ac:dyDescent="0.25">
      <c r="A922" s="2"/>
      <c r="B922" s="2"/>
      <c r="C922" s="2"/>
      <c r="D922" s="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5.75" x14ac:dyDescent="0.25">
      <c r="A923" s="2"/>
      <c r="B923" s="2"/>
      <c r="C923" s="2"/>
      <c r="D923" s="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5.75" x14ac:dyDescent="0.25">
      <c r="A924" s="2"/>
      <c r="B924" s="2"/>
      <c r="C924" s="2"/>
      <c r="D924" s="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5.75" x14ac:dyDescent="0.25">
      <c r="A925" s="2"/>
      <c r="B925" s="2"/>
      <c r="C925" s="2"/>
      <c r="D925" s="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5.75" x14ac:dyDescent="0.25">
      <c r="A926" s="2"/>
      <c r="B926" s="2"/>
      <c r="C926" s="2"/>
      <c r="D926" s="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5.75" x14ac:dyDescent="0.25">
      <c r="A927" s="2"/>
      <c r="B927" s="2"/>
      <c r="C927" s="2"/>
      <c r="D927" s="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5.75" x14ac:dyDescent="0.25">
      <c r="A928" s="2"/>
      <c r="B928" s="2"/>
      <c r="C928" s="2"/>
      <c r="D928" s="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5.75" x14ac:dyDescent="0.25">
      <c r="A929" s="2"/>
      <c r="B929" s="2"/>
      <c r="C929" s="2"/>
      <c r="D929" s="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5.75" x14ac:dyDescent="0.25">
      <c r="A930" s="2"/>
      <c r="B930" s="2"/>
      <c r="C930" s="2"/>
      <c r="D930" s="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5.75" x14ac:dyDescent="0.25">
      <c r="A931" s="2"/>
      <c r="B931" s="2"/>
      <c r="C931" s="2"/>
      <c r="D931" s="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5.75" x14ac:dyDescent="0.25">
      <c r="A932" s="2"/>
      <c r="B932" s="2"/>
      <c r="C932" s="2"/>
      <c r="D932" s="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5.75" x14ac:dyDescent="0.25">
      <c r="A933" s="2"/>
      <c r="B933" s="2"/>
      <c r="C933" s="2"/>
      <c r="D933" s="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5.75" x14ac:dyDescent="0.25">
      <c r="A934" s="2"/>
      <c r="B934" s="2"/>
      <c r="C934" s="2"/>
      <c r="D934" s="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5.75" x14ac:dyDescent="0.25">
      <c r="A935" s="2"/>
      <c r="B935" s="2"/>
      <c r="C935" s="2"/>
      <c r="D935" s="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5.75" x14ac:dyDescent="0.25">
      <c r="A936" s="2"/>
      <c r="B936" s="2"/>
      <c r="C936" s="2"/>
      <c r="D936" s="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5.75" x14ac:dyDescent="0.25">
      <c r="A937" s="2"/>
      <c r="B937" s="2"/>
      <c r="C937" s="2"/>
      <c r="D937" s="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5.75" x14ac:dyDescent="0.25">
      <c r="A938" s="2"/>
      <c r="B938" s="2"/>
      <c r="C938" s="2"/>
      <c r="D938" s="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5.75" x14ac:dyDescent="0.25">
      <c r="A939" s="2"/>
      <c r="B939" s="2"/>
      <c r="C939" s="2"/>
      <c r="D939" s="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5.75" x14ac:dyDescent="0.25">
      <c r="A940" s="2"/>
      <c r="B940" s="2"/>
      <c r="C940" s="2"/>
      <c r="D940" s="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5.75" x14ac:dyDescent="0.25">
      <c r="A941" s="2"/>
      <c r="B941" s="2"/>
      <c r="C941" s="2"/>
      <c r="D941" s="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5.75" x14ac:dyDescent="0.25">
      <c r="A942" s="2"/>
      <c r="B942" s="2"/>
      <c r="C942" s="2"/>
      <c r="D942" s="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5.75" x14ac:dyDescent="0.25">
      <c r="A943" s="2"/>
      <c r="B943" s="2"/>
      <c r="C943" s="2"/>
      <c r="D943" s="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5.75" x14ac:dyDescent="0.25">
      <c r="A944" s="2"/>
      <c r="B944" s="2"/>
      <c r="C944" s="2"/>
      <c r="D944" s="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5.75" x14ac:dyDescent="0.25">
      <c r="A945" s="2"/>
      <c r="B945" s="2"/>
      <c r="C945" s="2"/>
      <c r="D945" s="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5.75" x14ac:dyDescent="0.25">
      <c r="A946" s="2"/>
      <c r="B946" s="2"/>
      <c r="C946" s="2"/>
      <c r="D946" s="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5.75" x14ac:dyDescent="0.25">
      <c r="A947" s="2"/>
      <c r="B947" s="2"/>
      <c r="C947" s="2"/>
      <c r="D947" s="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5.75" x14ac:dyDescent="0.25">
      <c r="A948" s="2"/>
      <c r="B948" s="2"/>
      <c r="C948" s="2"/>
      <c r="D948" s="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5.75" x14ac:dyDescent="0.25">
      <c r="A949" s="2"/>
      <c r="B949" s="2"/>
      <c r="C949" s="2"/>
      <c r="D949" s="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5.75" x14ac:dyDescent="0.25">
      <c r="A950" s="2"/>
      <c r="B950" s="2"/>
      <c r="C950" s="2"/>
      <c r="D950" s="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5.75" x14ac:dyDescent="0.25">
      <c r="A951" s="2"/>
      <c r="B951" s="2"/>
      <c r="C951" s="2"/>
      <c r="D951" s="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5.75" x14ac:dyDescent="0.25">
      <c r="A952" s="2"/>
      <c r="B952" s="2"/>
      <c r="C952" s="2"/>
      <c r="D952" s="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5.75" x14ac:dyDescent="0.25">
      <c r="A953" s="2"/>
      <c r="B953" s="2"/>
      <c r="C953" s="2"/>
      <c r="D953" s="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5.75" x14ac:dyDescent="0.25">
      <c r="A954" s="2"/>
      <c r="B954" s="2"/>
      <c r="C954" s="2"/>
      <c r="D954" s="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5.75" x14ac:dyDescent="0.25">
      <c r="A955" s="2"/>
      <c r="B955" s="2"/>
      <c r="C955" s="2"/>
      <c r="D955" s="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5.75" x14ac:dyDescent="0.25">
      <c r="A956" s="2"/>
      <c r="B956" s="2"/>
      <c r="C956" s="2"/>
      <c r="D956" s="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5.75" x14ac:dyDescent="0.25">
      <c r="A957" s="2"/>
      <c r="B957" s="2"/>
      <c r="C957" s="2"/>
      <c r="D957" s="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5.75" x14ac:dyDescent="0.25">
      <c r="A958" s="2"/>
      <c r="B958" s="2"/>
      <c r="C958" s="2"/>
      <c r="D958" s="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5.75" x14ac:dyDescent="0.25">
      <c r="A959" s="2"/>
      <c r="B959" s="2"/>
      <c r="C959" s="2"/>
      <c r="D959" s="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5.75" x14ac:dyDescent="0.25">
      <c r="A960" s="2"/>
      <c r="B960" s="2"/>
      <c r="C960" s="2"/>
      <c r="D960" s="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5.75" x14ac:dyDescent="0.25">
      <c r="A961" s="2"/>
      <c r="B961" s="2"/>
      <c r="C961" s="2"/>
      <c r="D961" s="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5.75" x14ac:dyDescent="0.25">
      <c r="A962" s="2"/>
      <c r="B962" s="2"/>
      <c r="C962" s="2"/>
      <c r="D962" s="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5.75" x14ac:dyDescent="0.25">
      <c r="A963" s="2"/>
      <c r="B963" s="2"/>
      <c r="C963" s="2"/>
      <c r="D963" s="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5.75" x14ac:dyDescent="0.25">
      <c r="A964" s="2"/>
      <c r="B964" s="2"/>
      <c r="C964" s="2"/>
      <c r="D964" s="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5.75" x14ac:dyDescent="0.25">
      <c r="A965" s="2"/>
      <c r="B965" s="2"/>
      <c r="C965" s="2"/>
      <c r="D965" s="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5.75" x14ac:dyDescent="0.25">
      <c r="A966" s="2"/>
      <c r="B966" s="2"/>
      <c r="C966" s="2"/>
      <c r="D966" s="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5.75" x14ac:dyDescent="0.25">
      <c r="A967" s="2"/>
      <c r="B967" s="2"/>
      <c r="C967" s="2"/>
      <c r="D967" s="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5.75" x14ac:dyDescent="0.25">
      <c r="A968" s="2"/>
      <c r="B968" s="2"/>
      <c r="C968" s="2"/>
      <c r="D968" s="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5.75" x14ac:dyDescent="0.25">
      <c r="A969" s="2"/>
      <c r="B969" s="2"/>
      <c r="C969" s="2"/>
      <c r="D969" s="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5.75" x14ac:dyDescent="0.25">
      <c r="A970" s="2"/>
      <c r="B970" s="2"/>
      <c r="C970" s="2"/>
      <c r="D970" s="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5.75" x14ac:dyDescent="0.25">
      <c r="A971" s="2"/>
      <c r="B971" s="2"/>
      <c r="C971" s="2"/>
      <c r="D971" s="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5.75" x14ac:dyDescent="0.25">
      <c r="A972" s="2"/>
      <c r="B972" s="2"/>
      <c r="C972" s="2"/>
      <c r="D972" s="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5.75" x14ac:dyDescent="0.25">
      <c r="A973" s="2"/>
      <c r="B973" s="2"/>
      <c r="C973" s="2"/>
      <c r="D973" s="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5.75" x14ac:dyDescent="0.25">
      <c r="A974" s="2"/>
      <c r="B974" s="2"/>
      <c r="C974" s="2"/>
      <c r="D974" s="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5.75" x14ac:dyDescent="0.25">
      <c r="A975" s="2"/>
      <c r="B975" s="2"/>
      <c r="C975" s="2"/>
      <c r="D975" s="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5.75" x14ac:dyDescent="0.25">
      <c r="A976" s="2"/>
      <c r="B976" s="2"/>
      <c r="C976" s="2"/>
      <c r="D976" s="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5.75" x14ac:dyDescent="0.25">
      <c r="A977" s="2"/>
      <c r="B977" s="2"/>
      <c r="C977" s="2"/>
      <c r="D977" s="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5.75" x14ac:dyDescent="0.25">
      <c r="A978" s="2"/>
      <c r="B978" s="2"/>
      <c r="C978" s="2"/>
      <c r="D978" s="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5.75" x14ac:dyDescent="0.25">
      <c r="A979" s="2"/>
      <c r="B979" s="2"/>
      <c r="C979" s="2"/>
      <c r="D979" s="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5.75" x14ac:dyDescent="0.25">
      <c r="A980" s="2"/>
      <c r="B980" s="2"/>
      <c r="C980" s="2"/>
      <c r="D980" s="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5.75" x14ac:dyDescent="0.25">
      <c r="A981" s="2"/>
      <c r="B981" s="2"/>
      <c r="C981" s="2"/>
      <c r="D981" s="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5.75" x14ac:dyDescent="0.25">
      <c r="A982" s="2"/>
      <c r="B982" s="2"/>
      <c r="C982" s="2"/>
      <c r="D982" s="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5.75" x14ac:dyDescent="0.25">
      <c r="A983" s="2"/>
      <c r="B983" s="2"/>
      <c r="C983" s="2"/>
      <c r="D983" s="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5.75" x14ac:dyDescent="0.25">
      <c r="A984" s="2"/>
      <c r="B984" s="2"/>
      <c r="C984" s="2"/>
      <c r="D984" s="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5.75" x14ac:dyDescent="0.25">
      <c r="A985" s="2"/>
      <c r="B985" s="2"/>
      <c r="C985" s="2"/>
      <c r="D985" s="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5.75" x14ac:dyDescent="0.25">
      <c r="A986" s="2"/>
      <c r="B986" s="2"/>
      <c r="C986" s="2"/>
      <c r="D986" s="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5.75" x14ac:dyDescent="0.25">
      <c r="A987" s="2"/>
      <c r="B987" s="2"/>
      <c r="C987" s="2"/>
      <c r="D987" s="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5.75" x14ac:dyDescent="0.25">
      <c r="A988" s="2"/>
      <c r="B988" s="2"/>
      <c r="C988" s="2"/>
      <c r="D988" s="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5.75" x14ac:dyDescent="0.25">
      <c r="A989" s="2"/>
      <c r="B989" s="2"/>
      <c r="C989" s="2"/>
      <c r="D989" s="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5.75" x14ac:dyDescent="0.25">
      <c r="A990" s="2"/>
      <c r="B990" s="2"/>
      <c r="C990" s="2"/>
      <c r="D990" s="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5.75" x14ac:dyDescent="0.25">
      <c r="A991" s="2"/>
      <c r="B991" s="2"/>
      <c r="C991" s="2"/>
      <c r="D991" s="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5.75" x14ac:dyDescent="0.25">
      <c r="A992" s="2"/>
      <c r="B992" s="2"/>
      <c r="C992" s="2"/>
      <c r="D992" s="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5.75" x14ac:dyDescent="0.25">
      <c r="A993" s="2"/>
      <c r="B993" s="2"/>
      <c r="C993" s="2"/>
      <c r="D993" s="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5.75" x14ac:dyDescent="0.25">
      <c r="A994" s="2"/>
      <c r="B994" s="2"/>
      <c r="C994" s="2"/>
      <c r="D994" s="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5.75" x14ac:dyDescent="0.25">
      <c r="A995" s="2"/>
      <c r="B995" s="2"/>
      <c r="C995" s="2"/>
      <c r="D995" s="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5.75" x14ac:dyDescent="0.25">
      <c r="A996" s="2"/>
      <c r="B996" s="2"/>
      <c r="C996" s="2"/>
      <c r="D996" s="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5.75" x14ac:dyDescent="0.25">
      <c r="A997" s="2"/>
      <c r="B997" s="2"/>
      <c r="C997" s="2"/>
      <c r="D997" s="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5.75" x14ac:dyDescent="0.25">
      <c r="A998" s="2"/>
      <c r="B998" s="2"/>
      <c r="C998" s="2"/>
      <c r="D998" s="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5.75" x14ac:dyDescent="0.25">
      <c r="A999" s="2"/>
      <c r="B999" s="2"/>
      <c r="C999" s="2"/>
      <c r="D999" s="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5.75" x14ac:dyDescent="0.25">
      <c r="A1000" s="2"/>
      <c r="B1000" s="2"/>
      <c r="C1000" s="2"/>
      <c r="D1000" s="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 spans="1:44" ht="15.75" x14ac:dyDescent="0.25">
      <c r="A1001" s="2"/>
      <c r="B1001" s="2"/>
      <c r="C1001" s="2"/>
      <c r="D1001" s="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</sheetData>
  <mergeCells count="3">
    <mergeCell ref="R1:AC1"/>
    <mergeCell ref="E2:AI2"/>
    <mergeCell ref="AQ2:AQ3"/>
  </mergeCells>
  <conditionalFormatting sqref="AQ4:AQ124">
    <cfRule type="cellIs" dxfId="2" priority="6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AR1001"/>
  <sheetViews>
    <sheetView workbookViewId="0"/>
  </sheetViews>
  <sheetFormatPr defaultColWidth="12.5703125" defaultRowHeight="15" x14ac:dyDescent="0.25"/>
  <cols>
    <col min="1" max="1" width="15.5703125" style="74" customWidth="1"/>
    <col min="2" max="4" width="4.28515625" style="74" customWidth="1"/>
    <col min="5" max="22" width="4.28515625" style="74" bestFit="1" customWidth="1"/>
    <col min="23" max="31" width="3.42578125" style="74" customWidth="1"/>
    <col min="32" max="35" width="4.28515625" style="74" bestFit="1" customWidth="1"/>
    <col min="36" max="42" width="4.28515625" style="74" customWidth="1"/>
    <col min="43" max="43" width="11.85546875" style="74" customWidth="1"/>
    <col min="44" max="44" width="8" style="74" customWidth="1"/>
    <col min="45" max="16384" width="12.5703125" style="74"/>
  </cols>
  <sheetData>
    <row r="1" spans="1:44" ht="50.25" customHeight="1" x14ac:dyDescent="0.25">
      <c r="A1" s="70" t="s">
        <v>0</v>
      </c>
      <c r="B1" s="71"/>
      <c r="C1" s="71"/>
      <c r="D1" s="71"/>
      <c r="E1" s="72"/>
      <c r="F1" s="73"/>
      <c r="G1" s="73"/>
      <c r="H1" s="73"/>
      <c r="I1" s="73"/>
      <c r="J1" s="73"/>
      <c r="K1" s="73"/>
      <c r="R1" s="408" t="s">
        <v>20</v>
      </c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J1" s="75"/>
      <c r="AK1" s="75"/>
      <c r="AL1" s="75"/>
      <c r="AM1" s="75"/>
      <c r="AN1" s="75"/>
      <c r="AO1" s="75"/>
      <c r="AP1" s="75"/>
      <c r="AQ1" s="75"/>
      <c r="AR1" s="76"/>
    </row>
    <row r="2" spans="1:44" ht="30" customHeight="1" x14ac:dyDescent="0.25">
      <c r="A2" s="410" t="s">
        <v>1</v>
      </c>
      <c r="B2" s="77"/>
      <c r="C2" s="77"/>
      <c r="D2" s="77"/>
      <c r="E2" s="412" t="s">
        <v>2</v>
      </c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77"/>
      <c r="AK2" s="77"/>
      <c r="AL2" s="77"/>
      <c r="AM2" s="77"/>
      <c r="AN2" s="77"/>
      <c r="AO2" s="77"/>
      <c r="AP2" s="77"/>
      <c r="AQ2" s="413">
        <v>2017</v>
      </c>
      <c r="AR2" s="78"/>
    </row>
    <row r="3" spans="1:44" ht="15.75" customHeight="1" x14ac:dyDescent="0.3">
      <c r="A3" s="411"/>
      <c r="B3" s="79">
        <v>42835</v>
      </c>
      <c r="C3" s="80">
        <v>42836</v>
      </c>
      <c r="D3" s="79">
        <v>42837</v>
      </c>
      <c r="E3" s="80">
        <v>42838</v>
      </c>
      <c r="F3" s="79">
        <v>42839</v>
      </c>
      <c r="G3" s="80">
        <v>42840</v>
      </c>
      <c r="H3" s="79">
        <v>42841</v>
      </c>
      <c r="I3" s="80">
        <v>42842</v>
      </c>
      <c r="J3" s="79">
        <v>42843</v>
      </c>
      <c r="K3" s="80">
        <v>42844</v>
      </c>
      <c r="L3" s="79">
        <v>42845</v>
      </c>
      <c r="M3" s="80">
        <v>42846</v>
      </c>
      <c r="N3" s="79">
        <v>42847</v>
      </c>
      <c r="O3" s="80">
        <v>42848</v>
      </c>
      <c r="P3" s="79">
        <v>42849</v>
      </c>
      <c r="Q3" s="80">
        <v>42850</v>
      </c>
      <c r="R3" s="79">
        <v>42851</v>
      </c>
      <c r="S3" s="80">
        <v>42852</v>
      </c>
      <c r="T3" s="79">
        <v>42853</v>
      </c>
      <c r="U3" s="80">
        <v>42854</v>
      </c>
      <c r="V3" s="79">
        <v>42855</v>
      </c>
      <c r="W3" s="80">
        <v>42856</v>
      </c>
      <c r="X3" s="79">
        <v>42857</v>
      </c>
      <c r="Y3" s="80">
        <v>42858</v>
      </c>
      <c r="Z3" s="79">
        <v>42859</v>
      </c>
      <c r="AA3" s="80">
        <v>42860</v>
      </c>
      <c r="AB3" s="79">
        <v>42861</v>
      </c>
      <c r="AC3" s="80">
        <v>42862</v>
      </c>
      <c r="AD3" s="79">
        <v>42863</v>
      </c>
      <c r="AE3" s="80">
        <v>42864</v>
      </c>
      <c r="AF3" s="79">
        <v>42865</v>
      </c>
      <c r="AG3" s="80">
        <v>42866</v>
      </c>
      <c r="AH3" s="79">
        <v>42867</v>
      </c>
      <c r="AI3" s="80">
        <v>42868</v>
      </c>
      <c r="AJ3" s="79">
        <v>42869</v>
      </c>
      <c r="AK3" s="80">
        <v>42870</v>
      </c>
      <c r="AL3" s="79">
        <v>42871</v>
      </c>
      <c r="AM3" s="80">
        <v>42872</v>
      </c>
      <c r="AN3" s="79">
        <v>42873</v>
      </c>
      <c r="AO3" s="80">
        <v>42874</v>
      </c>
      <c r="AP3" s="79">
        <v>42875</v>
      </c>
      <c r="AQ3" s="411"/>
      <c r="AR3" s="81"/>
    </row>
    <row r="4" spans="1:44" x14ac:dyDescent="0.25">
      <c r="A4" s="93"/>
      <c r="B4" s="87"/>
      <c r="C4" s="87"/>
      <c r="D4" s="87"/>
      <c r="E4" s="87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7"/>
      <c r="AK4" s="87"/>
      <c r="AL4" s="87"/>
      <c r="AM4" s="87"/>
      <c r="AN4" s="87"/>
      <c r="AO4" s="87"/>
      <c r="AP4" s="87"/>
      <c r="AQ4" s="87"/>
      <c r="AR4" s="87"/>
    </row>
    <row r="5" spans="1:44" x14ac:dyDescent="0.25">
      <c r="A5" s="94">
        <v>1</v>
      </c>
      <c r="B5" s="95"/>
      <c r="C5" s="64"/>
      <c r="D5" s="64"/>
      <c r="E5" s="64"/>
      <c r="F5" s="64"/>
      <c r="G5" s="64"/>
      <c r="H5" s="64"/>
      <c r="I5" s="96">
        <v>1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5">
        <f>COUNT(Sheet1!$B5:$AP5)</f>
        <v>1</v>
      </c>
      <c r="AR5" s="89"/>
    </row>
    <row r="6" spans="1:44" x14ac:dyDescent="0.25">
      <c r="A6" s="97">
        <v>2</v>
      </c>
      <c r="B6" s="98"/>
      <c r="C6" s="66"/>
      <c r="D6" s="66"/>
      <c r="E6" s="66"/>
      <c r="F6" s="66"/>
      <c r="G6" s="66"/>
      <c r="H6" s="66"/>
      <c r="I6" s="96">
        <v>1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7">
        <f>COUNT(Sheet1!$B6:$AP6)</f>
        <v>1</v>
      </c>
      <c r="AR6" s="90"/>
    </row>
    <row r="7" spans="1:44" x14ac:dyDescent="0.25">
      <c r="A7" s="94">
        <v>3</v>
      </c>
      <c r="B7" s="95"/>
      <c r="C7" s="64"/>
      <c r="D7" s="64"/>
      <c r="E7" s="64"/>
      <c r="F7" s="64"/>
      <c r="G7" s="64"/>
      <c r="H7" s="64"/>
      <c r="I7" s="96">
        <v>1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5">
        <f>COUNT(Sheet1!$B7:$AP7)</f>
        <v>1</v>
      </c>
      <c r="AR7" s="89"/>
    </row>
    <row r="8" spans="1:44" x14ac:dyDescent="0.25">
      <c r="A8" s="97">
        <v>4</v>
      </c>
      <c r="B8" s="98"/>
      <c r="C8" s="66"/>
      <c r="D8" s="66"/>
      <c r="E8" s="66"/>
      <c r="F8" s="66"/>
      <c r="G8" s="66"/>
      <c r="H8" s="66"/>
      <c r="I8" s="96">
        <v>1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7">
        <f>COUNT(Sheet1!$B8:$AP8)</f>
        <v>1</v>
      </c>
      <c r="AR8" s="90"/>
    </row>
    <row r="9" spans="1:44" x14ac:dyDescent="0.25">
      <c r="A9" s="94">
        <v>5</v>
      </c>
      <c r="B9" s="95"/>
      <c r="C9" s="64"/>
      <c r="D9" s="64"/>
      <c r="E9" s="64"/>
      <c r="F9" s="64"/>
      <c r="G9" s="64"/>
      <c r="H9" s="64"/>
      <c r="I9" s="96">
        <v>1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5">
        <f>COUNT(Sheet1!$B9:$AP9)</f>
        <v>1</v>
      </c>
      <c r="AR9" s="89"/>
    </row>
    <row r="10" spans="1:44" x14ac:dyDescent="0.25">
      <c r="A10" s="97">
        <v>6</v>
      </c>
      <c r="B10" s="98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96">
        <v>1</v>
      </c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7">
        <f>COUNT(Sheet1!$B10:$AP10)</f>
        <v>1</v>
      </c>
      <c r="AR10" s="90"/>
    </row>
    <row r="11" spans="1:44" x14ac:dyDescent="0.25">
      <c r="A11" s="94">
        <v>7</v>
      </c>
      <c r="B11" s="95"/>
      <c r="C11" s="64"/>
      <c r="D11" s="64"/>
      <c r="E11" s="64"/>
      <c r="F11" s="64"/>
      <c r="G11" s="64"/>
      <c r="H11" s="64"/>
      <c r="I11" s="96">
        <v>1</v>
      </c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5">
        <f>COUNT(Sheet1!$B11:$AP11)</f>
        <v>1</v>
      </c>
      <c r="AR11" s="89"/>
    </row>
    <row r="12" spans="1:44" x14ac:dyDescent="0.25">
      <c r="A12" s="97">
        <v>8</v>
      </c>
      <c r="B12" s="98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96">
        <v>1</v>
      </c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7">
        <f>COUNT(Sheet1!$B12:$AP12)</f>
        <v>1</v>
      </c>
      <c r="AR12" s="90"/>
    </row>
    <row r="13" spans="1:44" x14ac:dyDescent="0.25">
      <c r="A13" s="94">
        <v>9</v>
      </c>
      <c r="B13" s="95"/>
      <c r="C13" s="64"/>
      <c r="D13" s="64"/>
      <c r="E13" s="64"/>
      <c r="F13" s="64"/>
      <c r="G13" s="64"/>
      <c r="H13" s="64"/>
      <c r="I13" s="96">
        <v>1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5">
        <f>COUNT(Sheet1!$B13:$AP13)</f>
        <v>1</v>
      </c>
      <c r="AR13" s="89"/>
    </row>
    <row r="14" spans="1:44" x14ac:dyDescent="0.25">
      <c r="A14" s="97">
        <v>10</v>
      </c>
      <c r="B14" s="98"/>
      <c r="C14" s="66"/>
      <c r="D14" s="66"/>
      <c r="E14" s="66"/>
      <c r="F14" s="66"/>
      <c r="G14" s="66"/>
      <c r="H14" s="66"/>
      <c r="I14" s="96">
        <v>1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7">
        <f>COUNT(Sheet1!$B14:$AP14)</f>
        <v>1</v>
      </c>
      <c r="AR14" s="90"/>
    </row>
    <row r="15" spans="1:44" x14ac:dyDescent="0.25">
      <c r="A15" s="94">
        <v>11</v>
      </c>
      <c r="B15" s="95"/>
      <c r="C15" s="64"/>
      <c r="D15" s="64"/>
      <c r="E15" s="64"/>
      <c r="F15" s="64"/>
      <c r="G15" s="64"/>
      <c r="H15" s="64"/>
      <c r="I15" s="96">
        <v>1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5">
        <f>COUNT(Sheet1!$B15:$AP15)</f>
        <v>1</v>
      </c>
      <c r="AR15" s="89"/>
    </row>
    <row r="16" spans="1:44" ht="15" customHeight="1" x14ac:dyDescent="0.25">
      <c r="A16" s="97">
        <v>12</v>
      </c>
      <c r="B16" s="98"/>
      <c r="C16" s="66"/>
      <c r="D16" s="66"/>
      <c r="E16" s="66"/>
      <c r="F16" s="66"/>
      <c r="G16" s="66"/>
      <c r="H16" s="66"/>
      <c r="I16" s="96">
        <v>1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7">
        <f>COUNT(Sheet1!$B16:$AP16)</f>
        <v>1</v>
      </c>
      <c r="AR16" s="90"/>
    </row>
    <row r="17" spans="1:44" ht="15" customHeight="1" x14ac:dyDescent="0.25">
      <c r="A17" s="94">
        <v>13</v>
      </c>
      <c r="B17" s="95"/>
      <c r="C17" s="64"/>
      <c r="D17" s="64"/>
      <c r="E17" s="64"/>
      <c r="F17" s="64"/>
      <c r="G17" s="64"/>
      <c r="H17" s="64"/>
      <c r="I17" s="96">
        <v>1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5">
        <f>COUNT(Sheet1!$B17:$AP17)</f>
        <v>1</v>
      </c>
      <c r="AR17" s="89"/>
    </row>
    <row r="18" spans="1:44" ht="15" customHeight="1" x14ac:dyDescent="0.25">
      <c r="A18" s="97">
        <v>14</v>
      </c>
      <c r="B18" s="98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96">
        <v>1</v>
      </c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7">
        <f>COUNT(Sheet1!$B18:$AP18)</f>
        <v>1</v>
      </c>
      <c r="AR18" s="90"/>
    </row>
    <row r="19" spans="1:44" ht="15" customHeight="1" x14ac:dyDescent="0.25">
      <c r="A19" s="94">
        <v>15</v>
      </c>
      <c r="B19" s="95"/>
      <c r="C19" s="64"/>
      <c r="D19" s="64"/>
      <c r="E19" s="64"/>
      <c r="F19" s="64"/>
      <c r="G19" s="64"/>
      <c r="H19" s="64"/>
      <c r="I19" s="96">
        <v>1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5">
        <f>COUNT(Sheet1!$B19:$AP19)</f>
        <v>1</v>
      </c>
      <c r="AR19" s="89"/>
    </row>
    <row r="20" spans="1:44" ht="15" customHeight="1" x14ac:dyDescent="0.25">
      <c r="A20" s="97">
        <v>16</v>
      </c>
      <c r="B20" s="98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96">
        <v>1</v>
      </c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7">
        <f>COUNT(Sheet1!$B20:$AP20)</f>
        <v>1</v>
      </c>
      <c r="AR20" s="90"/>
    </row>
    <row r="21" spans="1:44" ht="15" customHeight="1" x14ac:dyDescent="0.25">
      <c r="A21" s="94">
        <v>17</v>
      </c>
      <c r="B21" s="95"/>
      <c r="C21" s="64"/>
      <c r="D21" s="64"/>
      <c r="E21" s="64"/>
      <c r="F21" s="64"/>
      <c r="G21" s="64"/>
      <c r="H21" s="64"/>
      <c r="I21" s="96">
        <v>1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5">
        <f>COUNT(Sheet1!$B21:$AP21)</f>
        <v>1</v>
      </c>
      <c r="AR21" s="89"/>
    </row>
    <row r="22" spans="1:44" ht="15" customHeight="1" x14ac:dyDescent="0.25">
      <c r="A22" s="97">
        <v>18</v>
      </c>
      <c r="B22" s="98"/>
      <c r="C22" s="66"/>
      <c r="D22" s="66"/>
      <c r="E22" s="66"/>
      <c r="F22" s="96">
        <v>1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7">
        <f>COUNT(Sheet1!$B22:$AP22)</f>
        <v>1</v>
      </c>
      <c r="AR22" s="90"/>
    </row>
    <row r="23" spans="1:44" ht="15" customHeight="1" x14ac:dyDescent="0.25">
      <c r="A23" s="94">
        <v>19</v>
      </c>
      <c r="B23" s="95"/>
      <c r="C23" s="64"/>
      <c r="D23" s="64"/>
      <c r="E23" s="64"/>
      <c r="F23" s="64"/>
      <c r="G23" s="64"/>
      <c r="H23" s="64"/>
      <c r="I23" s="96">
        <v>1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5">
        <f>COUNT(Sheet1!$B23:$AP23)</f>
        <v>1</v>
      </c>
      <c r="AR23" s="89"/>
    </row>
    <row r="24" spans="1:44" ht="15" customHeight="1" x14ac:dyDescent="0.25">
      <c r="A24" s="97">
        <v>20</v>
      </c>
      <c r="B24" s="98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96">
        <v>1</v>
      </c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7">
        <f>COUNT(Sheet1!$B24:$AP24)</f>
        <v>1</v>
      </c>
      <c r="AR24" s="90"/>
    </row>
    <row r="25" spans="1:44" ht="15" customHeight="1" x14ac:dyDescent="0.25">
      <c r="A25" s="94">
        <v>21</v>
      </c>
      <c r="B25" s="95"/>
      <c r="C25" s="64"/>
      <c r="D25" s="64"/>
      <c r="E25" s="64"/>
      <c r="F25" s="64"/>
      <c r="G25" s="64"/>
      <c r="H25" s="64"/>
      <c r="I25" s="96">
        <v>1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5">
        <f>COUNT(Sheet1!$B25:$AP25)</f>
        <v>1</v>
      </c>
      <c r="AR25" s="89"/>
    </row>
    <row r="26" spans="1:44" ht="15" customHeight="1" x14ac:dyDescent="0.25">
      <c r="A26" s="97">
        <v>22</v>
      </c>
      <c r="B26" s="9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96">
        <v>1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7">
        <f>COUNT(Sheet1!$B26:$AP26)</f>
        <v>1</v>
      </c>
      <c r="AR26" s="90"/>
    </row>
    <row r="27" spans="1:44" ht="15" customHeight="1" x14ac:dyDescent="0.25">
      <c r="A27" s="94">
        <v>23</v>
      </c>
      <c r="B27" s="95"/>
      <c r="C27" s="64"/>
      <c r="D27" s="64"/>
      <c r="E27" s="64"/>
      <c r="F27" s="64"/>
      <c r="G27" s="64"/>
      <c r="H27" s="64"/>
      <c r="I27" s="64">
        <v>1</v>
      </c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5">
        <f>COUNT(Sheet1!$B27:$AP27)</f>
        <v>1</v>
      </c>
      <c r="AR27" s="89"/>
    </row>
    <row r="28" spans="1:44" ht="15" customHeight="1" x14ac:dyDescent="0.25">
      <c r="A28" s="97">
        <v>24</v>
      </c>
      <c r="B28" s="98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96">
        <v>1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7">
        <f>COUNT(Sheet1!$B28:$AP28)</f>
        <v>1</v>
      </c>
      <c r="AR28" s="90"/>
    </row>
    <row r="29" spans="1:44" ht="15" customHeight="1" x14ac:dyDescent="0.25">
      <c r="A29" s="94">
        <v>25</v>
      </c>
      <c r="B29" s="95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96">
        <v>1</v>
      </c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5">
        <f>COUNT(Sheet1!$B29:$AP29)</f>
        <v>1</v>
      </c>
      <c r="AR29" s="89"/>
    </row>
    <row r="30" spans="1:44" ht="15" customHeight="1" x14ac:dyDescent="0.25">
      <c r="A30" s="97">
        <v>26</v>
      </c>
      <c r="B30" s="98"/>
      <c r="C30" s="66"/>
      <c r="D30" s="66"/>
      <c r="E30" s="66"/>
      <c r="F30" s="66"/>
      <c r="G30" s="66"/>
      <c r="H30" s="66"/>
      <c r="I30" s="66"/>
      <c r="J30" s="96">
        <v>1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7">
        <f>COUNT(Sheet1!$B30:$AP30)</f>
        <v>1</v>
      </c>
      <c r="AR30" s="90"/>
    </row>
    <row r="31" spans="1:44" ht="15" customHeight="1" x14ac:dyDescent="0.25">
      <c r="A31" s="94">
        <v>27</v>
      </c>
      <c r="B31" s="95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96">
        <v>1</v>
      </c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5">
        <f>COUNT(Sheet1!$B31:$AP31)</f>
        <v>1</v>
      </c>
      <c r="AR31" s="89"/>
    </row>
    <row r="32" spans="1:44" ht="15" customHeight="1" x14ac:dyDescent="0.25">
      <c r="A32" s="97">
        <v>28</v>
      </c>
      <c r="B32" s="98"/>
      <c r="C32" s="66"/>
      <c r="D32" s="66"/>
      <c r="E32" s="66"/>
      <c r="F32" s="66"/>
      <c r="G32" s="66"/>
      <c r="H32" s="66"/>
      <c r="I32" s="96">
        <v>1</v>
      </c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7">
        <f>COUNT(Sheet1!$B32:$AP32)</f>
        <v>1</v>
      </c>
      <c r="AR32" s="90"/>
    </row>
    <row r="33" spans="1:44" ht="15" customHeight="1" x14ac:dyDescent="0.25">
      <c r="A33" s="94">
        <v>29</v>
      </c>
      <c r="B33" s="95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96">
        <v>1</v>
      </c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5">
        <f>COUNT(Sheet1!$B33:$AP33)</f>
        <v>1</v>
      </c>
      <c r="AR33" s="89"/>
    </row>
    <row r="34" spans="1:44" ht="15" customHeight="1" x14ac:dyDescent="0.25">
      <c r="A34" s="97">
        <v>30</v>
      </c>
      <c r="B34" s="98"/>
      <c r="C34" s="66"/>
      <c r="D34" s="66"/>
      <c r="E34" s="66"/>
      <c r="F34" s="66"/>
      <c r="G34" s="66"/>
      <c r="H34" s="66"/>
      <c r="I34" s="66"/>
      <c r="J34" s="66"/>
      <c r="K34" s="9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>
        <v>1</v>
      </c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7">
        <f>COUNT(Sheet1!$B34:$AP34)</f>
        <v>1</v>
      </c>
      <c r="AR34" s="90"/>
    </row>
    <row r="35" spans="1:44" ht="15" customHeight="1" x14ac:dyDescent="0.25">
      <c r="A35" s="94">
        <v>31</v>
      </c>
      <c r="B35" s="95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96">
        <v>1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5">
        <f>COUNT(Sheet1!$B35:$AP35)</f>
        <v>1</v>
      </c>
      <c r="AR35" s="89"/>
    </row>
    <row r="36" spans="1:44" ht="15" customHeight="1" x14ac:dyDescent="0.25">
      <c r="A36" s="97">
        <v>32</v>
      </c>
      <c r="B36" s="98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96">
        <v>1</v>
      </c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7">
        <f>COUNT(Sheet1!$B36:$AP36)</f>
        <v>1</v>
      </c>
      <c r="AR36" s="90"/>
    </row>
    <row r="37" spans="1:44" ht="15" customHeight="1" x14ac:dyDescent="0.25">
      <c r="A37" s="94">
        <v>33</v>
      </c>
      <c r="B37" s="95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96">
        <v>1</v>
      </c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5">
        <f>COUNT(Sheet1!$B37:$AP37)</f>
        <v>1</v>
      </c>
      <c r="AR37" s="89"/>
    </row>
    <row r="38" spans="1:44" ht="15" customHeight="1" x14ac:dyDescent="0.25">
      <c r="A38" s="97">
        <v>34</v>
      </c>
      <c r="B38" s="98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96">
        <v>1</v>
      </c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7">
        <f>COUNT(Sheet1!$B38:$AP38)</f>
        <v>1</v>
      </c>
      <c r="AR38" s="90"/>
    </row>
    <row r="39" spans="1:44" ht="15" customHeight="1" x14ac:dyDescent="0.25">
      <c r="A39" s="94">
        <v>35</v>
      </c>
      <c r="B39" s="9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96">
        <v>1</v>
      </c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5">
        <f>COUNT(Sheet1!$B39:$AP39)</f>
        <v>1</v>
      </c>
      <c r="AR39" s="89"/>
    </row>
    <row r="40" spans="1:44" ht="15" customHeight="1" x14ac:dyDescent="0.25">
      <c r="A40" s="97">
        <v>36</v>
      </c>
      <c r="B40" s="98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96">
        <v>1</v>
      </c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7">
        <f>COUNT(Sheet1!$B40:$AP40)</f>
        <v>1</v>
      </c>
      <c r="AR40" s="90"/>
    </row>
    <row r="41" spans="1:44" ht="15" customHeight="1" x14ac:dyDescent="0.25">
      <c r="A41" s="94">
        <v>37</v>
      </c>
      <c r="B41" s="95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96">
        <v>1</v>
      </c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5">
        <f>COUNT(Sheet1!$B41:$AP41)</f>
        <v>1</v>
      </c>
      <c r="AR41" s="89"/>
    </row>
    <row r="42" spans="1:44" ht="15" customHeight="1" x14ac:dyDescent="0.25">
      <c r="A42" s="97">
        <v>38</v>
      </c>
      <c r="B42" s="98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96">
        <v>1</v>
      </c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7">
        <f>COUNT(Sheet1!$B42:$AP42)</f>
        <v>1</v>
      </c>
      <c r="AR42" s="90"/>
    </row>
    <row r="43" spans="1:44" ht="15" customHeight="1" x14ac:dyDescent="0.25">
      <c r="A43" s="94">
        <v>39</v>
      </c>
      <c r="B43" s="95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96">
        <v>1</v>
      </c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5">
        <f>COUNT(Sheet1!$B43:$AP43)</f>
        <v>1</v>
      </c>
      <c r="AR43" s="89"/>
    </row>
    <row r="44" spans="1:44" ht="15" customHeight="1" x14ac:dyDescent="0.25">
      <c r="A44" s="97">
        <v>40</v>
      </c>
      <c r="B44" s="98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96">
        <v>1</v>
      </c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7">
        <f>COUNT(Sheet1!$B44:$AP44)</f>
        <v>1</v>
      </c>
      <c r="AR44" s="90"/>
    </row>
    <row r="45" spans="1:44" ht="15" customHeight="1" x14ac:dyDescent="0.25">
      <c r="A45" s="68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65">
        <f>COUNT(Sheet1!$B45:$AP45)</f>
        <v>0</v>
      </c>
      <c r="AR45" s="91"/>
    </row>
    <row r="46" spans="1:44" ht="15" customHeight="1" x14ac:dyDescent="0.25">
      <c r="A46" s="69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67">
        <f>COUNT(Sheet1!$B46:$AP46)</f>
        <v>0</v>
      </c>
      <c r="AR46" s="92"/>
    </row>
    <row r="47" spans="1:44" ht="15" customHeight="1" x14ac:dyDescent="0.25">
      <c r="A47" s="68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65">
        <f>COUNT(Sheet1!$B47:$AP47)</f>
        <v>0</v>
      </c>
      <c r="AR47" s="91"/>
    </row>
    <row r="48" spans="1:44" ht="15" customHeight="1" x14ac:dyDescent="0.25">
      <c r="A48" s="69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67">
        <f>COUNT(Sheet1!$B48:$AP48)</f>
        <v>0</v>
      </c>
      <c r="AR48" s="92"/>
    </row>
    <row r="49" spans="1:44" ht="15" customHeight="1" x14ac:dyDescent="0.25">
      <c r="A49" s="68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65">
        <f>COUNT(Sheet1!$B49:$AP49)</f>
        <v>0</v>
      </c>
      <c r="AR49" s="91"/>
    </row>
    <row r="50" spans="1:44" ht="15" customHeight="1" x14ac:dyDescent="0.25">
      <c r="A50" s="69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67">
        <f>COUNT(Sheet1!$B50:$AP50)</f>
        <v>0</v>
      </c>
      <c r="AR50" s="92"/>
    </row>
    <row r="51" spans="1:44" ht="15" customHeight="1" x14ac:dyDescent="0.25">
      <c r="A51" s="68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65">
        <f>COUNT(Sheet1!$B51:$AP51)</f>
        <v>0</v>
      </c>
      <c r="AR51" s="91"/>
    </row>
    <row r="52" spans="1:44" ht="15" customHeight="1" x14ac:dyDescent="0.25">
      <c r="A52" s="69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67">
        <f>COUNT(Sheet1!$B52:$AP52)</f>
        <v>0</v>
      </c>
      <c r="AR52" s="92"/>
    </row>
    <row r="53" spans="1:44" ht="15" customHeight="1" x14ac:dyDescent="0.25">
      <c r="A53" s="68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65">
        <f>COUNT(Sheet1!$B53:$AP53)</f>
        <v>0</v>
      </c>
      <c r="AR53" s="91"/>
    </row>
    <row r="54" spans="1:44" ht="15" customHeight="1" x14ac:dyDescent="0.25">
      <c r="A54" s="69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67">
        <f>COUNT(Sheet1!$B54:$AP54)</f>
        <v>0</v>
      </c>
      <c r="AR54" s="92"/>
    </row>
    <row r="55" spans="1:44" ht="15" customHeight="1" x14ac:dyDescent="0.25">
      <c r="A55" s="68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65">
        <f>COUNT(Sheet1!$B55:$AP55)</f>
        <v>0</v>
      </c>
      <c r="AR55" s="91"/>
    </row>
    <row r="56" spans="1:44" ht="15" customHeight="1" x14ac:dyDescent="0.25">
      <c r="A56" s="69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67">
        <f>COUNT(Sheet1!$B56:$AP56)</f>
        <v>0</v>
      </c>
      <c r="AR56" s="92"/>
    </row>
    <row r="57" spans="1:44" ht="15" customHeight="1" x14ac:dyDescent="0.25">
      <c r="A57" s="83"/>
      <c r="AQ57" s="82"/>
    </row>
    <row r="58" spans="1:44" ht="15" customHeight="1" x14ac:dyDescent="0.25">
      <c r="A58" s="83"/>
      <c r="B58" s="82"/>
      <c r="C58" s="82"/>
      <c r="D58" s="82"/>
      <c r="E58" s="82"/>
      <c r="F58" s="82"/>
      <c r="G58" s="82"/>
      <c r="H58" s="82"/>
      <c r="I58" s="82"/>
      <c r="J58" s="82"/>
      <c r="K58" s="82"/>
      <c r="N58" s="82"/>
      <c r="O58" s="82"/>
      <c r="R58" s="82"/>
      <c r="S58" s="82"/>
      <c r="V58" s="82"/>
      <c r="X58" s="82"/>
      <c r="Z58" s="82"/>
      <c r="AA58" s="82"/>
      <c r="AC58" s="82"/>
      <c r="AQ58" s="82"/>
    </row>
    <row r="59" spans="1:44" ht="15" customHeight="1" x14ac:dyDescent="0.25">
      <c r="A59" s="83"/>
      <c r="AQ59" s="82"/>
    </row>
    <row r="60" spans="1:44" ht="15" customHeight="1" x14ac:dyDescent="0.25">
      <c r="A60" s="83"/>
      <c r="B60" s="82"/>
      <c r="C60" s="82"/>
      <c r="D60" s="82"/>
      <c r="E60" s="82"/>
      <c r="F60" s="82"/>
      <c r="G60" s="82"/>
      <c r="H60" s="82"/>
      <c r="I60" s="82"/>
      <c r="J60" s="82"/>
      <c r="K60" s="82"/>
      <c r="N60" s="82"/>
      <c r="O60" s="82"/>
      <c r="R60" s="82"/>
      <c r="S60" s="82"/>
      <c r="V60" s="82"/>
      <c r="W60" s="82"/>
      <c r="X60" s="82"/>
      <c r="AA60" s="82"/>
      <c r="AC60" s="82"/>
      <c r="AQ60" s="82"/>
    </row>
    <row r="61" spans="1:44" ht="15" customHeight="1" x14ac:dyDescent="0.25">
      <c r="A61" s="83"/>
      <c r="AQ61" s="82"/>
    </row>
    <row r="62" spans="1:44" ht="15" customHeight="1" x14ac:dyDescent="0.25">
      <c r="A62" s="83"/>
      <c r="B62" s="82"/>
      <c r="C62" s="82"/>
      <c r="D62" s="82"/>
      <c r="E62" s="82"/>
      <c r="F62" s="82"/>
      <c r="G62" s="82"/>
      <c r="H62" s="82"/>
      <c r="I62" s="82"/>
      <c r="J62" s="82"/>
      <c r="K62" s="82"/>
      <c r="N62" s="82"/>
      <c r="O62" s="82"/>
      <c r="R62" s="82"/>
      <c r="S62" s="82"/>
      <c r="V62" s="82"/>
      <c r="W62" s="82"/>
      <c r="X62" s="82"/>
      <c r="Z62" s="82"/>
      <c r="AA62" s="82"/>
      <c r="AC62" s="82"/>
      <c r="AQ62" s="82"/>
    </row>
    <row r="63" spans="1:44" ht="15" customHeight="1" x14ac:dyDescent="0.25">
      <c r="A63" s="83"/>
      <c r="AQ63" s="82"/>
    </row>
    <row r="64" spans="1:44" ht="15" customHeight="1" x14ac:dyDescent="0.25">
      <c r="A64" s="83"/>
      <c r="B64" s="82"/>
      <c r="C64" s="82"/>
      <c r="D64" s="82"/>
      <c r="E64" s="82"/>
      <c r="F64" s="82"/>
      <c r="G64" s="82"/>
      <c r="H64" s="82"/>
      <c r="I64" s="82"/>
      <c r="J64" s="82"/>
      <c r="K64" s="82"/>
      <c r="N64" s="82"/>
      <c r="O64" s="82"/>
      <c r="R64" s="82"/>
      <c r="V64" s="82"/>
      <c r="W64" s="82"/>
      <c r="X64" s="82"/>
      <c r="Z64" s="82"/>
      <c r="AA64" s="82"/>
      <c r="AC64" s="82"/>
      <c r="AQ64" s="82"/>
    </row>
    <row r="65" spans="1:43" ht="15" customHeight="1" x14ac:dyDescent="0.25">
      <c r="A65" s="83"/>
      <c r="AQ65" s="82"/>
    </row>
    <row r="66" spans="1:43" ht="15" customHeight="1" x14ac:dyDescent="0.25">
      <c r="A66" s="83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</row>
    <row r="67" spans="1:43" ht="15" customHeight="1" x14ac:dyDescent="0.25">
      <c r="A67" s="83"/>
      <c r="AQ67" s="82"/>
    </row>
    <row r="68" spans="1:43" ht="15" customHeight="1" x14ac:dyDescent="0.25">
      <c r="A68" s="83"/>
      <c r="AQ68" s="82"/>
    </row>
    <row r="69" spans="1:43" ht="15" customHeight="1" x14ac:dyDescent="0.25">
      <c r="A69" s="83"/>
      <c r="AQ69" s="82"/>
    </row>
    <row r="70" spans="1:43" ht="15" customHeight="1" x14ac:dyDescent="0.25">
      <c r="A70" s="83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</row>
    <row r="71" spans="1:43" ht="15" customHeight="1" x14ac:dyDescent="0.25">
      <c r="A71" s="83"/>
      <c r="AQ71" s="82"/>
    </row>
    <row r="72" spans="1:43" ht="15" customHeight="1" x14ac:dyDescent="0.25">
      <c r="A72" s="83"/>
      <c r="AQ72" s="82"/>
    </row>
    <row r="73" spans="1:43" ht="15" customHeight="1" x14ac:dyDescent="0.25">
      <c r="A73" s="83"/>
      <c r="AQ73" s="82"/>
    </row>
    <row r="74" spans="1:43" ht="15" customHeight="1" x14ac:dyDescent="0.25">
      <c r="A74" s="83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</row>
    <row r="75" spans="1:43" ht="15" customHeight="1" x14ac:dyDescent="0.25">
      <c r="A75" s="83"/>
      <c r="AQ75" s="82"/>
    </row>
    <row r="76" spans="1:43" ht="15" customHeight="1" x14ac:dyDescent="0.25">
      <c r="A76" s="83"/>
      <c r="AQ76" s="82"/>
    </row>
    <row r="77" spans="1:43" ht="15" customHeight="1" x14ac:dyDescent="0.25">
      <c r="A77" s="83"/>
      <c r="AQ77" s="82"/>
    </row>
    <row r="78" spans="1:43" ht="15" customHeight="1" x14ac:dyDescent="0.25">
      <c r="A78" s="83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</row>
    <row r="79" spans="1:43" ht="15" customHeight="1" x14ac:dyDescent="0.25">
      <c r="A79" s="83"/>
      <c r="AQ79" s="82"/>
    </row>
    <row r="80" spans="1:43" ht="15" customHeight="1" x14ac:dyDescent="0.25">
      <c r="A80" s="83"/>
      <c r="AQ80" s="82"/>
    </row>
    <row r="81" spans="1:43" ht="15" customHeight="1" x14ac:dyDescent="0.25">
      <c r="A81" s="83"/>
      <c r="AQ81" s="82"/>
    </row>
    <row r="82" spans="1:43" ht="15" customHeight="1" x14ac:dyDescent="0.25">
      <c r="A82" s="83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</row>
    <row r="83" spans="1:43" ht="15" customHeight="1" x14ac:dyDescent="0.25">
      <c r="A83" s="83"/>
      <c r="AQ83" s="82"/>
    </row>
    <row r="84" spans="1:43" ht="15" customHeight="1" x14ac:dyDescent="0.25">
      <c r="A84" s="83"/>
      <c r="AQ84" s="82"/>
    </row>
    <row r="85" spans="1:43" ht="15" customHeight="1" x14ac:dyDescent="0.25">
      <c r="A85" s="83"/>
      <c r="AQ85" s="82"/>
    </row>
    <row r="86" spans="1:43" ht="15" customHeight="1" x14ac:dyDescent="0.25">
      <c r="A86" s="83"/>
      <c r="B86" s="82"/>
      <c r="C86" s="82"/>
      <c r="D86" s="82"/>
      <c r="E86" s="82"/>
      <c r="F86" s="82"/>
      <c r="G86" s="82"/>
      <c r="H86" s="82"/>
      <c r="I86" s="82"/>
      <c r="J86" s="82"/>
      <c r="K86" s="82"/>
      <c r="N86" s="82"/>
      <c r="O86" s="82"/>
      <c r="R86" s="82"/>
      <c r="S86" s="82"/>
      <c r="V86" s="82"/>
      <c r="W86" s="82"/>
      <c r="X86" s="82"/>
      <c r="Z86" s="82"/>
      <c r="AA86" s="82"/>
      <c r="AC86" s="82"/>
      <c r="AQ86" s="82"/>
    </row>
    <row r="87" spans="1:43" ht="15" customHeight="1" x14ac:dyDescent="0.25">
      <c r="A87" s="83"/>
      <c r="AQ87" s="82"/>
    </row>
    <row r="88" spans="1:43" ht="15" customHeight="1" x14ac:dyDescent="0.25">
      <c r="A88" s="83"/>
      <c r="AQ88" s="82"/>
    </row>
    <row r="89" spans="1:43" ht="15" customHeight="1" x14ac:dyDescent="0.25">
      <c r="A89" s="83"/>
      <c r="AQ89" s="82"/>
    </row>
    <row r="90" spans="1:43" ht="15" customHeight="1" x14ac:dyDescent="0.25">
      <c r="A90" s="83"/>
      <c r="B90" s="82"/>
      <c r="C90" s="82"/>
      <c r="D90" s="82"/>
      <c r="E90" s="82"/>
      <c r="F90" s="82"/>
      <c r="G90" s="82"/>
      <c r="H90" s="82"/>
      <c r="I90" s="82"/>
      <c r="J90" s="82"/>
      <c r="K90" s="82"/>
      <c r="N90" s="82"/>
      <c r="O90" s="82"/>
      <c r="R90" s="82"/>
      <c r="S90" s="82"/>
      <c r="V90" s="82"/>
      <c r="X90" s="82"/>
      <c r="Z90" s="82"/>
      <c r="AA90" s="82"/>
      <c r="AC90" s="82"/>
      <c r="AQ90" s="82"/>
    </row>
    <row r="91" spans="1:43" ht="15" customHeight="1" x14ac:dyDescent="0.25">
      <c r="A91" s="83"/>
      <c r="AQ91" s="82"/>
    </row>
    <row r="92" spans="1:43" ht="15" customHeight="1" x14ac:dyDescent="0.25">
      <c r="A92" s="83"/>
      <c r="AQ92" s="82"/>
    </row>
    <row r="93" spans="1:43" ht="15" customHeight="1" x14ac:dyDescent="0.25">
      <c r="A93" s="83"/>
      <c r="AQ93" s="82"/>
    </row>
    <row r="94" spans="1:43" ht="15" customHeight="1" x14ac:dyDescent="0.25">
      <c r="A94" s="83"/>
      <c r="B94" s="82"/>
      <c r="C94" s="82"/>
      <c r="D94" s="82"/>
      <c r="E94" s="82"/>
      <c r="F94" s="82"/>
      <c r="G94" s="82"/>
      <c r="H94" s="82"/>
      <c r="I94" s="82"/>
      <c r="J94" s="82"/>
      <c r="K94" s="82"/>
      <c r="N94" s="82"/>
      <c r="O94" s="82"/>
      <c r="R94" s="82"/>
      <c r="S94" s="82"/>
      <c r="V94" s="82"/>
      <c r="X94" s="82"/>
      <c r="Z94" s="82"/>
      <c r="AA94" s="82"/>
      <c r="AC94" s="82"/>
      <c r="AQ94" s="82"/>
    </row>
    <row r="95" spans="1:43" ht="15" customHeight="1" x14ac:dyDescent="0.25">
      <c r="A95" s="83"/>
      <c r="AQ95" s="82"/>
    </row>
    <row r="96" spans="1:43" ht="15" customHeight="1" x14ac:dyDescent="0.25">
      <c r="A96" s="83"/>
      <c r="AQ96" s="82"/>
    </row>
    <row r="97" spans="1:43" ht="15" customHeight="1" x14ac:dyDescent="0.25">
      <c r="A97" s="83"/>
      <c r="AQ97" s="82"/>
    </row>
    <row r="98" spans="1:43" ht="15" customHeight="1" x14ac:dyDescent="0.25">
      <c r="A98" s="83"/>
      <c r="B98" s="82"/>
      <c r="C98" s="82"/>
      <c r="D98" s="82"/>
      <c r="E98" s="82"/>
      <c r="F98" s="82"/>
      <c r="G98" s="82"/>
      <c r="H98" s="82"/>
      <c r="I98" s="82"/>
      <c r="J98" s="82"/>
      <c r="K98" s="82"/>
      <c r="N98" s="82"/>
      <c r="O98" s="82"/>
      <c r="R98" s="82"/>
      <c r="S98" s="82"/>
      <c r="V98" s="82"/>
      <c r="W98" s="82"/>
      <c r="Z98" s="82"/>
      <c r="AA98" s="82"/>
      <c r="AC98" s="82"/>
      <c r="AQ98" s="82"/>
    </row>
    <row r="99" spans="1:43" ht="15" customHeight="1" x14ac:dyDescent="0.25">
      <c r="A99" s="83"/>
      <c r="AQ99" s="82"/>
    </row>
    <row r="100" spans="1:43" ht="15" customHeight="1" x14ac:dyDescent="0.25">
      <c r="A100" s="83"/>
      <c r="AQ100" s="82"/>
    </row>
    <row r="101" spans="1:43" ht="15" customHeight="1" x14ac:dyDescent="0.25">
      <c r="A101" s="83"/>
      <c r="AQ101" s="82"/>
    </row>
    <row r="102" spans="1:43" ht="15" customHeight="1" x14ac:dyDescent="0.25">
      <c r="A102" s="83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N102" s="82"/>
      <c r="O102" s="82"/>
      <c r="R102" s="82"/>
      <c r="S102" s="82"/>
      <c r="V102" s="82"/>
      <c r="W102" s="82"/>
      <c r="X102" s="82"/>
      <c r="Z102" s="82"/>
      <c r="AA102" s="82"/>
      <c r="AC102" s="82"/>
      <c r="AQ102" s="82"/>
    </row>
    <row r="103" spans="1:43" ht="15" customHeight="1" x14ac:dyDescent="0.25">
      <c r="A103" s="83"/>
      <c r="AQ103" s="82"/>
    </row>
    <row r="104" spans="1:43" ht="15" customHeight="1" x14ac:dyDescent="0.25">
      <c r="A104" s="83"/>
      <c r="AQ104" s="82"/>
    </row>
    <row r="105" spans="1:43" ht="15" customHeight="1" x14ac:dyDescent="0.25">
      <c r="A105" s="83"/>
      <c r="AQ105" s="82"/>
    </row>
    <row r="106" spans="1:43" ht="15" customHeight="1" x14ac:dyDescent="0.25">
      <c r="A106" s="83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N106" s="82"/>
      <c r="O106" s="82"/>
      <c r="R106" s="82"/>
      <c r="S106" s="82"/>
      <c r="V106" s="82"/>
      <c r="W106" s="82"/>
      <c r="X106" s="82"/>
      <c r="Z106" s="82"/>
      <c r="AA106" s="82"/>
      <c r="AC106" s="82"/>
      <c r="AQ106" s="82"/>
    </row>
    <row r="107" spans="1:43" ht="15" customHeight="1" x14ac:dyDescent="0.25">
      <c r="A107" s="83"/>
      <c r="AQ107" s="82"/>
    </row>
    <row r="108" spans="1:43" ht="15" customHeight="1" x14ac:dyDescent="0.25">
      <c r="A108" s="83"/>
      <c r="AQ108" s="82"/>
    </row>
    <row r="109" spans="1:43" ht="15" customHeight="1" x14ac:dyDescent="0.25">
      <c r="A109" s="83"/>
      <c r="AQ109" s="82"/>
    </row>
    <row r="110" spans="1:43" ht="15" customHeight="1" x14ac:dyDescent="0.25">
      <c r="A110" s="83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N110" s="82"/>
      <c r="O110" s="82"/>
      <c r="R110" s="82"/>
      <c r="S110" s="82"/>
      <c r="V110" s="82"/>
      <c r="W110" s="82"/>
      <c r="X110" s="82"/>
      <c r="Z110" s="82"/>
      <c r="AA110" s="82"/>
      <c r="AC110" s="82"/>
      <c r="AQ110" s="82"/>
    </row>
    <row r="111" spans="1:43" ht="15" customHeight="1" x14ac:dyDescent="0.25">
      <c r="A111" s="83"/>
      <c r="AQ111" s="82"/>
    </row>
    <row r="112" spans="1:43" ht="15" customHeight="1" x14ac:dyDescent="0.25">
      <c r="A112" s="83"/>
      <c r="AQ112" s="82"/>
    </row>
    <row r="113" spans="1:43" ht="15" customHeight="1" x14ac:dyDescent="0.25">
      <c r="A113" s="83"/>
      <c r="AQ113" s="82"/>
    </row>
    <row r="114" spans="1:43" ht="15" customHeight="1" x14ac:dyDescent="0.25">
      <c r="A114" s="83"/>
      <c r="B114" s="82"/>
      <c r="C114" s="82"/>
      <c r="E114" s="82"/>
      <c r="F114" s="82"/>
      <c r="G114" s="82"/>
      <c r="H114" s="82"/>
      <c r="I114" s="82"/>
      <c r="J114" s="82"/>
      <c r="K114" s="82"/>
      <c r="N114" s="82"/>
      <c r="O114" s="82"/>
      <c r="R114" s="82"/>
      <c r="S114" s="82"/>
      <c r="V114" s="82"/>
      <c r="W114" s="82"/>
      <c r="X114" s="82"/>
      <c r="Z114" s="82"/>
      <c r="AA114" s="82"/>
      <c r="AC114" s="82"/>
      <c r="AQ114" s="82"/>
    </row>
    <row r="115" spans="1:43" ht="15" customHeight="1" x14ac:dyDescent="0.25">
      <c r="A115" s="83"/>
      <c r="AQ115" s="82"/>
    </row>
    <row r="116" spans="1:43" ht="15" customHeight="1" x14ac:dyDescent="0.25">
      <c r="A116" s="83"/>
      <c r="AQ116" s="82"/>
    </row>
    <row r="117" spans="1:43" ht="15" customHeight="1" x14ac:dyDescent="0.25">
      <c r="A117" s="83"/>
      <c r="AQ117" s="82"/>
    </row>
    <row r="118" spans="1:43" ht="15" customHeight="1" x14ac:dyDescent="0.25">
      <c r="A118" s="83"/>
      <c r="B118" s="82"/>
      <c r="C118" s="82"/>
      <c r="D118" s="82"/>
      <c r="E118" s="82"/>
      <c r="F118" s="82"/>
      <c r="G118" s="82"/>
      <c r="H118" s="82"/>
      <c r="J118" s="82"/>
      <c r="K118" s="82"/>
      <c r="N118" s="82"/>
      <c r="O118" s="82"/>
      <c r="R118" s="82"/>
      <c r="S118" s="82"/>
      <c r="V118" s="82"/>
      <c r="W118" s="82"/>
      <c r="X118" s="82"/>
      <c r="Z118" s="82"/>
      <c r="AA118" s="82"/>
      <c r="AC118" s="82"/>
      <c r="AQ118" s="82"/>
    </row>
    <row r="119" spans="1:43" ht="15" customHeight="1" x14ac:dyDescent="0.25">
      <c r="A119" s="83"/>
      <c r="AQ119" s="82"/>
    </row>
    <row r="120" spans="1:43" ht="15" customHeight="1" x14ac:dyDescent="0.25">
      <c r="A120" s="83"/>
      <c r="AQ120" s="82"/>
    </row>
    <row r="121" spans="1:43" ht="15" customHeight="1" x14ac:dyDescent="0.25">
      <c r="A121" s="83"/>
      <c r="AQ121" s="82"/>
    </row>
    <row r="122" spans="1:43" ht="15" customHeight="1" x14ac:dyDescent="0.25">
      <c r="A122" s="83"/>
      <c r="B122" s="82"/>
      <c r="D122" s="82"/>
      <c r="E122" s="82"/>
      <c r="F122" s="82"/>
      <c r="G122" s="82"/>
      <c r="H122" s="82"/>
      <c r="I122" s="82"/>
      <c r="J122" s="82"/>
      <c r="K122" s="82"/>
      <c r="N122" s="82"/>
      <c r="O122" s="82"/>
      <c r="R122" s="82"/>
      <c r="S122" s="82"/>
      <c r="V122" s="82"/>
      <c r="W122" s="82"/>
      <c r="X122" s="82"/>
      <c r="Z122" s="82"/>
      <c r="AA122" s="82"/>
      <c r="AC122" s="82"/>
      <c r="AQ122" s="82"/>
    </row>
    <row r="123" spans="1:43" ht="15" customHeight="1" x14ac:dyDescent="0.25">
      <c r="A123" s="83"/>
      <c r="AQ123" s="82"/>
    </row>
    <row r="124" spans="1:43" ht="15" customHeight="1" x14ac:dyDescent="0.25">
      <c r="A124" s="83"/>
      <c r="AQ124" s="82"/>
    </row>
    <row r="125" spans="1:43" ht="15" customHeight="1" x14ac:dyDescent="0.25">
      <c r="A125" s="83"/>
      <c r="AQ125" s="82"/>
    </row>
    <row r="126" spans="1:43" ht="15" customHeight="1" x14ac:dyDescent="0.25">
      <c r="A126" s="83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N126" s="82"/>
      <c r="O126" s="82"/>
      <c r="R126" s="82"/>
      <c r="S126" s="82"/>
      <c r="V126" s="82"/>
      <c r="W126" s="82"/>
      <c r="X126" s="82"/>
      <c r="Z126" s="82"/>
      <c r="AA126" s="82"/>
      <c r="AC126" s="82"/>
      <c r="AQ126" s="82"/>
    </row>
    <row r="127" spans="1:43" ht="15" customHeight="1" x14ac:dyDescent="0.25">
      <c r="A127" s="83"/>
      <c r="AQ127" s="82"/>
    </row>
    <row r="128" spans="1:43" ht="15" customHeight="1" x14ac:dyDescent="0.25">
      <c r="A128" s="83"/>
      <c r="AQ128" s="82"/>
    </row>
    <row r="129" spans="1:43" ht="15" customHeight="1" x14ac:dyDescent="0.25">
      <c r="A129" s="83"/>
      <c r="AQ129" s="82"/>
    </row>
    <row r="130" spans="1:43" ht="15" customHeight="1" x14ac:dyDescent="0.25">
      <c r="A130" s="83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N130" s="82"/>
      <c r="O130" s="82"/>
      <c r="R130" s="82"/>
      <c r="S130" s="82"/>
      <c r="V130" s="82"/>
      <c r="W130" s="82"/>
      <c r="X130" s="82"/>
      <c r="Z130" s="82"/>
      <c r="AA130" s="82"/>
      <c r="AC130" s="82"/>
      <c r="AQ130" s="82"/>
    </row>
    <row r="131" spans="1:43" ht="15" customHeight="1" x14ac:dyDescent="0.25">
      <c r="A131" s="83"/>
      <c r="AQ131" s="82"/>
    </row>
    <row r="132" spans="1:43" ht="15" customHeight="1" x14ac:dyDescent="0.25">
      <c r="A132" s="83"/>
      <c r="AQ132" s="82"/>
    </row>
    <row r="133" spans="1:43" ht="15" customHeight="1" x14ac:dyDescent="0.25">
      <c r="A133" s="83"/>
      <c r="AQ133" s="82"/>
    </row>
    <row r="134" spans="1:43" ht="15" customHeight="1" x14ac:dyDescent="0.25">
      <c r="A134" s="83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N134" s="82"/>
      <c r="O134" s="82"/>
      <c r="R134" s="82"/>
      <c r="S134" s="82"/>
      <c r="V134" s="82"/>
      <c r="W134" s="82"/>
      <c r="X134" s="82"/>
      <c r="Z134" s="82"/>
      <c r="AA134" s="82"/>
      <c r="AC134" s="82"/>
      <c r="AQ134" s="82"/>
    </row>
    <row r="135" spans="1:43" ht="15" customHeight="1" x14ac:dyDescent="0.25">
      <c r="A135" s="83"/>
      <c r="AQ135" s="82"/>
    </row>
    <row r="136" spans="1:43" ht="15" customHeight="1" x14ac:dyDescent="0.25">
      <c r="A136" s="83"/>
      <c r="AQ136" s="82"/>
    </row>
    <row r="137" spans="1:43" ht="15" customHeight="1" x14ac:dyDescent="0.25">
      <c r="A137" s="83"/>
      <c r="AQ137" s="82"/>
    </row>
    <row r="138" spans="1:43" ht="15" customHeight="1" x14ac:dyDescent="0.25">
      <c r="A138" s="83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N138" s="82"/>
      <c r="O138" s="82"/>
      <c r="R138" s="82"/>
      <c r="S138" s="82"/>
      <c r="V138" s="82"/>
      <c r="W138" s="82"/>
      <c r="X138" s="82"/>
      <c r="Z138" s="82"/>
      <c r="AA138" s="82"/>
      <c r="AC138" s="82"/>
      <c r="AQ138" s="82"/>
    </row>
    <row r="139" spans="1:43" ht="15" customHeight="1" x14ac:dyDescent="0.25">
      <c r="A139" s="83"/>
      <c r="AQ139" s="82"/>
    </row>
    <row r="140" spans="1:43" ht="15" customHeight="1" x14ac:dyDescent="0.25">
      <c r="A140" s="83"/>
      <c r="AQ140" s="82"/>
    </row>
    <row r="141" spans="1:43" ht="15" customHeight="1" x14ac:dyDescent="0.25">
      <c r="A141" s="83"/>
      <c r="AQ141" s="82"/>
    </row>
    <row r="148" spans="1:44" ht="15" customHeight="1" x14ac:dyDescent="0.25">
      <c r="A148" s="75"/>
      <c r="B148" s="75"/>
      <c r="C148" s="75"/>
      <c r="D148" s="75"/>
      <c r="E148" s="84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6"/>
      <c r="AJ148" s="75"/>
      <c r="AK148" s="75"/>
      <c r="AL148" s="75"/>
      <c r="AM148" s="75"/>
      <c r="AN148" s="75"/>
      <c r="AO148" s="75"/>
      <c r="AP148" s="75"/>
      <c r="AQ148" s="75"/>
      <c r="AR148" s="75"/>
    </row>
    <row r="149" spans="1:44" ht="15" customHeight="1" x14ac:dyDescent="0.25">
      <c r="A149" s="75"/>
      <c r="B149" s="75"/>
      <c r="C149" s="75"/>
      <c r="D149" s="75"/>
      <c r="E149" s="84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6"/>
      <c r="AJ149" s="75"/>
      <c r="AK149" s="75"/>
      <c r="AL149" s="75"/>
      <c r="AM149" s="75"/>
      <c r="AN149" s="75"/>
      <c r="AO149" s="75"/>
      <c r="AP149" s="75"/>
      <c r="AQ149" s="75"/>
      <c r="AR149" s="75"/>
    </row>
    <row r="150" spans="1:44" ht="15" customHeight="1" x14ac:dyDescent="0.25">
      <c r="A150" s="75"/>
      <c r="B150" s="75"/>
      <c r="C150" s="75"/>
      <c r="D150" s="75"/>
      <c r="E150" s="84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6"/>
      <c r="AJ150" s="75"/>
      <c r="AK150" s="75"/>
      <c r="AL150" s="75"/>
      <c r="AM150" s="75"/>
      <c r="AN150" s="75"/>
      <c r="AO150" s="75"/>
      <c r="AP150" s="75"/>
      <c r="AQ150" s="75"/>
      <c r="AR150" s="75"/>
    </row>
    <row r="151" spans="1:44" ht="15" customHeight="1" x14ac:dyDescent="0.25">
      <c r="A151" s="75"/>
      <c r="B151" s="75"/>
      <c r="C151" s="75"/>
      <c r="D151" s="75"/>
      <c r="E151" s="84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6"/>
      <c r="AJ151" s="75"/>
      <c r="AK151" s="75"/>
      <c r="AL151" s="75"/>
      <c r="AM151" s="75"/>
      <c r="AN151" s="75"/>
      <c r="AO151" s="75"/>
      <c r="AP151" s="75"/>
      <c r="AQ151" s="75"/>
      <c r="AR151" s="75"/>
    </row>
    <row r="152" spans="1:44" ht="15" customHeight="1" x14ac:dyDescent="0.25">
      <c r="A152" s="75"/>
      <c r="B152" s="75"/>
      <c r="C152" s="75"/>
      <c r="D152" s="75"/>
      <c r="E152" s="84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6"/>
      <c r="AJ152" s="75"/>
      <c r="AK152" s="75"/>
      <c r="AL152" s="75"/>
      <c r="AM152" s="75"/>
      <c r="AN152" s="75"/>
      <c r="AO152" s="75"/>
      <c r="AP152" s="75"/>
      <c r="AQ152" s="75"/>
      <c r="AR152" s="75"/>
    </row>
    <row r="153" spans="1:44" ht="15" customHeight="1" x14ac:dyDescent="0.25">
      <c r="A153" s="75"/>
      <c r="B153" s="75"/>
      <c r="C153" s="75"/>
      <c r="D153" s="75"/>
      <c r="E153" s="84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6"/>
      <c r="AJ153" s="75"/>
      <c r="AK153" s="75"/>
      <c r="AL153" s="75"/>
      <c r="AM153" s="75"/>
      <c r="AN153" s="75"/>
      <c r="AO153" s="75"/>
      <c r="AP153" s="75"/>
      <c r="AQ153" s="75"/>
      <c r="AR153" s="75"/>
    </row>
    <row r="154" spans="1:44" ht="15" customHeight="1" x14ac:dyDescent="0.25">
      <c r="A154" s="75"/>
      <c r="B154" s="75"/>
      <c r="C154" s="75"/>
      <c r="D154" s="75"/>
      <c r="E154" s="84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6"/>
      <c r="AJ154" s="75"/>
      <c r="AK154" s="75"/>
      <c r="AL154" s="75"/>
      <c r="AM154" s="75"/>
      <c r="AN154" s="75"/>
      <c r="AO154" s="75"/>
      <c r="AP154" s="75"/>
      <c r="AQ154" s="75"/>
      <c r="AR154" s="75"/>
    </row>
    <row r="155" spans="1:44" ht="15" customHeight="1" x14ac:dyDescent="0.25">
      <c r="A155" s="75"/>
      <c r="B155" s="75"/>
      <c r="C155" s="75"/>
      <c r="D155" s="75"/>
      <c r="E155" s="84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6"/>
      <c r="AJ155" s="75"/>
      <c r="AK155" s="75"/>
      <c r="AL155" s="75"/>
      <c r="AM155" s="75"/>
      <c r="AN155" s="75"/>
      <c r="AO155" s="75"/>
      <c r="AP155" s="75"/>
      <c r="AQ155" s="75"/>
      <c r="AR155" s="75"/>
    </row>
    <row r="156" spans="1:44" ht="15" customHeight="1" x14ac:dyDescent="0.25">
      <c r="A156" s="75"/>
      <c r="B156" s="75"/>
      <c r="C156" s="75"/>
      <c r="D156" s="75"/>
      <c r="E156" s="84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6"/>
      <c r="AJ156" s="75"/>
      <c r="AK156" s="75"/>
      <c r="AL156" s="75"/>
      <c r="AM156" s="75"/>
      <c r="AN156" s="75"/>
      <c r="AO156" s="75"/>
      <c r="AP156" s="75"/>
      <c r="AQ156" s="75"/>
      <c r="AR156" s="75"/>
    </row>
    <row r="157" spans="1:44" ht="15" customHeight="1" x14ac:dyDescent="0.25">
      <c r="A157" s="75"/>
      <c r="B157" s="75"/>
      <c r="C157" s="75"/>
      <c r="D157" s="75"/>
      <c r="E157" s="84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6"/>
      <c r="AJ157" s="75"/>
      <c r="AK157" s="75"/>
      <c r="AL157" s="75"/>
      <c r="AM157" s="75"/>
      <c r="AN157" s="75"/>
      <c r="AO157" s="75"/>
      <c r="AP157" s="75"/>
      <c r="AQ157" s="75"/>
      <c r="AR157" s="75"/>
    </row>
    <row r="158" spans="1:44" ht="15" customHeight="1" x14ac:dyDescent="0.25">
      <c r="A158" s="75"/>
      <c r="B158" s="75"/>
      <c r="C158" s="75"/>
      <c r="D158" s="75"/>
      <c r="E158" s="84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6"/>
      <c r="AJ158" s="75"/>
      <c r="AK158" s="75"/>
      <c r="AL158" s="75"/>
      <c r="AM158" s="75"/>
      <c r="AN158" s="75"/>
      <c r="AO158" s="75"/>
      <c r="AP158" s="75"/>
      <c r="AQ158" s="75"/>
      <c r="AR158" s="75"/>
    </row>
    <row r="159" spans="1:44" x14ac:dyDescent="0.25">
      <c r="A159" s="75"/>
      <c r="B159" s="75"/>
      <c r="C159" s="75"/>
      <c r="D159" s="75"/>
      <c r="E159" s="84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6"/>
      <c r="AJ159" s="75"/>
      <c r="AK159" s="75"/>
      <c r="AL159" s="75"/>
      <c r="AM159" s="75"/>
      <c r="AN159" s="75"/>
      <c r="AO159" s="75"/>
      <c r="AP159" s="75"/>
      <c r="AQ159" s="75"/>
      <c r="AR159" s="75"/>
    </row>
    <row r="160" spans="1:44" x14ac:dyDescent="0.25">
      <c r="A160" s="75"/>
      <c r="B160" s="75"/>
      <c r="C160" s="75"/>
      <c r="D160" s="75"/>
      <c r="E160" s="84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6"/>
      <c r="AJ160" s="75"/>
      <c r="AK160" s="75"/>
      <c r="AL160" s="75"/>
      <c r="AM160" s="75"/>
      <c r="AN160" s="75"/>
      <c r="AO160" s="75"/>
      <c r="AP160" s="75"/>
      <c r="AQ160" s="75"/>
      <c r="AR160" s="75"/>
    </row>
    <row r="161" spans="1:44" x14ac:dyDescent="0.25">
      <c r="A161" s="75"/>
      <c r="B161" s="75"/>
      <c r="C161" s="75"/>
      <c r="D161" s="75"/>
      <c r="E161" s="84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6"/>
      <c r="AJ161" s="75"/>
      <c r="AK161" s="75"/>
      <c r="AL161" s="75"/>
      <c r="AM161" s="75"/>
      <c r="AN161" s="75"/>
      <c r="AO161" s="75"/>
      <c r="AP161" s="75"/>
      <c r="AQ161" s="75"/>
      <c r="AR161" s="75"/>
    </row>
    <row r="162" spans="1:44" x14ac:dyDescent="0.25">
      <c r="A162" s="75"/>
      <c r="B162" s="75"/>
      <c r="C162" s="75"/>
      <c r="D162" s="75"/>
      <c r="E162" s="84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6"/>
      <c r="AJ162" s="75"/>
      <c r="AK162" s="75"/>
      <c r="AL162" s="75"/>
      <c r="AM162" s="75"/>
      <c r="AN162" s="75"/>
      <c r="AO162" s="75"/>
      <c r="AP162" s="75"/>
      <c r="AQ162" s="75"/>
      <c r="AR162" s="75"/>
    </row>
    <row r="163" spans="1:44" x14ac:dyDescent="0.25">
      <c r="A163" s="75"/>
      <c r="B163" s="75"/>
      <c r="C163" s="75"/>
      <c r="D163" s="75"/>
      <c r="E163" s="84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6"/>
      <c r="AJ163" s="75"/>
      <c r="AK163" s="75"/>
      <c r="AL163" s="75"/>
      <c r="AM163" s="75"/>
      <c r="AN163" s="75"/>
      <c r="AO163" s="75"/>
      <c r="AP163" s="75"/>
      <c r="AQ163" s="75"/>
      <c r="AR163" s="75"/>
    </row>
    <row r="164" spans="1:44" x14ac:dyDescent="0.25">
      <c r="A164" s="75"/>
      <c r="B164" s="75"/>
      <c r="C164" s="75"/>
      <c r="D164" s="75"/>
      <c r="E164" s="84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6"/>
      <c r="AJ164" s="75"/>
      <c r="AK164" s="75"/>
      <c r="AL164" s="75"/>
      <c r="AM164" s="75"/>
      <c r="AN164" s="75"/>
      <c r="AO164" s="75"/>
      <c r="AP164" s="75"/>
      <c r="AQ164" s="75"/>
      <c r="AR164" s="75"/>
    </row>
    <row r="165" spans="1:44" x14ac:dyDescent="0.25">
      <c r="A165" s="75"/>
      <c r="B165" s="75"/>
      <c r="C165" s="75"/>
      <c r="D165" s="75"/>
      <c r="E165" s="84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6"/>
      <c r="AJ165" s="75"/>
      <c r="AK165" s="75"/>
      <c r="AL165" s="75"/>
      <c r="AM165" s="75"/>
      <c r="AN165" s="75"/>
      <c r="AO165" s="75"/>
      <c r="AP165" s="75"/>
      <c r="AQ165" s="75"/>
      <c r="AR165" s="75"/>
    </row>
    <row r="166" spans="1:44" x14ac:dyDescent="0.25">
      <c r="A166" s="75"/>
      <c r="B166" s="75"/>
      <c r="C166" s="75"/>
      <c r="D166" s="75"/>
      <c r="E166" s="84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6"/>
      <c r="AJ166" s="75"/>
      <c r="AK166" s="75"/>
      <c r="AL166" s="75"/>
      <c r="AM166" s="75"/>
      <c r="AN166" s="75"/>
      <c r="AO166" s="75"/>
      <c r="AP166" s="75"/>
      <c r="AQ166" s="75"/>
      <c r="AR166" s="75"/>
    </row>
    <row r="167" spans="1:44" x14ac:dyDescent="0.25">
      <c r="A167" s="75"/>
      <c r="B167" s="75"/>
      <c r="C167" s="75"/>
      <c r="D167" s="75"/>
      <c r="E167" s="84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6"/>
      <c r="AJ167" s="75"/>
      <c r="AK167" s="75"/>
      <c r="AL167" s="75"/>
      <c r="AM167" s="75"/>
      <c r="AN167" s="75"/>
      <c r="AO167" s="75"/>
      <c r="AP167" s="75"/>
      <c r="AQ167" s="75"/>
      <c r="AR167" s="75"/>
    </row>
    <row r="168" spans="1:44" x14ac:dyDescent="0.25">
      <c r="A168" s="75"/>
      <c r="B168" s="75"/>
      <c r="C168" s="75"/>
      <c r="D168" s="75"/>
      <c r="E168" s="84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6"/>
      <c r="AJ168" s="75"/>
      <c r="AK168" s="75"/>
      <c r="AL168" s="75"/>
      <c r="AM168" s="75"/>
      <c r="AN168" s="75"/>
      <c r="AO168" s="75"/>
      <c r="AP168" s="75"/>
      <c r="AQ168" s="75"/>
      <c r="AR168" s="75"/>
    </row>
    <row r="169" spans="1:44" x14ac:dyDescent="0.25">
      <c r="A169" s="75"/>
      <c r="B169" s="75"/>
      <c r="C169" s="75"/>
      <c r="D169" s="75"/>
      <c r="E169" s="84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6"/>
      <c r="AJ169" s="75"/>
      <c r="AK169" s="75"/>
      <c r="AL169" s="75"/>
      <c r="AM169" s="75"/>
      <c r="AN169" s="75"/>
      <c r="AO169" s="75"/>
      <c r="AP169" s="75"/>
      <c r="AQ169" s="75"/>
      <c r="AR169" s="75"/>
    </row>
    <row r="170" spans="1:44" x14ac:dyDescent="0.25">
      <c r="A170" s="75"/>
      <c r="B170" s="75"/>
      <c r="C170" s="75"/>
      <c r="D170" s="75"/>
      <c r="E170" s="84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6"/>
      <c r="AJ170" s="75"/>
      <c r="AK170" s="75"/>
      <c r="AL170" s="75"/>
      <c r="AM170" s="75"/>
      <c r="AN170" s="75"/>
      <c r="AO170" s="75"/>
      <c r="AP170" s="75"/>
      <c r="AQ170" s="75"/>
      <c r="AR170" s="75"/>
    </row>
    <row r="171" spans="1:44" x14ac:dyDescent="0.25">
      <c r="A171" s="75"/>
      <c r="B171" s="75"/>
      <c r="C171" s="75"/>
      <c r="D171" s="75"/>
      <c r="E171" s="84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6"/>
      <c r="AJ171" s="75"/>
      <c r="AK171" s="75"/>
      <c r="AL171" s="75"/>
      <c r="AM171" s="75"/>
      <c r="AN171" s="75"/>
      <c r="AO171" s="75"/>
      <c r="AP171" s="75"/>
      <c r="AQ171" s="75"/>
      <c r="AR171" s="75"/>
    </row>
    <row r="172" spans="1:44" x14ac:dyDescent="0.25">
      <c r="A172" s="75"/>
      <c r="B172" s="75"/>
      <c r="C172" s="75"/>
      <c r="D172" s="75"/>
      <c r="E172" s="84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6"/>
      <c r="AJ172" s="75"/>
      <c r="AK172" s="75"/>
      <c r="AL172" s="75"/>
      <c r="AM172" s="75"/>
      <c r="AN172" s="75"/>
      <c r="AO172" s="75"/>
      <c r="AP172" s="75"/>
      <c r="AQ172" s="75"/>
      <c r="AR172" s="75"/>
    </row>
    <row r="173" spans="1:44" x14ac:dyDescent="0.25">
      <c r="A173" s="75"/>
      <c r="B173" s="75"/>
      <c r="C173" s="75"/>
      <c r="D173" s="75"/>
      <c r="E173" s="84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6"/>
      <c r="AJ173" s="75"/>
      <c r="AK173" s="75"/>
      <c r="AL173" s="75"/>
      <c r="AM173" s="75"/>
      <c r="AN173" s="75"/>
      <c r="AO173" s="75"/>
      <c r="AP173" s="75"/>
      <c r="AQ173" s="75"/>
      <c r="AR173" s="75"/>
    </row>
    <row r="174" spans="1:44" x14ac:dyDescent="0.25">
      <c r="A174" s="75"/>
      <c r="B174" s="75"/>
      <c r="C174" s="75"/>
      <c r="D174" s="75"/>
      <c r="E174" s="84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6"/>
      <c r="AJ174" s="75"/>
      <c r="AK174" s="75"/>
      <c r="AL174" s="75"/>
      <c r="AM174" s="75"/>
      <c r="AN174" s="75"/>
      <c r="AO174" s="75"/>
      <c r="AP174" s="75"/>
      <c r="AQ174" s="75"/>
      <c r="AR174" s="75"/>
    </row>
    <row r="175" spans="1:44" x14ac:dyDescent="0.25">
      <c r="A175" s="75"/>
      <c r="B175" s="75"/>
      <c r="C175" s="75"/>
      <c r="D175" s="75"/>
      <c r="E175" s="84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6"/>
      <c r="AJ175" s="75"/>
      <c r="AK175" s="75"/>
      <c r="AL175" s="75"/>
      <c r="AM175" s="75"/>
      <c r="AN175" s="75"/>
      <c r="AO175" s="75"/>
      <c r="AP175" s="75"/>
      <c r="AQ175" s="75"/>
      <c r="AR175" s="75"/>
    </row>
    <row r="176" spans="1:44" x14ac:dyDescent="0.25">
      <c r="A176" s="75"/>
      <c r="B176" s="75"/>
      <c r="C176" s="75"/>
      <c r="D176" s="75"/>
      <c r="E176" s="84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6"/>
      <c r="AJ176" s="75"/>
      <c r="AK176" s="75"/>
      <c r="AL176" s="75"/>
      <c r="AM176" s="75"/>
      <c r="AN176" s="75"/>
      <c r="AO176" s="75"/>
      <c r="AP176" s="75"/>
      <c r="AQ176" s="75"/>
      <c r="AR176" s="75"/>
    </row>
    <row r="177" spans="1:44" x14ac:dyDescent="0.25">
      <c r="A177" s="75"/>
      <c r="B177" s="75"/>
      <c r="C177" s="75"/>
      <c r="D177" s="75"/>
      <c r="E177" s="84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6"/>
      <c r="AJ177" s="75"/>
      <c r="AK177" s="75"/>
      <c r="AL177" s="75"/>
      <c r="AM177" s="75"/>
      <c r="AN177" s="75"/>
      <c r="AO177" s="75"/>
      <c r="AP177" s="75"/>
      <c r="AQ177" s="75"/>
      <c r="AR177" s="75"/>
    </row>
    <row r="178" spans="1:44" x14ac:dyDescent="0.25">
      <c r="A178" s="75"/>
      <c r="B178" s="75"/>
      <c r="C178" s="75"/>
      <c r="D178" s="75"/>
      <c r="E178" s="84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6"/>
      <c r="AJ178" s="75"/>
      <c r="AK178" s="75"/>
      <c r="AL178" s="75"/>
      <c r="AM178" s="75"/>
      <c r="AN178" s="75"/>
      <c r="AO178" s="75"/>
      <c r="AP178" s="75"/>
      <c r="AQ178" s="75"/>
      <c r="AR178" s="75"/>
    </row>
    <row r="179" spans="1:44" x14ac:dyDescent="0.25">
      <c r="A179" s="75"/>
      <c r="B179" s="75"/>
      <c r="C179" s="75"/>
      <c r="D179" s="75"/>
      <c r="E179" s="84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6"/>
      <c r="AJ179" s="75"/>
      <c r="AK179" s="75"/>
      <c r="AL179" s="75"/>
      <c r="AM179" s="75"/>
      <c r="AN179" s="75"/>
      <c r="AO179" s="75"/>
      <c r="AP179" s="75"/>
      <c r="AQ179" s="75"/>
      <c r="AR179" s="75"/>
    </row>
    <row r="180" spans="1:44" x14ac:dyDescent="0.25">
      <c r="A180" s="75"/>
      <c r="B180" s="75"/>
      <c r="C180" s="75"/>
      <c r="D180" s="75"/>
      <c r="E180" s="84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6"/>
      <c r="AJ180" s="75"/>
      <c r="AK180" s="75"/>
      <c r="AL180" s="75"/>
      <c r="AM180" s="75"/>
      <c r="AN180" s="75"/>
      <c r="AO180" s="75"/>
      <c r="AP180" s="75"/>
      <c r="AQ180" s="75"/>
      <c r="AR180" s="75"/>
    </row>
    <row r="181" spans="1:44" x14ac:dyDescent="0.25">
      <c r="A181" s="75"/>
      <c r="B181" s="75"/>
      <c r="C181" s="75"/>
      <c r="D181" s="75"/>
      <c r="E181" s="84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6"/>
      <c r="AJ181" s="75"/>
      <c r="AK181" s="75"/>
      <c r="AL181" s="75"/>
      <c r="AM181" s="75"/>
      <c r="AN181" s="75"/>
      <c r="AO181" s="75"/>
      <c r="AP181" s="75"/>
      <c r="AQ181" s="75"/>
      <c r="AR181" s="75"/>
    </row>
    <row r="182" spans="1:44" x14ac:dyDescent="0.25">
      <c r="A182" s="75"/>
      <c r="B182" s="75"/>
      <c r="C182" s="75"/>
      <c r="D182" s="75"/>
      <c r="E182" s="84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6"/>
      <c r="AJ182" s="75"/>
      <c r="AK182" s="75"/>
      <c r="AL182" s="75"/>
      <c r="AM182" s="75"/>
      <c r="AN182" s="75"/>
      <c r="AO182" s="75"/>
      <c r="AP182" s="75"/>
      <c r="AQ182" s="75"/>
      <c r="AR182" s="75"/>
    </row>
    <row r="183" spans="1:44" x14ac:dyDescent="0.25">
      <c r="A183" s="75"/>
      <c r="B183" s="75"/>
      <c r="C183" s="75"/>
      <c r="D183" s="75"/>
      <c r="E183" s="84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6"/>
      <c r="AJ183" s="75"/>
      <c r="AK183" s="75"/>
      <c r="AL183" s="75"/>
      <c r="AM183" s="75"/>
      <c r="AN183" s="75"/>
      <c r="AO183" s="75"/>
      <c r="AP183" s="75"/>
      <c r="AQ183" s="75"/>
      <c r="AR183" s="75"/>
    </row>
    <row r="184" spans="1:44" x14ac:dyDescent="0.25">
      <c r="A184" s="75"/>
      <c r="B184" s="75"/>
      <c r="C184" s="75"/>
      <c r="D184" s="75"/>
      <c r="E184" s="84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6"/>
      <c r="AJ184" s="75"/>
      <c r="AK184" s="75"/>
      <c r="AL184" s="75"/>
      <c r="AM184" s="75"/>
      <c r="AN184" s="75"/>
      <c r="AO184" s="75"/>
      <c r="AP184" s="75"/>
      <c r="AQ184" s="75"/>
      <c r="AR184" s="75"/>
    </row>
    <row r="185" spans="1:44" x14ac:dyDescent="0.25">
      <c r="A185" s="75"/>
      <c r="B185" s="75"/>
      <c r="C185" s="75"/>
      <c r="D185" s="75"/>
      <c r="E185" s="84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6"/>
      <c r="AJ185" s="75"/>
      <c r="AK185" s="75"/>
      <c r="AL185" s="75"/>
      <c r="AM185" s="75"/>
      <c r="AN185" s="75"/>
      <c r="AO185" s="75"/>
      <c r="AP185" s="75"/>
      <c r="AQ185" s="75"/>
      <c r="AR185" s="75"/>
    </row>
    <row r="186" spans="1:44" x14ac:dyDescent="0.25">
      <c r="A186" s="75"/>
      <c r="B186" s="75"/>
      <c r="C186" s="75"/>
      <c r="D186" s="75"/>
      <c r="E186" s="84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6"/>
      <c r="AJ186" s="75"/>
      <c r="AK186" s="75"/>
      <c r="AL186" s="75"/>
      <c r="AM186" s="75"/>
      <c r="AN186" s="75"/>
      <c r="AO186" s="75"/>
      <c r="AP186" s="75"/>
      <c r="AQ186" s="75"/>
      <c r="AR186" s="75"/>
    </row>
    <row r="187" spans="1:44" x14ac:dyDescent="0.25">
      <c r="A187" s="75"/>
      <c r="B187" s="75"/>
      <c r="C187" s="75"/>
      <c r="D187" s="75"/>
      <c r="E187" s="84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6"/>
      <c r="AJ187" s="75"/>
      <c r="AK187" s="75"/>
      <c r="AL187" s="75"/>
      <c r="AM187" s="75"/>
      <c r="AN187" s="75"/>
      <c r="AO187" s="75"/>
      <c r="AP187" s="75"/>
      <c r="AQ187" s="75"/>
      <c r="AR187" s="75"/>
    </row>
    <row r="188" spans="1:44" x14ac:dyDescent="0.25">
      <c r="A188" s="75"/>
      <c r="B188" s="75"/>
      <c r="C188" s="75"/>
      <c r="D188" s="75"/>
      <c r="E188" s="84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6"/>
      <c r="AJ188" s="75"/>
      <c r="AK188" s="75"/>
      <c r="AL188" s="75"/>
      <c r="AM188" s="75"/>
      <c r="AN188" s="75"/>
      <c r="AO188" s="75"/>
      <c r="AP188" s="75"/>
      <c r="AQ188" s="75"/>
      <c r="AR188" s="75"/>
    </row>
    <row r="189" spans="1:44" x14ac:dyDescent="0.25">
      <c r="A189" s="75"/>
      <c r="B189" s="75"/>
      <c r="C189" s="75"/>
      <c r="D189" s="75"/>
      <c r="E189" s="84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6"/>
      <c r="AJ189" s="75"/>
      <c r="AK189" s="75"/>
      <c r="AL189" s="75"/>
      <c r="AM189" s="75"/>
      <c r="AN189" s="75"/>
      <c r="AO189" s="75"/>
      <c r="AP189" s="75"/>
      <c r="AQ189" s="75"/>
      <c r="AR189" s="75"/>
    </row>
    <row r="190" spans="1:44" x14ac:dyDescent="0.25">
      <c r="A190" s="75"/>
      <c r="B190" s="75"/>
      <c r="C190" s="75"/>
      <c r="D190" s="75"/>
      <c r="E190" s="84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6"/>
      <c r="AJ190" s="75"/>
      <c r="AK190" s="75"/>
      <c r="AL190" s="75"/>
      <c r="AM190" s="75"/>
      <c r="AN190" s="75"/>
      <c r="AO190" s="75"/>
      <c r="AP190" s="75"/>
      <c r="AQ190" s="75"/>
      <c r="AR190" s="75"/>
    </row>
    <row r="191" spans="1:44" x14ac:dyDescent="0.25">
      <c r="A191" s="75"/>
      <c r="B191" s="75"/>
      <c r="C191" s="75"/>
      <c r="D191" s="75"/>
      <c r="E191" s="84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6"/>
      <c r="AJ191" s="75"/>
      <c r="AK191" s="75"/>
      <c r="AL191" s="75"/>
      <c r="AM191" s="75"/>
      <c r="AN191" s="75"/>
      <c r="AO191" s="75"/>
      <c r="AP191" s="75"/>
      <c r="AQ191" s="75"/>
      <c r="AR191" s="75"/>
    </row>
    <row r="192" spans="1:44" x14ac:dyDescent="0.25">
      <c r="A192" s="75"/>
      <c r="B192" s="75"/>
      <c r="C192" s="75"/>
      <c r="D192" s="75"/>
      <c r="E192" s="84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6"/>
      <c r="AJ192" s="75"/>
      <c r="AK192" s="75"/>
      <c r="AL192" s="75"/>
      <c r="AM192" s="75"/>
      <c r="AN192" s="75"/>
      <c r="AO192" s="75"/>
      <c r="AP192" s="75"/>
      <c r="AQ192" s="75"/>
      <c r="AR192" s="75"/>
    </row>
    <row r="193" spans="1:44" x14ac:dyDescent="0.25">
      <c r="A193" s="75"/>
      <c r="B193" s="75"/>
      <c r="C193" s="75"/>
      <c r="D193" s="75"/>
      <c r="E193" s="84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6"/>
      <c r="AJ193" s="75"/>
      <c r="AK193" s="75"/>
      <c r="AL193" s="75"/>
      <c r="AM193" s="75"/>
      <c r="AN193" s="75"/>
      <c r="AO193" s="75"/>
      <c r="AP193" s="75"/>
      <c r="AQ193" s="75"/>
      <c r="AR193" s="75"/>
    </row>
    <row r="194" spans="1:44" x14ac:dyDescent="0.25">
      <c r="A194" s="75"/>
      <c r="B194" s="75"/>
      <c r="C194" s="75"/>
      <c r="D194" s="75"/>
      <c r="E194" s="84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6"/>
      <c r="AJ194" s="75"/>
      <c r="AK194" s="75"/>
      <c r="AL194" s="75"/>
      <c r="AM194" s="75"/>
      <c r="AN194" s="75"/>
      <c r="AO194" s="75"/>
      <c r="AP194" s="75"/>
      <c r="AQ194" s="75"/>
      <c r="AR194" s="75"/>
    </row>
    <row r="195" spans="1:44" x14ac:dyDescent="0.25">
      <c r="A195" s="75"/>
      <c r="B195" s="75"/>
      <c r="C195" s="75"/>
      <c r="D195" s="75"/>
      <c r="E195" s="84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6"/>
      <c r="AJ195" s="75"/>
      <c r="AK195" s="75"/>
      <c r="AL195" s="75"/>
      <c r="AM195" s="75"/>
      <c r="AN195" s="75"/>
      <c r="AO195" s="75"/>
      <c r="AP195" s="75"/>
      <c r="AQ195" s="75"/>
      <c r="AR195" s="75"/>
    </row>
    <row r="196" spans="1:44" x14ac:dyDescent="0.25">
      <c r="A196" s="75"/>
      <c r="B196" s="75"/>
      <c r="C196" s="75"/>
      <c r="D196" s="75"/>
      <c r="E196" s="84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6"/>
      <c r="AJ196" s="75"/>
      <c r="AK196" s="75"/>
      <c r="AL196" s="75"/>
      <c r="AM196" s="75"/>
      <c r="AN196" s="75"/>
      <c r="AO196" s="75"/>
      <c r="AP196" s="75"/>
      <c r="AQ196" s="75"/>
      <c r="AR196" s="75"/>
    </row>
    <row r="197" spans="1:44" x14ac:dyDescent="0.25">
      <c r="A197" s="75"/>
      <c r="B197" s="75"/>
      <c r="C197" s="75"/>
      <c r="D197" s="75"/>
      <c r="E197" s="84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6"/>
      <c r="AJ197" s="75"/>
      <c r="AK197" s="75"/>
      <c r="AL197" s="75"/>
      <c r="AM197" s="75"/>
      <c r="AN197" s="75"/>
      <c r="AO197" s="75"/>
      <c r="AP197" s="75"/>
      <c r="AQ197" s="75"/>
      <c r="AR197" s="75"/>
    </row>
    <row r="198" spans="1:44" x14ac:dyDescent="0.25">
      <c r="A198" s="75"/>
      <c r="B198" s="75"/>
      <c r="C198" s="75"/>
      <c r="D198" s="75"/>
      <c r="E198" s="84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6"/>
      <c r="AJ198" s="75"/>
      <c r="AK198" s="75"/>
      <c r="AL198" s="75"/>
      <c r="AM198" s="75"/>
      <c r="AN198" s="75"/>
      <c r="AO198" s="75"/>
      <c r="AP198" s="75"/>
      <c r="AQ198" s="75"/>
      <c r="AR198" s="75"/>
    </row>
    <row r="199" spans="1:44" x14ac:dyDescent="0.25">
      <c r="A199" s="75"/>
      <c r="B199" s="75"/>
      <c r="C199" s="75"/>
      <c r="D199" s="75"/>
      <c r="E199" s="84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6"/>
      <c r="AJ199" s="75"/>
      <c r="AK199" s="75"/>
      <c r="AL199" s="75"/>
      <c r="AM199" s="75"/>
      <c r="AN199" s="75"/>
      <c r="AO199" s="75"/>
      <c r="AP199" s="75"/>
      <c r="AQ199" s="75"/>
      <c r="AR199" s="75"/>
    </row>
    <row r="200" spans="1:44" x14ac:dyDescent="0.25">
      <c r="A200" s="75"/>
      <c r="B200" s="75"/>
      <c r="C200" s="75"/>
      <c r="D200" s="75"/>
      <c r="E200" s="84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6"/>
      <c r="AJ200" s="75"/>
      <c r="AK200" s="75"/>
      <c r="AL200" s="75"/>
      <c r="AM200" s="75"/>
      <c r="AN200" s="75"/>
      <c r="AO200" s="75"/>
      <c r="AP200" s="75"/>
      <c r="AQ200" s="75"/>
      <c r="AR200" s="75"/>
    </row>
    <row r="201" spans="1:44" x14ac:dyDescent="0.25">
      <c r="A201" s="75"/>
      <c r="B201" s="75"/>
      <c r="C201" s="75"/>
      <c r="D201" s="75"/>
      <c r="E201" s="84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6"/>
      <c r="AJ201" s="75"/>
      <c r="AK201" s="75"/>
      <c r="AL201" s="75"/>
      <c r="AM201" s="75"/>
      <c r="AN201" s="75"/>
      <c r="AO201" s="75"/>
      <c r="AP201" s="75"/>
      <c r="AQ201" s="75"/>
      <c r="AR201" s="75"/>
    </row>
    <row r="202" spans="1:44" x14ac:dyDescent="0.25">
      <c r="A202" s="75"/>
      <c r="B202" s="75"/>
      <c r="C202" s="75"/>
      <c r="D202" s="75"/>
      <c r="E202" s="84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6"/>
      <c r="AJ202" s="75"/>
      <c r="AK202" s="75"/>
      <c r="AL202" s="75"/>
      <c r="AM202" s="75"/>
      <c r="AN202" s="75"/>
      <c r="AO202" s="75"/>
      <c r="AP202" s="75"/>
      <c r="AQ202" s="75"/>
      <c r="AR202" s="75"/>
    </row>
    <row r="203" spans="1:44" x14ac:dyDescent="0.25">
      <c r="A203" s="75"/>
      <c r="B203" s="75"/>
      <c r="C203" s="75"/>
      <c r="D203" s="75"/>
      <c r="E203" s="84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6"/>
      <c r="AJ203" s="75"/>
      <c r="AK203" s="75"/>
      <c r="AL203" s="75"/>
      <c r="AM203" s="75"/>
      <c r="AN203" s="75"/>
      <c r="AO203" s="75"/>
      <c r="AP203" s="75"/>
      <c r="AQ203" s="75"/>
      <c r="AR203" s="75"/>
    </row>
    <row r="204" spans="1:44" x14ac:dyDescent="0.25">
      <c r="A204" s="75"/>
      <c r="B204" s="75"/>
      <c r="C204" s="75"/>
      <c r="D204" s="75"/>
      <c r="E204" s="84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6"/>
      <c r="AJ204" s="75"/>
      <c r="AK204" s="75"/>
      <c r="AL204" s="75"/>
      <c r="AM204" s="75"/>
      <c r="AN204" s="75"/>
      <c r="AO204" s="75"/>
      <c r="AP204" s="75"/>
      <c r="AQ204" s="75"/>
      <c r="AR204" s="75"/>
    </row>
    <row r="205" spans="1:44" x14ac:dyDescent="0.25">
      <c r="A205" s="75"/>
      <c r="B205" s="75"/>
      <c r="C205" s="75"/>
      <c r="D205" s="75"/>
      <c r="E205" s="84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6"/>
      <c r="AJ205" s="75"/>
      <c r="AK205" s="75"/>
      <c r="AL205" s="75"/>
      <c r="AM205" s="75"/>
      <c r="AN205" s="75"/>
      <c r="AO205" s="75"/>
      <c r="AP205" s="75"/>
      <c r="AQ205" s="75"/>
      <c r="AR205" s="75"/>
    </row>
    <row r="206" spans="1:44" x14ac:dyDescent="0.25">
      <c r="A206" s="75"/>
      <c r="B206" s="75"/>
      <c r="C206" s="75"/>
      <c r="D206" s="75"/>
      <c r="E206" s="84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6"/>
      <c r="AJ206" s="75"/>
      <c r="AK206" s="75"/>
      <c r="AL206" s="75"/>
      <c r="AM206" s="75"/>
      <c r="AN206" s="75"/>
      <c r="AO206" s="75"/>
      <c r="AP206" s="75"/>
      <c r="AQ206" s="75"/>
      <c r="AR206" s="75"/>
    </row>
    <row r="207" spans="1:44" x14ac:dyDescent="0.25">
      <c r="A207" s="75"/>
      <c r="B207" s="75"/>
      <c r="C207" s="75"/>
      <c r="D207" s="75"/>
      <c r="E207" s="84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6"/>
      <c r="AJ207" s="75"/>
      <c r="AK207" s="75"/>
      <c r="AL207" s="75"/>
      <c r="AM207" s="75"/>
      <c r="AN207" s="75"/>
      <c r="AO207" s="75"/>
      <c r="AP207" s="75"/>
      <c r="AQ207" s="75"/>
      <c r="AR207" s="75"/>
    </row>
    <row r="208" spans="1:44" x14ac:dyDescent="0.25">
      <c r="A208" s="75"/>
      <c r="B208" s="75"/>
      <c r="C208" s="75"/>
      <c r="D208" s="75"/>
      <c r="E208" s="84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6"/>
      <c r="AJ208" s="75"/>
      <c r="AK208" s="75"/>
      <c r="AL208" s="75"/>
      <c r="AM208" s="75"/>
      <c r="AN208" s="75"/>
      <c r="AO208" s="75"/>
      <c r="AP208" s="75"/>
      <c r="AQ208" s="75"/>
      <c r="AR208" s="75"/>
    </row>
    <row r="209" spans="1:44" x14ac:dyDescent="0.25">
      <c r="A209" s="75"/>
      <c r="B209" s="75"/>
      <c r="C209" s="75"/>
      <c r="D209" s="75"/>
      <c r="E209" s="84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6"/>
      <c r="AJ209" s="75"/>
      <c r="AK209" s="75"/>
      <c r="AL209" s="75"/>
      <c r="AM209" s="75"/>
      <c r="AN209" s="75"/>
      <c r="AO209" s="75"/>
      <c r="AP209" s="75"/>
      <c r="AQ209" s="75"/>
      <c r="AR209" s="75"/>
    </row>
    <row r="210" spans="1:44" x14ac:dyDescent="0.25">
      <c r="A210" s="75"/>
      <c r="B210" s="75"/>
      <c r="C210" s="75"/>
      <c r="D210" s="75"/>
      <c r="E210" s="84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6"/>
      <c r="AJ210" s="75"/>
      <c r="AK210" s="75"/>
      <c r="AL210" s="75"/>
      <c r="AM210" s="75"/>
      <c r="AN210" s="75"/>
      <c r="AO210" s="75"/>
      <c r="AP210" s="75"/>
      <c r="AQ210" s="75"/>
      <c r="AR210" s="75"/>
    </row>
    <row r="211" spans="1:44" x14ac:dyDescent="0.25">
      <c r="A211" s="75"/>
      <c r="B211" s="75"/>
      <c r="C211" s="75"/>
      <c r="D211" s="75"/>
      <c r="E211" s="84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6"/>
      <c r="AJ211" s="75"/>
      <c r="AK211" s="75"/>
      <c r="AL211" s="75"/>
      <c r="AM211" s="75"/>
      <c r="AN211" s="75"/>
      <c r="AO211" s="75"/>
      <c r="AP211" s="75"/>
      <c r="AQ211" s="75"/>
      <c r="AR211" s="75"/>
    </row>
    <row r="212" spans="1:44" x14ac:dyDescent="0.25">
      <c r="A212" s="75"/>
      <c r="B212" s="75"/>
      <c r="C212" s="75"/>
      <c r="D212" s="75"/>
      <c r="E212" s="84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6"/>
      <c r="AJ212" s="75"/>
      <c r="AK212" s="75"/>
      <c r="AL212" s="75"/>
      <c r="AM212" s="75"/>
      <c r="AN212" s="75"/>
      <c r="AO212" s="75"/>
      <c r="AP212" s="75"/>
      <c r="AQ212" s="75"/>
      <c r="AR212" s="75"/>
    </row>
    <row r="213" spans="1:44" x14ac:dyDescent="0.25">
      <c r="A213" s="75"/>
      <c r="B213" s="75"/>
      <c r="C213" s="75"/>
      <c r="D213" s="75"/>
      <c r="E213" s="84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6"/>
      <c r="AJ213" s="75"/>
      <c r="AK213" s="75"/>
      <c r="AL213" s="75"/>
      <c r="AM213" s="75"/>
      <c r="AN213" s="75"/>
      <c r="AO213" s="75"/>
      <c r="AP213" s="75"/>
      <c r="AQ213" s="75"/>
      <c r="AR213" s="75"/>
    </row>
    <row r="214" spans="1:44" x14ac:dyDescent="0.25">
      <c r="A214" s="75"/>
      <c r="B214" s="75"/>
      <c r="C214" s="75"/>
      <c r="D214" s="75"/>
      <c r="E214" s="84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6"/>
      <c r="AJ214" s="75"/>
      <c r="AK214" s="75"/>
      <c r="AL214" s="75"/>
      <c r="AM214" s="75"/>
      <c r="AN214" s="75"/>
      <c r="AO214" s="75"/>
      <c r="AP214" s="75"/>
      <c r="AQ214" s="75"/>
      <c r="AR214" s="75"/>
    </row>
    <row r="215" spans="1:44" x14ac:dyDescent="0.25">
      <c r="A215" s="75"/>
      <c r="B215" s="75"/>
      <c r="C215" s="75"/>
      <c r="D215" s="75"/>
      <c r="E215" s="84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6"/>
      <c r="AJ215" s="75"/>
      <c r="AK215" s="75"/>
      <c r="AL215" s="75"/>
      <c r="AM215" s="75"/>
      <c r="AN215" s="75"/>
      <c r="AO215" s="75"/>
      <c r="AP215" s="75"/>
      <c r="AQ215" s="75"/>
      <c r="AR215" s="75"/>
    </row>
    <row r="216" spans="1:44" x14ac:dyDescent="0.25">
      <c r="A216" s="75"/>
      <c r="B216" s="75"/>
      <c r="C216" s="75"/>
      <c r="D216" s="75"/>
      <c r="E216" s="84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6"/>
      <c r="AJ216" s="75"/>
      <c r="AK216" s="75"/>
      <c r="AL216" s="75"/>
      <c r="AM216" s="75"/>
      <c r="AN216" s="75"/>
      <c r="AO216" s="75"/>
      <c r="AP216" s="75"/>
      <c r="AQ216" s="75"/>
      <c r="AR216" s="75"/>
    </row>
    <row r="217" spans="1:44" x14ac:dyDescent="0.25">
      <c r="A217" s="75"/>
      <c r="B217" s="75"/>
      <c r="C217" s="75"/>
      <c r="D217" s="75"/>
      <c r="E217" s="84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6"/>
      <c r="AJ217" s="75"/>
      <c r="AK217" s="75"/>
      <c r="AL217" s="75"/>
      <c r="AM217" s="75"/>
      <c r="AN217" s="75"/>
      <c r="AO217" s="75"/>
      <c r="AP217" s="75"/>
      <c r="AQ217" s="75"/>
      <c r="AR217" s="75"/>
    </row>
    <row r="218" spans="1:44" x14ac:dyDescent="0.25">
      <c r="A218" s="75"/>
      <c r="B218" s="75"/>
      <c r="C218" s="75"/>
      <c r="D218" s="75"/>
      <c r="E218" s="84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6"/>
      <c r="AJ218" s="75"/>
      <c r="AK218" s="75"/>
      <c r="AL218" s="75"/>
      <c r="AM218" s="75"/>
      <c r="AN218" s="75"/>
      <c r="AO218" s="75"/>
      <c r="AP218" s="75"/>
      <c r="AQ218" s="75"/>
      <c r="AR218" s="75"/>
    </row>
    <row r="219" spans="1:44" x14ac:dyDescent="0.25">
      <c r="A219" s="75"/>
      <c r="B219" s="75"/>
      <c r="C219" s="75"/>
      <c r="D219" s="75"/>
      <c r="E219" s="84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6"/>
      <c r="AJ219" s="75"/>
      <c r="AK219" s="75"/>
      <c r="AL219" s="75"/>
      <c r="AM219" s="75"/>
      <c r="AN219" s="75"/>
      <c r="AO219" s="75"/>
      <c r="AP219" s="75"/>
      <c r="AQ219" s="75"/>
      <c r="AR219" s="75"/>
    </row>
    <row r="220" spans="1:44" x14ac:dyDescent="0.25">
      <c r="A220" s="75"/>
      <c r="B220" s="75"/>
      <c r="C220" s="75"/>
      <c r="D220" s="75"/>
      <c r="E220" s="84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6"/>
      <c r="AJ220" s="75"/>
      <c r="AK220" s="75"/>
      <c r="AL220" s="75"/>
      <c r="AM220" s="75"/>
      <c r="AN220" s="75"/>
      <c r="AO220" s="75"/>
      <c r="AP220" s="75"/>
      <c r="AQ220" s="75"/>
      <c r="AR220" s="75"/>
    </row>
    <row r="221" spans="1:44" x14ac:dyDescent="0.25">
      <c r="A221" s="75"/>
      <c r="B221" s="75"/>
      <c r="C221" s="75"/>
      <c r="D221" s="75"/>
      <c r="E221" s="84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6"/>
      <c r="AJ221" s="75"/>
      <c r="AK221" s="75"/>
      <c r="AL221" s="75"/>
      <c r="AM221" s="75"/>
      <c r="AN221" s="75"/>
      <c r="AO221" s="75"/>
      <c r="AP221" s="75"/>
      <c r="AQ221" s="75"/>
      <c r="AR221" s="75"/>
    </row>
    <row r="222" spans="1:44" x14ac:dyDescent="0.25">
      <c r="A222" s="75"/>
      <c r="B222" s="75"/>
      <c r="C222" s="75"/>
      <c r="D222" s="75"/>
      <c r="E222" s="84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6"/>
      <c r="AJ222" s="75"/>
      <c r="AK222" s="75"/>
      <c r="AL222" s="75"/>
      <c r="AM222" s="75"/>
      <c r="AN222" s="75"/>
      <c r="AO222" s="75"/>
      <c r="AP222" s="75"/>
      <c r="AQ222" s="75"/>
      <c r="AR222" s="75"/>
    </row>
    <row r="223" spans="1:44" x14ac:dyDescent="0.25">
      <c r="A223" s="75"/>
      <c r="B223" s="75"/>
      <c r="C223" s="75"/>
      <c r="D223" s="75"/>
      <c r="E223" s="84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6"/>
      <c r="AJ223" s="75"/>
      <c r="AK223" s="75"/>
      <c r="AL223" s="75"/>
      <c r="AM223" s="75"/>
      <c r="AN223" s="75"/>
      <c r="AO223" s="75"/>
      <c r="AP223" s="75"/>
      <c r="AQ223" s="75"/>
      <c r="AR223" s="75"/>
    </row>
    <row r="224" spans="1:44" x14ac:dyDescent="0.25">
      <c r="A224" s="75"/>
      <c r="B224" s="75"/>
      <c r="C224" s="75"/>
      <c r="D224" s="75"/>
      <c r="E224" s="84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6"/>
      <c r="AJ224" s="75"/>
      <c r="AK224" s="75"/>
      <c r="AL224" s="75"/>
      <c r="AM224" s="75"/>
      <c r="AN224" s="75"/>
      <c r="AO224" s="75"/>
      <c r="AP224" s="75"/>
      <c r="AQ224" s="75"/>
      <c r="AR224" s="75"/>
    </row>
    <row r="225" spans="1:44" x14ac:dyDescent="0.25">
      <c r="A225" s="75"/>
      <c r="B225" s="75"/>
      <c r="C225" s="75"/>
      <c r="D225" s="75"/>
      <c r="E225" s="84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6"/>
      <c r="AJ225" s="75"/>
      <c r="AK225" s="75"/>
      <c r="AL225" s="75"/>
      <c r="AM225" s="75"/>
      <c r="AN225" s="75"/>
      <c r="AO225" s="75"/>
      <c r="AP225" s="75"/>
      <c r="AQ225" s="75"/>
      <c r="AR225" s="75"/>
    </row>
    <row r="226" spans="1:44" x14ac:dyDescent="0.25">
      <c r="A226" s="75"/>
      <c r="B226" s="75"/>
      <c r="C226" s="75"/>
      <c r="D226" s="75"/>
      <c r="E226" s="84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6"/>
      <c r="AJ226" s="75"/>
      <c r="AK226" s="75"/>
      <c r="AL226" s="75"/>
      <c r="AM226" s="75"/>
      <c r="AN226" s="75"/>
      <c r="AO226" s="75"/>
      <c r="AP226" s="75"/>
      <c r="AQ226" s="75"/>
      <c r="AR226" s="75"/>
    </row>
    <row r="227" spans="1:44" x14ac:dyDescent="0.25">
      <c r="A227" s="75"/>
      <c r="B227" s="75"/>
      <c r="C227" s="75"/>
      <c r="D227" s="75"/>
      <c r="E227" s="84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6"/>
      <c r="AJ227" s="75"/>
      <c r="AK227" s="75"/>
      <c r="AL227" s="75"/>
      <c r="AM227" s="75"/>
      <c r="AN227" s="75"/>
      <c r="AO227" s="75"/>
      <c r="AP227" s="75"/>
      <c r="AQ227" s="75"/>
      <c r="AR227" s="75"/>
    </row>
    <row r="228" spans="1:44" x14ac:dyDescent="0.25">
      <c r="A228" s="75"/>
      <c r="B228" s="75"/>
      <c r="C228" s="75"/>
      <c r="D228" s="75"/>
      <c r="E228" s="84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6"/>
      <c r="AJ228" s="75"/>
      <c r="AK228" s="75"/>
      <c r="AL228" s="75"/>
      <c r="AM228" s="75"/>
      <c r="AN228" s="75"/>
      <c r="AO228" s="75"/>
      <c r="AP228" s="75"/>
      <c r="AQ228" s="75"/>
      <c r="AR228" s="75"/>
    </row>
    <row r="229" spans="1:44" x14ac:dyDescent="0.25">
      <c r="A229" s="75"/>
      <c r="B229" s="75"/>
      <c r="C229" s="75"/>
      <c r="D229" s="75"/>
      <c r="E229" s="84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6"/>
      <c r="AJ229" s="75"/>
      <c r="AK229" s="75"/>
      <c r="AL229" s="75"/>
      <c r="AM229" s="75"/>
      <c r="AN229" s="75"/>
      <c r="AO229" s="75"/>
      <c r="AP229" s="75"/>
      <c r="AQ229" s="75"/>
      <c r="AR229" s="75"/>
    </row>
    <row r="230" spans="1:44" x14ac:dyDescent="0.25">
      <c r="A230" s="75"/>
      <c r="B230" s="75"/>
      <c r="C230" s="75"/>
      <c r="D230" s="75"/>
      <c r="E230" s="84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6"/>
      <c r="AJ230" s="75"/>
      <c r="AK230" s="75"/>
      <c r="AL230" s="75"/>
      <c r="AM230" s="75"/>
      <c r="AN230" s="75"/>
      <c r="AO230" s="75"/>
      <c r="AP230" s="75"/>
      <c r="AQ230" s="75"/>
      <c r="AR230" s="75"/>
    </row>
    <row r="231" spans="1:44" x14ac:dyDescent="0.25">
      <c r="A231" s="75"/>
      <c r="B231" s="75"/>
      <c r="C231" s="75"/>
      <c r="D231" s="75"/>
      <c r="E231" s="84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6"/>
      <c r="AJ231" s="75"/>
      <c r="AK231" s="75"/>
      <c r="AL231" s="75"/>
      <c r="AM231" s="75"/>
      <c r="AN231" s="75"/>
      <c r="AO231" s="75"/>
      <c r="AP231" s="75"/>
      <c r="AQ231" s="75"/>
      <c r="AR231" s="75"/>
    </row>
    <row r="232" spans="1:44" x14ac:dyDescent="0.25">
      <c r="A232" s="75"/>
      <c r="B232" s="75"/>
      <c r="C232" s="75"/>
      <c r="D232" s="75"/>
      <c r="E232" s="84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6"/>
      <c r="AJ232" s="75"/>
      <c r="AK232" s="75"/>
      <c r="AL232" s="75"/>
      <c r="AM232" s="75"/>
      <c r="AN232" s="75"/>
      <c r="AO232" s="75"/>
      <c r="AP232" s="75"/>
      <c r="AQ232" s="75"/>
      <c r="AR232" s="75"/>
    </row>
    <row r="233" spans="1:44" x14ac:dyDescent="0.25">
      <c r="A233" s="75"/>
      <c r="B233" s="75"/>
      <c r="C233" s="75"/>
      <c r="D233" s="75"/>
      <c r="E233" s="84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6"/>
      <c r="AJ233" s="75"/>
      <c r="AK233" s="75"/>
      <c r="AL233" s="75"/>
      <c r="AM233" s="75"/>
      <c r="AN233" s="75"/>
      <c r="AO233" s="75"/>
      <c r="AP233" s="75"/>
      <c r="AQ233" s="75"/>
      <c r="AR233" s="75"/>
    </row>
    <row r="234" spans="1:44" x14ac:dyDescent="0.25">
      <c r="A234" s="75"/>
      <c r="B234" s="75"/>
      <c r="C234" s="75"/>
      <c r="D234" s="75"/>
      <c r="E234" s="84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6"/>
      <c r="AJ234" s="75"/>
      <c r="AK234" s="75"/>
      <c r="AL234" s="75"/>
      <c r="AM234" s="75"/>
      <c r="AN234" s="75"/>
      <c r="AO234" s="75"/>
      <c r="AP234" s="75"/>
      <c r="AQ234" s="75"/>
      <c r="AR234" s="75"/>
    </row>
    <row r="235" spans="1:44" x14ac:dyDescent="0.25">
      <c r="A235" s="75"/>
      <c r="B235" s="75"/>
      <c r="C235" s="75"/>
      <c r="D235" s="75"/>
      <c r="E235" s="84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6"/>
      <c r="AJ235" s="75"/>
      <c r="AK235" s="75"/>
      <c r="AL235" s="75"/>
      <c r="AM235" s="75"/>
      <c r="AN235" s="75"/>
      <c r="AO235" s="75"/>
      <c r="AP235" s="75"/>
      <c r="AQ235" s="75"/>
      <c r="AR235" s="75"/>
    </row>
    <row r="236" spans="1:44" x14ac:dyDescent="0.25">
      <c r="A236" s="75"/>
      <c r="B236" s="75"/>
      <c r="C236" s="75"/>
      <c r="D236" s="75"/>
      <c r="E236" s="84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6"/>
      <c r="AJ236" s="75"/>
      <c r="AK236" s="75"/>
      <c r="AL236" s="75"/>
      <c r="AM236" s="75"/>
      <c r="AN236" s="75"/>
      <c r="AO236" s="75"/>
      <c r="AP236" s="75"/>
      <c r="AQ236" s="75"/>
      <c r="AR236" s="75"/>
    </row>
    <row r="237" spans="1:44" x14ac:dyDescent="0.25">
      <c r="A237" s="75"/>
      <c r="B237" s="75"/>
      <c r="C237" s="75"/>
      <c r="D237" s="75"/>
      <c r="E237" s="84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6"/>
      <c r="AJ237" s="75"/>
      <c r="AK237" s="75"/>
      <c r="AL237" s="75"/>
      <c r="AM237" s="75"/>
      <c r="AN237" s="75"/>
      <c r="AO237" s="75"/>
      <c r="AP237" s="75"/>
      <c r="AQ237" s="75"/>
      <c r="AR237" s="75"/>
    </row>
    <row r="238" spans="1:44" x14ac:dyDescent="0.25">
      <c r="A238" s="75"/>
      <c r="B238" s="75"/>
      <c r="C238" s="75"/>
      <c r="D238" s="75"/>
      <c r="E238" s="84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6"/>
      <c r="AJ238" s="75"/>
      <c r="AK238" s="75"/>
      <c r="AL238" s="75"/>
      <c r="AM238" s="75"/>
      <c r="AN238" s="75"/>
      <c r="AO238" s="75"/>
      <c r="AP238" s="75"/>
      <c r="AQ238" s="75"/>
      <c r="AR238" s="75"/>
    </row>
    <row r="239" spans="1:44" x14ac:dyDescent="0.25">
      <c r="A239" s="75"/>
      <c r="B239" s="75"/>
      <c r="C239" s="75"/>
      <c r="D239" s="75"/>
      <c r="E239" s="84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6"/>
      <c r="AJ239" s="75"/>
      <c r="AK239" s="75"/>
      <c r="AL239" s="75"/>
      <c r="AM239" s="75"/>
      <c r="AN239" s="75"/>
      <c r="AO239" s="75"/>
      <c r="AP239" s="75"/>
      <c r="AQ239" s="75"/>
      <c r="AR239" s="75"/>
    </row>
    <row r="240" spans="1:44" x14ac:dyDescent="0.25">
      <c r="A240" s="75"/>
      <c r="B240" s="75"/>
      <c r="C240" s="75"/>
      <c r="D240" s="75"/>
      <c r="E240" s="84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6"/>
      <c r="AJ240" s="75"/>
      <c r="AK240" s="75"/>
      <c r="AL240" s="75"/>
      <c r="AM240" s="75"/>
      <c r="AN240" s="75"/>
      <c r="AO240" s="75"/>
      <c r="AP240" s="75"/>
      <c r="AQ240" s="75"/>
      <c r="AR240" s="75"/>
    </row>
    <row r="241" spans="1:44" x14ac:dyDescent="0.25">
      <c r="A241" s="75"/>
      <c r="B241" s="75"/>
      <c r="C241" s="75"/>
      <c r="D241" s="75"/>
      <c r="E241" s="84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6"/>
      <c r="AJ241" s="75"/>
      <c r="AK241" s="75"/>
      <c r="AL241" s="75"/>
      <c r="AM241" s="75"/>
      <c r="AN241" s="75"/>
      <c r="AO241" s="75"/>
      <c r="AP241" s="75"/>
      <c r="AQ241" s="75"/>
      <c r="AR241" s="75"/>
    </row>
    <row r="242" spans="1:44" x14ac:dyDescent="0.25">
      <c r="A242" s="75"/>
      <c r="B242" s="75"/>
      <c r="C242" s="75"/>
      <c r="D242" s="75"/>
      <c r="E242" s="84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6"/>
      <c r="AJ242" s="75"/>
      <c r="AK242" s="75"/>
      <c r="AL242" s="75"/>
      <c r="AM242" s="75"/>
      <c r="AN242" s="75"/>
      <c r="AO242" s="75"/>
      <c r="AP242" s="75"/>
      <c r="AQ242" s="75"/>
      <c r="AR242" s="75"/>
    </row>
    <row r="243" spans="1:44" x14ac:dyDescent="0.25">
      <c r="A243" s="75"/>
      <c r="B243" s="75"/>
      <c r="C243" s="75"/>
      <c r="D243" s="75"/>
      <c r="E243" s="84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6"/>
      <c r="AJ243" s="75"/>
      <c r="AK243" s="75"/>
      <c r="AL243" s="75"/>
      <c r="AM243" s="75"/>
      <c r="AN243" s="75"/>
      <c r="AO243" s="75"/>
      <c r="AP243" s="75"/>
      <c r="AQ243" s="75"/>
      <c r="AR243" s="75"/>
    </row>
    <row r="244" spans="1:44" x14ac:dyDescent="0.25">
      <c r="A244" s="75"/>
      <c r="B244" s="75"/>
      <c r="C244" s="75"/>
      <c r="D244" s="75"/>
      <c r="E244" s="84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6"/>
      <c r="AJ244" s="75"/>
      <c r="AK244" s="75"/>
      <c r="AL244" s="75"/>
      <c r="AM244" s="75"/>
      <c r="AN244" s="75"/>
      <c r="AO244" s="75"/>
      <c r="AP244" s="75"/>
      <c r="AQ244" s="75"/>
      <c r="AR244" s="75"/>
    </row>
    <row r="245" spans="1:44" x14ac:dyDescent="0.25">
      <c r="A245" s="75"/>
      <c r="B245" s="75"/>
      <c r="C245" s="75"/>
      <c r="D245" s="75"/>
      <c r="E245" s="84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6"/>
      <c r="AJ245" s="75"/>
      <c r="AK245" s="75"/>
      <c r="AL245" s="75"/>
      <c r="AM245" s="75"/>
      <c r="AN245" s="75"/>
      <c r="AO245" s="75"/>
      <c r="AP245" s="75"/>
      <c r="AQ245" s="75"/>
      <c r="AR245" s="75"/>
    </row>
    <row r="246" spans="1:44" x14ac:dyDescent="0.25">
      <c r="A246" s="75"/>
      <c r="B246" s="75"/>
      <c r="C246" s="75"/>
      <c r="D246" s="75"/>
      <c r="E246" s="84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6"/>
      <c r="AJ246" s="75"/>
      <c r="AK246" s="75"/>
      <c r="AL246" s="75"/>
      <c r="AM246" s="75"/>
      <c r="AN246" s="75"/>
      <c r="AO246" s="75"/>
      <c r="AP246" s="75"/>
      <c r="AQ246" s="75"/>
      <c r="AR246" s="75"/>
    </row>
    <row r="247" spans="1:44" x14ac:dyDescent="0.25">
      <c r="A247" s="75"/>
      <c r="B247" s="75"/>
      <c r="C247" s="75"/>
      <c r="D247" s="75"/>
      <c r="E247" s="84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6"/>
      <c r="AJ247" s="75"/>
      <c r="AK247" s="75"/>
      <c r="AL247" s="75"/>
      <c r="AM247" s="75"/>
      <c r="AN247" s="75"/>
      <c r="AO247" s="75"/>
      <c r="AP247" s="75"/>
      <c r="AQ247" s="75"/>
      <c r="AR247" s="75"/>
    </row>
    <row r="248" spans="1:44" x14ac:dyDescent="0.25">
      <c r="A248" s="75"/>
      <c r="B248" s="75"/>
      <c r="C248" s="75"/>
      <c r="D248" s="75"/>
      <c r="E248" s="84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6"/>
      <c r="AJ248" s="75"/>
      <c r="AK248" s="75"/>
      <c r="AL248" s="75"/>
      <c r="AM248" s="75"/>
      <c r="AN248" s="75"/>
      <c r="AO248" s="75"/>
      <c r="AP248" s="75"/>
      <c r="AQ248" s="75"/>
      <c r="AR248" s="75"/>
    </row>
    <row r="249" spans="1:44" x14ac:dyDescent="0.25">
      <c r="A249" s="75"/>
      <c r="B249" s="75"/>
      <c r="C249" s="75"/>
      <c r="D249" s="75"/>
      <c r="E249" s="84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6"/>
      <c r="AJ249" s="75"/>
      <c r="AK249" s="75"/>
      <c r="AL249" s="75"/>
      <c r="AM249" s="75"/>
      <c r="AN249" s="75"/>
      <c r="AO249" s="75"/>
      <c r="AP249" s="75"/>
      <c r="AQ249" s="75"/>
      <c r="AR249" s="75"/>
    </row>
    <row r="250" spans="1:44" x14ac:dyDescent="0.25">
      <c r="A250" s="75"/>
      <c r="B250" s="75"/>
      <c r="C250" s="75"/>
      <c r="D250" s="75"/>
      <c r="E250" s="84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6"/>
      <c r="AJ250" s="75"/>
      <c r="AK250" s="75"/>
      <c r="AL250" s="75"/>
      <c r="AM250" s="75"/>
      <c r="AN250" s="75"/>
      <c r="AO250" s="75"/>
      <c r="AP250" s="75"/>
      <c r="AQ250" s="75"/>
      <c r="AR250" s="75"/>
    </row>
    <row r="251" spans="1:44" x14ac:dyDescent="0.25">
      <c r="A251" s="75"/>
      <c r="B251" s="75"/>
      <c r="C251" s="75"/>
      <c r="D251" s="75"/>
      <c r="E251" s="84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6"/>
      <c r="AJ251" s="75"/>
      <c r="AK251" s="75"/>
      <c r="AL251" s="75"/>
      <c r="AM251" s="75"/>
      <c r="AN251" s="75"/>
      <c r="AO251" s="75"/>
      <c r="AP251" s="75"/>
      <c r="AQ251" s="75"/>
      <c r="AR251" s="75"/>
    </row>
    <row r="252" spans="1:44" x14ac:dyDescent="0.25">
      <c r="A252" s="75"/>
      <c r="B252" s="75"/>
      <c r="C252" s="75"/>
      <c r="D252" s="75"/>
      <c r="E252" s="84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6"/>
      <c r="AJ252" s="75"/>
      <c r="AK252" s="75"/>
      <c r="AL252" s="75"/>
      <c r="AM252" s="75"/>
      <c r="AN252" s="75"/>
      <c r="AO252" s="75"/>
      <c r="AP252" s="75"/>
      <c r="AQ252" s="75"/>
      <c r="AR252" s="75"/>
    </row>
    <row r="253" spans="1:44" x14ac:dyDescent="0.25">
      <c r="A253" s="75"/>
      <c r="B253" s="75"/>
      <c r="C253" s="75"/>
      <c r="D253" s="75"/>
      <c r="E253" s="84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6"/>
      <c r="AJ253" s="75"/>
      <c r="AK253" s="75"/>
      <c r="AL253" s="75"/>
      <c r="AM253" s="75"/>
      <c r="AN253" s="75"/>
      <c r="AO253" s="75"/>
      <c r="AP253" s="75"/>
      <c r="AQ253" s="75"/>
      <c r="AR253" s="75"/>
    </row>
    <row r="254" spans="1:44" x14ac:dyDescent="0.25">
      <c r="A254" s="75"/>
      <c r="B254" s="75"/>
      <c r="C254" s="75"/>
      <c r="D254" s="75"/>
      <c r="E254" s="84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6"/>
      <c r="AJ254" s="75"/>
      <c r="AK254" s="75"/>
      <c r="AL254" s="75"/>
      <c r="AM254" s="75"/>
      <c r="AN254" s="75"/>
      <c r="AO254" s="75"/>
      <c r="AP254" s="75"/>
      <c r="AQ254" s="75"/>
      <c r="AR254" s="75"/>
    </row>
    <row r="255" spans="1:44" x14ac:dyDescent="0.25">
      <c r="A255" s="75"/>
      <c r="B255" s="75"/>
      <c r="C255" s="75"/>
      <c r="D255" s="75"/>
      <c r="E255" s="84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6"/>
      <c r="AJ255" s="75"/>
      <c r="AK255" s="75"/>
      <c r="AL255" s="75"/>
      <c r="AM255" s="75"/>
      <c r="AN255" s="75"/>
      <c r="AO255" s="75"/>
      <c r="AP255" s="75"/>
      <c r="AQ255" s="75"/>
      <c r="AR255" s="75"/>
    </row>
    <row r="256" spans="1:44" x14ac:dyDescent="0.25">
      <c r="A256" s="75"/>
      <c r="B256" s="75"/>
      <c r="C256" s="75"/>
      <c r="D256" s="75"/>
      <c r="E256" s="84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6"/>
      <c r="AJ256" s="75"/>
      <c r="AK256" s="75"/>
      <c r="AL256" s="75"/>
      <c r="AM256" s="75"/>
      <c r="AN256" s="75"/>
      <c r="AO256" s="75"/>
      <c r="AP256" s="75"/>
      <c r="AQ256" s="75"/>
      <c r="AR256" s="75"/>
    </row>
    <row r="257" spans="1:44" x14ac:dyDescent="0.25">
      <c r="A257" s="75"/>
      <c r="B257" s="75"/>
      <c r="C257" s="75"/>
      <c r="D257" s="75"/>
      <c r="E257" s="84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6"/>
      <c r="AJ257" s="75"/>
      <c r="AK257" s="75"/>
      <c r="AL257" s="75"/>
      <c r="AM257" s="75"/>
      <c r="AN257" s="75"/>
      <c r="AO257" s="75"/>
      <c r="AP257" s="75"/>
      <c r="AQ257" s="75"/>
      <c r="AR257" s="75"/>
    </row>
    <row r="258" spans="1:44" x14ac:dyDescent="0.25">
      <c r="A258" s="75"/>
      <c r="B258" s="75"/>
      <c r="C258" s="75"/>
      <c r="D258" s="75"/>
      <c r="E258" s="84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6"/>
      <c r="AJ258" s="75"/>
      <c r="AK258" s="75"/>
      <c r="AL258" s="75"/>
      <c r="AM258" s="75"/>
      <c r="AN258" s="75"/>
      <c r="AO258" s="75"/>
      <c r="AP258" s="75"/>
      <c r="AQ258" s="75"/>
      <c r="AR258" s="75"/>
    </row>
    <row r="259" spans="1:44" x14ac:dyDescent="0.25">
      <c r="A259" s="75"/>
      <c r="B259" s="75"/>
      <c r="C259" s="75"/>
      <c r="D259" s="75"/>
      <c r="E259" s="84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6"/>
      <c r="AJ259" s="75"/>
      <c r="AK259" s="75"/>
      <c r="AL259" s="75"/>
      <c r="AM259" s="75"/>
      <c r="AN259" s="75"/>
      <c r="AO259" s="75"/>
      <c r="AP259" s="75"/>
      <c r="AQ259" s="75"/>
      <c r="AR259" s="75"/>
    </row>
    <row r="260" spans="1:44" x14ac:dyDescent="0.25">
      <c r="A260" s="75"/>
      <c r="B260" s="75"/>
      <c r="C260" s="75"/>
      <c r="D260" s="75"/>
      <c r="E260" s="84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6"/>
      <c r="AJ260" s="75"/>
      <c r="AK260" s="75"/>
      <c r="AL260" s="75"/>
      <c r="AM260" s="75"/>
      <c r="AN260" s="75"/>
      <c r="AO260" s="75"/>
      <c r="AP260" s="75"/>
      <c r="AQ260" s="75"/>
      <c r="AR260" s="75"/>
    </row>
    <row r="261" spans="1:44" x14ac:dyDescent="0.25">
      <c r="A261" s="75"/>
      <c r="B261" s="75"/>
      <c r="C261" s="75"/>
      <c r="D261" s="75"/>
      <c r="E261" s="84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6"/>
      <c r="AJ261" s="75"/>
      <c r="AK261" s="75"/>
      <c r="AL261" s="75"/>
      <c r="AM261" s="75"/>
      <c r="AN261" s="75"/>
      <c r="AO261" s="75"/>
      <c r="AP261" s="75"/>
      <c r="AQ261" s="75"/>
      <c r="AR261" s="75"/>
    </row>
    <row r="262" spans="1:44" x14ac:dyDescent="0.25">
      <c r="A262" s="75"/>
      <c r="B262" s="75"/>
      <c r="C262" s="75"/>
      <c r="D262" s="75"/>
      <c r="E262" s="84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6"/>
      <c r="AJ262" s="75"/>
      <c r="AK262" s="75"/>
      <c r="AL262" s="75"/>
      <c r="AM262" s="75"/>
      <c r="AN262" s="75"/>
      <c r="AO262" s="75"/>
      <c r="AP262" s="75"/>
      <c r="AQ262" s="75"/>
      <c r="AR262" s="75"/>
    </row>
    <row r="263" spans="1:44" x14ac:dyDescent="0.25">
      <c r="A263" s="75"/>
      <c r="B263" s="75"/>
      <c r="C263" s="75"/>
      <c r="D263" s="75"/>
      <c r="E263" s="84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6"/>
      <c r="AJ263" s="75"/>
      <c r="AK263" s="75"/>
      <c r="AL263" s="75"/>
      <c r="AM263" s="75"/>
      <c r="AN263" s="75"/>
      <c r="AO263" s="75"/>
      <c r="AP263" s="75"/>
      <c r="AQ263" s="75"/>
      <c r="AR263" s="75"/>
    </row>
    <row r="264" spans="1:44" x14ac:dyDescent="0.25">
      <c r="A264" s="75"/>
      <c r="B264" s="75"/>
      <c r="C264" s="75"/>
      <c r="D264" s="75"/>
      <c r="E264" s="84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6"/>
      <c r="AJ264" s="75"/>
      <c r="AK264" s="75"/>
      <c r="AL264" s="75"/>
      <c r="AM264" s="75"/>
      <c r="AN264" s="75"/>
      <c r="AO264" s="75"/>
      <c r="AP264" s="75"/>
      <c r="AQ264" s="75"/>
      <c r="AR264" s="75"/>
    </row>
    <row r="265" spans="1:44" x14ac:dyDescent="0.25">
      <c r="A265" s="75"/>
      <c r="B265" s="75"/>
      <c r="C265" s="75"/>
      <c r="D265" s="75"/>
      <c r="E265" s="84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6"/>
      <c r="AJ265" s="75"/>
      <c r="AK265" s="75"/>
      <c r="AL265" s="75"/>
      <c r="AM265" s="75"/>
      <c r="AN265" s="75"/>
      <c r="AO265" s="75"/>
      <c r="AP265" s="75"/>
      <c r="AQ265" s="75"/>
      <c r="AR265" s="75"/>
    </row>
    <row r="266" spans="1:44" x14ac:dyDescent="0.25">
      <c r="A266" s="75"/>
      <c r="B266" s="75"/>
      <c r="C266" s="75"/>
      <c r="D266" s="75"/>
      <c r="E266" s="84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6"/>
      <c r="AJ266" s="75"/>
      <c r="AK266" s="75"/>
      <c r="AL266" s="75"/>
      <c r="AM266" s="75"/>
      <c r="AN266" s="75"/>
      <c r="AO266" s="75"/>
      <c r="AP266" s="75"/>
      <c r="AQ266" s="75"/>
      <c r="AR266" s="75"/>
    </row>
    <row r="267" spans="1:44" x14ac:dyDescent="0.25">
      <c r="A267" s="75"/>
      <c r="B267" s="75"/>
      <c r="C267" s="75"/>
      <c r="D267" s="75"/>
      <c r="E267" s="84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6"/>
      <c r="AJ267" s="75"/>
      <c r="AK267" s="75"/>
      <c r="AL267" s="75"/>
      <c r="AM267" s="75"/>
      <c r="AN267" s="75"/>
      <c r="AO267" s="75"/>
      <c r="AP267" s="75"/>
      <c r="AQ267" s="75"/>
      <c r="AR267" s="75"/>
    </row>
    <row r="268" spans="1:44" x14ac:dyDescent="0.25">
      <c r="A268" s="75"/>
      <c r="B268" s="75"/>
      <c r="C268" s="75"/>
      <c r="D268" s="75"/>
      <c r="E268" s="84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6"/>
      <c r="AJ268" s="75"/>
      <c r="AK268" s="75"/>
      <c r="AL268" s="75"/>
      <c r="AM268" s="75"/>
      <c r="AN268" s="75"/>
      <c r="AO268" s="75"/>
      <c r="AP268" s="75"/>
      <c r="AQ268" s="75"/>
      <c r="AR268" s="75"/>
    </row>
    <row r="269" spans="1:44" x14ac:dyDescent="0.25">
      <c r="A269" s="75"/>
      <c r="B269" s="75"/>
      <c r="C269" s="75"/>
      <c r="D269" s="75"/>
      <c r="E269" s="84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6"/>
      <c r="AJ269" s="75"/>
      <c r="AK269" s="75"/>
      <c r="AL269" s="75"/>
      <c r="AM269" s="75"/>
      <c r="AN269" s="75"/>
      <c r="AO269" s="75"/>
      <c r="AP269" s="75"/>
      <c r="AQ269" s="75"/>
      <c r="AR269" s="75"/>
    </row>
    <row r="270" spans="1:44" x14ac:dyDescent="0.25">
      <c r="A270" s="75"/>
      <c r="B270" s="75"/>
      <c r="C270" s="75"/>
      <c r="D270" s="75"/>
      <c r="E270" s="84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6"/>
      <c r="AJ270" s="75"/>
      <c r="AK270" s="75"/>
      <c r="AL270" s="75"/>
      <c r="AM270" s="75"/>
      <c r="AN270" s="75"/>
      <c r="AO270" s="75"/>
      <c r="AP270" s="75"/>
      <c r="AQ270" s="75"/>
      <c r="AR270" s="75"/>
    </row>
    <row r="271" spans="1:44" x14ac:dyDescent="0.25">
      <c r="A271" s="75"/>
      <c r="B271" s="75"/>
      <c r="C271" s="75"/>
      <c r="D271" s="75"/>
      <c r="E271" s="84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6"/>
      <c r="AJ271" s="75"/>
      <c r="AK271" s="75"/>
      <c r="AL271" s="75"/>
      <c r="AM271" s="75"/>
      <c r="AN271" s="75"/>
      <c r="AO271" s="75"/>
      <c r="AP271" s="75"/>
      <c r="AQ271" s="75"/>
      <c r="AR271" s="75"/>
    </row>
    <row r="272" spans="1:44" x14ac:dyDescent="0.25">
      <c r="A272" s="75"/>
      <c r="B272" s="75"/>
      <c r="C272" s="75"/>
      <c r="D272" s="75"/>
      <c r="E272" s="84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6"/>
      <c r="AJ272" s="75"/>
      <c r="AK272" s="75"/>
      <c r="AL272" s="75"/>
      <c r="AM272" s="75"/>
      <c r="AN272" s="75"/>
      <c r="AO272" s="75"/>
      <c r="AP272" s="75"/>
      <c r="AQ272" s="75"/>
      <c r="AR272" s="75"/>
    </row>
    <row r="273" spans="1:44" x14ac:dyDescent="0.25">
      <c r="A273" s="75"/>
      <c r="B273" s="75"/>
      <c r="C273" s="75"/>
      <c r="D273" s="75"/>
      <c r="E273" s="84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6"/>
      <c r="AJ273" s="75"/>
      <c r="AK273" s="75"/>
      <c r="AL273" s="75"/>
      <c r="AM273" s="75"/>
      <c r="AN273" s="75"/>
      <c r="AO273" s="75"/>
      <c r="AP273" s="75"/>
      <c r="AQ273" s="75"/>
      <c r="AR273" s="75"/>
    </row>
    <row r="274" spans="1:44" x14ac:dyDescent="0.25">
      <c r="A274" s="75"/>
      <c r="B274" s="75"/>
      <c r="C274" s="75"/>
      <c r="D274" s="75"/>
      <c r="E274" s="84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6"/>
      <c r="AJ274" s="75"/>
      <c r="AK274" s="75"/>
      <c r="AL274" s="75"/>
      <c r="AM274" s="75"/>
      <c r="AN274" s="75"/>
      <c r="AO274" s="75"/>
      <c r="AP274" s="75"/>
      <c r="AQ274" s="75"/>
      <c r="AR274" s="75"/>
    </row>
    <row r="275" spans="1:44" x14ac:dyDescent="0.25">
      <c r="A275" s="75"/>
      <c r="B275" s="75"/>
      <c r="C275" s="75"/>
      <c r="D275" s="75"/>
      <c r="E275" s="84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6"/>
      <c r="AJ275" s="75"/>
      <c r="AK275" s="75"/>
      <c r="AL275" s="75"/>
      <c r="AM275" s="75"/>
      <c r="AN275" s="75"/>
      <c r="AO275" s="75"/>
      <c r="AP275" s="75"/>
      <c r="AQ275" s="75"/>
      <c r="AR275" s="75"/>
    </row>
    <row r="276" spans="1:44" x14ac:dyDescent="0.25">
      <c r="A276" s="75"/>
      <c r="B276" s="75"/>
      <c r="C276" s="75"/>
      <c r="D276" s="75"/>
      <c r="E276" s="84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6"/>
      <c r="AJ276" s="75"/>
      <c r="AK276" s="75"/>
      <c r="AL276" s="75"/>
      <c r="AM276" s="75"/>
      <c r="AN276" s="75"/>
      <c r="AO276" s="75"/>
      <c r="AP276" s="75"/>
      <c r="AQ276" s="75"/>
      <c r="AR276" s="75"/>
    </row>
    <row r="277" spans="1:44" x14ac:dyDescent="0.25">
      <c r="A277" s="75"/>
      <c r="B277" s="75"/>
      <c r="C277" s="75"/>
      <c r="D277" s="75"/>
      <c r="E277" s="84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6"/>
      <c r="AJ277" s="75"/>
      <c r="AK277" s="75"/>
      <c r="AL277" s="75"/>
      <c r="AM277" s="75"/>
      <c r="AN277" s="75"/>
      <c r="AO277" s="75"/>
      <c r="AP277" s="75"/>
      <c r="AQ277" s="75"/>
      <c r="AR277" s="75"/>
    </row>
    <row r="278" spans="1:44" x14ac:dyDescent="0.25">
      <c r="A278" s="75"/>
      <c r="B278" s="75"/>
      <c r="C278" s="75"/>
      <c r="D278" s="75"/>
      <c r="E278" s="84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6"/>
      <c r="AJ278" s="75"/>
      <c r="AK278" s="75"/>
      <c r="AL278" s="75"/>
      <c r="AM278" s="75"/>
      <c r="AN278" s="75"/>
      <c r="AO278" s="75"/>
      <c r="AP278" s="75"/>
      <c r="AQ278" s="75"/>
      <c r="AR278" s="75"/>
    </row>
    <row r="279" spans="1:44" x14ac:dyDescent="0.25">
      <c r="A279" s="75"/>
      <c r="B279" s="75"/>
      <c r="C279" s="75"/>
      <c r="D279" s="75"/>
      <c r="E279" s="84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6"/>
      <c r="AJ279" s="75"/>
      <c r="AK279" s="75"/>
      <c r="AL279" s="75"/>
      <c r="AM279" s="75"/>
      <c r="AN279" s="75"/>
      <c r="AO279" s="75"/>
      <c r="AP279" s="75"/>
      <c r="AQ279" s="75"/>
      <c r="AR279" s="75"/>
    </row>
    <row r="280" spans="1:44" x14ac:dyDescent="0.25">
      <c r="A280" s="75"/>
      <c r="B280" s="75"/>
      <c r="C280" s="75"/>
      <c r="D280" s="75"/>
      <c r="E280" s="84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6"/>
      <c r="AJ280" s="75"/>
      <c r="AK280" s="75"/>
      <c r="AL280" s="75"/>
      <c r="AM280" s="75"/>
      <c r="AN280" s="75"/>
      <c r="AO280" s="75"/>
      <c r="AP280" s="75"/>
      <c r="AQ280" s="75"/>
      <c r="AR280" s="75"/>
    </row>
    <row r="281" spans="1:44" x14ac:dyDescent="0.25">
      <c r="A281" s="75"/>
      <c r="B281" s="75"/>
      <c r="C281" s="75"/>
      <c r="D281" s="75"/>
      <c r="E281" s="84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6"/>
      <c r="AJ281" s="75"/>
      <c r="AK281" s="75"/>
      <c r="AL281" s="75"/>
      <c r="AM281" s="75"/>
      <c r="AN281" s="75"/>
      <c r="AO281" s="75"/>
      <c r="AP281" s="75"/>
      <c r="AQ281" s="75"/>
      <c r="AR281" s="75"/>
    </row>
    <row r="282" spans="1:44" x14ac:dyDescent="0.25">
      <c r="A282" s="75"/>
      <c r="B282" s="75"/>
      <c r="C282" s="75"/>
      <c r="D282" s="75"/>
      <c r="E282" s="84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6"/>
      <c r="AJ282" s="75"/>
      <c r="AK282" s="75"/>
      <c r="AL282" s="75"/>
      <c r="AM282" s="75"/>
      <c r="AN282" s="75"/>
      <c r="AO282" s="75"/>
      <c r="AP282" s="75"/>
      <c r="AQ282" s="75"/>
      <c r="AR282" s="75"/>
    </row>
    <row r="283" spans="1:44" x14ac:dyDescent="0.25">
      <c r="A283" s="75"/>
      <c r="B283" s="75"/>
      <c r="C283" s="75"/>
      <c r="D283" s="75"/>
      <c r="E283" s="84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6"/>
      <c r="AJ283" s="75"/>
      <c r="AK283" s="75"/>
      <c r="AL283" s="75"/>
      <c r="AM283" s="75"/>
      <c r="AN283" s="75"/>
      <c r="AO283" s="75"/>
      <c r="AP283" s="75"/>
      <c r="AQ283" s="75"/>
      <c r="AR283" s="75"/>
    </row>
    <row r="284" spans="1:44" x14ac:dyDescent="0.25">
      <c r="A284" s="75"/>
      <c r="B284" s="75"/>
      <c r="C284" s="75"/>
      <c r="D284" s="75"/>
      <c r="E284" s="84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6"/>
      <c r="AJ284" s="75"/>
      <c r="AK284" s="75"/>
      <c r="AL284" s="75"/>
      <c r="AM284" s="75"/>
      <c r="AN284" s="75"/>
      <c r="AO284" s="75"/>
      <c r="AP284" s="75"/>
      <c r="AQ284" s="75"/>
      <c r="AR284" s="75"/>
    </row>
    <row r="285" spans="1:44" x14ac:dyDescent="0.25">
      <c r="A285" s="75"/>
      <c r="B285" s="75"/>
      <c r="C285" s="75"/>
      <c r="D285" s="75"/>
      <c r="E285" s="84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6"/>
      <c r="AJ285" s="75"/>
      <c r="AK285" s="75"/>
      <c r="AL285" s="75"/>
      <c r="AM285" s="75"/>
      <c r="AN285" s="75"/>
      <c r="AO285" s="75"/>
      <c r="AP285" s="75"/>
      <c r="AQ285" s="75"/>
      <c r="AR285" s="75"/>
    </row>
    <row r="286" spans="1:44" x14ac:dyDescent="0.25">
      <c r="A286" s="75"/>
      <c r="B286" s="75"/>
      <c r="C286" s="75"/>
      <c r="D286" s="75"/>
      <c r="E286" s="84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6"/>
      <c r="AJ286" s="75"/>
      <c r="AK286" s="75"/>
      <c r="AL286" s="75"/>
      <c r="AM286" s="75"/>
      <c r="AN286" s="75"/>
      <c r="AO286" s="75"/>
      <c r="AP286" s="75"/>
      <c r="AQ286" s="75"/>
      <c r="AR286" s="75"/>
    </row>
    <row r="287" spans="1:44" x14ac:dyDescent="0.25">
      <c r="A287" s="75"/>
      <c r="B287" s="75"/>
      <c r="C287" s="75"/>
      <c r="D287" s="75"/>
      <c r="E287" s="84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6"/>
      <c r="AJ287" s="75"/>
      <c r="AK287" s="75"/>
      <c r="AL287" s="75"/>
      <c r="AM287" s="75"/>
      <c r="AN287" s="75"/>
      <c r="AO287" s="75"/>
      <c r="AP287" s="75"/>
      <c r="AQ287" s="75"/>
      <c r="AR287" s="75"/>
    </row>
    <row r="288" spans="1:44" x14ac:dyDescent="0.25">
      <c r="A288" s="75"/>
      <c r="B288" s="75"/>
      <c r="C288" s="75"/>
      <c r="D288" s="75"/>
      <c r="E288" s="84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6"/>
      <c r="AJ288" s="75"/>
      <c r="AK288" s="75"/>
      <c r="AL288" s="75"/>
      <c r="AM288" s="75"/>
      <c r="AN288" s="75"/>
      <c r="AO288" s="75"/>
      <c r="AP288" s="75"/>
      <c r="AQ288" s="75"/>
      <c r="AR288" s="75"/>
    </row>
    <row r="289" spans="1:44" x14ac:dyDescent="0.25">
      <c r="A289" s="75"/>
      <c r="B289" s="75"/>
      <c r="C289" s="75"/>
      <c r="D289" s="75"/>
      <c r="E289" s="84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6"/>
      <c r="AJ289" s="75"/>
      <c r="AK289" s="75"/>
      <c r="AL289" s="75"/>
      <c r="AM289" s="75"/>
      <c r="AN289" s="75"/>
      <c r="AO289" s="75"/>
      <c r="AP289" s="75"/>
      <c r="AQ289" s="75"/>
      <c r="AR289" s="75"/>
    </row>
    <row r="290" spans="1:44" x14ac:dyDescent="0.25">
      <c r="A290" s="75"/>
      <c r="B290" s="75"/>
      <c r="C290" s="75"/>
      <c r="D290" s="75"/>
      <c r="E290" s="84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6"/>
      <c r="AJ290" s="75"/>
      <c r="AK290" s="75"/>
      <c r="AL290" s="75"/>
      <c r="AM290" s="75"/>
      <c r="AN290" s="75"/>
      <c r="AO290" s="75"/>
      <c r="AP290" s="75"/>
      <c r="AQ290" s="75"/>
      <c r="AR290" s="75"/>
    </row>
    <row r="291" spans="1:44" x14ac:dyDescent="0.25">
      <c r="A291" s="75"/>
      <c r="B291" s="75"/>
      <c r="C291" s="75"/>
      <c r="D291" s="75"/>
      <c r="E291" s="84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6"/>
      <c r="AJ291" s="75"/>
      <c r="AK291" s="75"/>
      <c r="AL291" s="75"/>
      <c r="AM291" s="75"/>
      <c r="AN291" s="75"/>
      <c r="AO291" s="75"/>
      <c r="AP291" s="75"/>
      <c r="AQ291" s="75"/>
      <c r="AR291" s="75"/>
    </row>
    <row r="292" spans="1:44" x14ac:dyDescent="0.25">
      <c r="A292" s="75"/>
      <c r="B292" s="75"/>
      <c r="C292" s="75"/>
      <c r="D292" s="75"/>
      <c r="E292" s="84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6"/>
      <c r="AJ292" s="75"/>
      <c r="AK292" s="75"/>
      <c r="AL292" s="75"/>
      <c r="AM292" s="75"/>
      <c r="AN292" s="75"/>
      <c r="AO292" s="75"/>
      <c r="AP292" s="75"/>
      <c r="AQ292" s="75"/>
      <c r="AR292" s="75"/>
    </row>
    <row r="293" spans="1:44" x14ac:dyDescent="0.25">
      <c r="A293" s="75"/>
      <c r="B293" s="75"/>
      <c r="C293" s="75"/>
      <c r="D293" s="75"/>
      <c r="E293" s="84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6"/>
      <c r="AJ293" s="75"/>
      <c r="AK293" s="75"/>
      <c r="AL293" s="75"/>
      <c r="AM293" s="75"/>
      <c r="AN293" s="75"/>
      <c r="AO293" s="75"/>
      <c r="AP293" s="75"/>
      <c r="AQ293" s="75"/>
      <c r="AR293" s="75"/>
    </row>
    <row r="294" spans="1:44" x14ac:dyDescent="0.25">
      <c r="A294" s="75"/>
      <c r="B294" s="75"/>
      <c r="C294" s="75"/>
      <c r="D294" s="75"/>
      <c r="E294" s="84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6"/>
      <c r="AJ294" s="75"/>
      <c r="AK294" s="75"/>
      <c r="AL294" s="75"/>
      <c r="AM294" s="75"/>
      <c r="AN294" s="75"/>
      <c r="AO294" s="75"/>
      <c r="AP294" s="75"/>
      <c r="AQ294" s="75"/>
      <c r="AR294" s="75"/>
    </row>
    <row r="295" spans="1:44" x14ac:dyDescent="0.25">
      <c r="A295" s="75"/>
      <c r="B295" s="75"/>
      <c r="C295" s="75"/>
      <c r="D295" s="75"/>
      <c r="E295" s="84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6"/>
      <c r="AJ295" s="75"/>
      <c r="AK295" s="75"/>
      <c r="AL295" s="75"/>
      <c r="AM295" s="75"/>
      <c r="AN295" s="75"/>
      <c r="AO295" s="75"/>
      <c r="AP295" s="75"/>
      <c r="AQ295" s="75"/>
      <c r="AR295" s="75"/>
    </row>
    <row r="296" spans="1:44" x14ac:dyDescent="0.25">
      <c r="A296" s="75"/>
      <c r="B296" s="75"/>
      <c r="C296" s="75"/>
      <c r="D296" s="75"/>
      <c r="E296" s="84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6"/>
      <c r="AJ296" s="75"/>
      <c r="AK296" s="75"/>
      <c r="AL296" s="75"/>
      <c r="AM296" s="75"/>
      <c r="AN296" s="75"/>
      <c r="AO296" s="75"/>
      <c r="AP296" s="75"/>
      <c r="AQ296" s="75"/>
      <c r="AR296" s="75"/>
    </row>
    <row r="297" spans="1:44" x14ac:dyDescent="0.25">
      <c r="A297" s="75"/>
      <c r="B297" s="75"/>
      <c r="C297" s="75"/>
      <c r="D297" s="75"/>
      <c r="E297" s="84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6"/>
      <c r="AJ297" s="75"/>
      <c r="AK297" s="75"/>
      <c r="AL297" s="75"/>
      <c r="AM297" s="75"/>
      <c r="AN297" s="75"/>
      <c r="AO297" s="75"/>
      <c r="AP297" s="75"/>
      <c r="AQ297" s="75"/>
      <c r="AR297" s="75"/>
    </row>
    <row r="298" spans="1:44" x14ac:dyDescent="0.25">
      <c r="A298" s="75"/>
      <c r="B298" s="75"/>
      <c r="C298" s="75"/>
      <c r="D298" s="75"/>
      <c r="E298" s="84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6"/>
      <c r="AJ298" s="75"/>
      <c r="AK298" s="75"/>
      <c r="AL298" s="75"/>
      <c r="AM298" s="75"/>
      <c r="AN298" s="75"/>
      <c r="AO298" s="75"/>
      <c r="AP298" s="75"/>
      <c r="AQ298" s="75"/>
      <c r="AR298" s="75"/>
    </row>
    <row r="299" spans="1:44" x14ac:dyDescent="0.25">
      <c r="A299" s="75"/>
      <c r="B299" s="75"/>
      <c r="C299" s="75"/>
      <c r="D299" s="75"/>
      <c r="E299" s="84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6"/>
      <c r="AJ299" s="75"/>
      <c r="AK299" s="75"/>
      <c r="AL299" s="75"/>
      <c r="AM299" s="75"/>
      <c r="AN299" s="75"/>
      <c r="AO299" s="75"/>
      <c r="AP299" s="75"/>
      <c r="AQ299" s="75"/>
      <c r="AR299" s="75"/>
    </row>
    <row r="300" spans="1:44" x14ac:dyDescent="0.25">
      <c r="A300" s="75"/>
      <c r="B300" s="75"/>
      <c r="C300" s="75"/>
      <c r="D300" s="75"/>
      <c r="E300" s="84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6"/>
      <c r="AJ300" s="75"/>
      <c r="AK300" s="75"/>
      <c r="AL300" s="75"/>
      <c r="AM300" s="75"/>
      <c r="AN300" s="75"/>
      <c r="AO300" s="75"/>
      <c r="AP300" s="75"/>
      <c r="AQ300" s="75"/>
      <c r="AR300" s="75"/>
    </row>
    <row r="301" spans="1:44" x14ac:dyDescent="0.25">
      <c r="A301" s="75"/>
      <c r="B301" s="75"/>
      <c r="C301" s="75"/>
      <c r="D301" s="75"/>
      <c r="E301" s="84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6"/>
      <c r="AJ301" s="75"/>
      <c r="AK301" s="75"/>
      <c r="AL301" s="75"/>
      <c r="AM301" s="75"/>
      <c r="AN301" s="75"/>
      <c r="AO301" s="75"/>
      <c r="AP301" s="75"/>
      <c r="AQ301" s="75"/>
      <c r="AR301" s="75"/>
    </row>
    <row r="302" spans="1:44" x14ac:dyDescent="0.25">
      <c r="A302" s="75"/>
      <c r="B302" s="75"/>
      <c r="C302" s="75"/>
      <c r="D302" s="75"/>
      <c r="E302" s="84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6"/>
      <c r="AJ302" s="75"/>
      <c r="AK302" s="75"/>
      <c r="AL302" s="75"/>
      <c r="AM302" s="75"/>
      <c r="AN302" s="75"/>
      <c r="AO302" s="75"/>
      <c r="AP302" s="75"/>
      <c r="AQ302" s="75"/>
      <c r="AR302" s="75"/>
    </row>
    <row r="303" spans="1:44" x14ac:dyDescent="0.25">
      <c r="A303" s="75"/>
      <c r="B303" s="75"/>
      <c r="C303" s="75"/>
      <c r="D303" s="75"/>
      <c r="E303" s="84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6"/>
      <c r="AJ303" s="75"/>
      <c r="AK303" s="75"/>
      <c r="AL303" s="75"/>
      <c r="AM303" s="75"/>
      <c r="AN303" s="75"/>
      <c r="AO303" s="75"/>
      <c r="AP303" s="75"/>
      <c r="AQ303" s="75"/>
      <c r="AR303" s="75"/>
    </row>
    <row r="304" spans="1:44" x14ac:dyDescent="0.25">
      <c r="A304" s="75"/>
      <c r="B304" s="75"/>
      <c r="C304" s="75"/>
      <c r="D304" s="75"/>
      <c r="E304" s="84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6"/>
      <c r="AJ304" s="75"/>
      <c r="AK304" s="75"/>
      <c r="AL304" s="75"/>
      <c r="AM304" s="75"/>
      <c r="AN304" s="75"/>
      <c r="AO304" s="75"/>
      <c r="AP304" s="75"/>
      <c r="AQ304" s="75"/>
      <c r="AR304" s="75"/>
    </row>
    <row r="305" spans="1:44" x14ac:dyDescent="0.25">
      <c r="A305" s="75"/>
      <c r="B305" s="75"/>
      <c r="C305" s="75"/>
      <c r="D305" s="75"/>
      <c r="E305" s="84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6"/>
      <c r="AJ305" s="75"/>
      <c r="AK305" s="75"/>
      <c r="AL305" s="75"/>
      <c r="AM305" s="75"/>
      <c r="AN305" s="75"/>
      <c r="AO305" s="75"/>
      <c r="AP305" s="75"/>
      <c r="AQ305" s="75"/>
      <c r="AR305" s="75"/>
    </row>
    <row r="306" spans="1:44" x14ac:dyDescent="0.25">
      <c r="A306" s="75"/>
      <c r="B306" s="75"/>
      <c r="C306" s="75"/>
      <c r="D306" s="75"/>
      <c r="E306" s="84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6"/>
      <c r="AJ306" s="75"/>
      <c r="AK306" s="75"/>
      <c r="AL306" s="75"/>
      <c r="AM306" s="75"/>
      <c r="AN306" s="75"/>
      <c r="AO306" s="75"/>
      <c r="AP306" s="75"/>
      <c r="AQ306" s="75"/>
      <c r="AR306" s="75"/>
    </row>
    <row r="307" spans="1:44" x14ac:dyDescent="0.25">
      <c r="A307" s="75"/>
      <c r="B307" s="75"/>
      <c r="C307" s="75"/>
      <c r="D307" s="75"/>
      <c r="E307" s="84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6"/>
      <c r="AJ307" s="75"/>
      <c r="AK307" s="75"/>
      <c r="AL307" s="75"/>
      <c r="AM307" s="75"/>
      <c r="AN307" s="75"/>
      <c r="AO307" s="75"/>
      <c r="AP307" s="75"/>
      <c r="AQ307" s="75"/>
      <c r="AR307" s="75"/>
    </row>
    <row r="308" spans="1:44" x14ac:dyDescent="0.25">
      <c r="A308" s="75"/>
      <c r="B308" s="75"/>
      <c r="C308" s="75"/>
      <c r="D308" s="75"/>
      <c r="E308" s="84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6"/>
      <c r="AJ308" s="75"/>
      <c r="AK308" s="75"/>
      <c r="AL308" s="75"/>
      <c r="AM308" s="75"/>
      <c r="AN308" s="75"/>
      <c r="AO308" s="75"/>
      <c r="AP308" s="75"/>
      <c r="AQ308" s="75"/>
      <c r="AR308" s="75"/>
    </row>
    <row r="309" spans="1:44" x14ac:dyDescent="0.25">
      <c r="A309" s="75"/>
      <c r="B309" s="75"/>
      <c r="C309" s="75"/>
      <c r="D309" s="75"/>
      <c r="E309" s="84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6"/>
      <c r="AJ309" s="75"/>
      <c r="AK309" s="75"/>
      <c r="AL309" s="75"/>
      <c r="AM309" s="75"/>
      <c r="AN309" s="75"/>
      <c r="AO309" s="75"/>
      <c r="AP309" s="75"/>
      <c r="AQ309" s="75"/>
      <c r="AR309" s="75"/>
    </row>
    <row r="310" spans="1:44" x14ac:dyDescent="0.25">
      <c r="A310" s="75"/>
      <c r="B310" s="75"/>
      <c r="C310" s="75"/>
      <c r="D310" s="75"/>
      <c r="E310" s="84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6"/>
      <c r="AJ310" s="75"/>
      <c r="AK310" s="75"/>
      <c r="AL310" s="75"/>
      <c r="AM310" s="75"/>
      <c r="AN310" s="75"/>
      <c r="AO310" s="75"/>
      <c r="AP310" s="75"/>
      <c r="AQ310" s="75"/>
      <c r="AR310" s="75"/>
    </row>
    <row r="311" spans="1:44" x14ac:dyDescent="0.25">
      <c r="A311" s="75"/>
      <c r="B311" s="75"/>
      <c r="C311" s="75"/>
      <c r="D311" s="75"/>
      <c r="E311" s="84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6"/>
      <c r="AJ311" s="75"/>
      <c r="AK311" s="75"/>
      <c r="AL311" s="75"/>
      <c r="AM311" s="75"/>
      <c r="AN311" s="75"/>
      <c r="AO311" s="75"/>
      <c r="AP311" s="75"/>
      <c r="AQ311" s="75"/>
      <c r="AR311" s="75"/>
    </row>
    <row r="312" spans="1:44" x14ac:dyDescent="0.25">
      <c r="A312" s="75"/>
      <c r="B312" s="75"/>
      <c r="C312" s="75"/>
      <c r="D312" s="75"/>
      <c r="E312" s="84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6"/>
      <c r="AJ312" s="75"/>
      <c r="AK312" s="75"/>
      <c r="AL312" s="75"/>
      <c r="AM312" s="75"/>
      <c r="AN312" s="75"/>
      <c r="AO312" s="75"/>
      <c r="AP312" s="75"/>
      <c r="AQ312" s="75"/>
      <c r="AR312" s="75"/>
    </row>
    <row r="313" spans="1:44" x14ac:dyDescent="0.25">
      <c r="A313" s="75"/>
      <c r="B313" s="75"/>
      <c r="C313" s="75"/>
      <c r="D313" s="75"/>
      <c r="E313" s="84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6"/>
      <c r="AJ313" s="75"/>
      <c r="AK313" s="75"/>
      <c r="AL313" s="75"/>
      <c r="AM313" s="75"/>
      <c r="AN313" s="75"/>
      <c r="AO313" s="75"/>
      <c r="AP313" s="75"/>
      <c r="AQ313" s="75"/>
      <c r="AR313" s="75"/>
    </row>
    <row r="314" spans="1:44" x14ac:dyDescent="0.25">
      <c r="A314" s="75"/>
      <c r="B314" s="75"/>
      <c r="C314" s="75"/>
      <c r="D314" s="75"/>
      <c r="E314" s="84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6"/>
      <c r="AJ314" s="75"/>
      <c r="AK314" s="75"/>
      <c r="AL314" s="75"/>
      <c r="AM314" s="75"/>
      <c r="AN314" s="75"/>
      <c r="AO314" s="75"/>
      <c r="AP314" s="75"/>
      <c r="AQ314" s="75"/>
      <c r="AR314" s="75"/>
    </row>
    <row r="315" spans="1:44" x14ac:dyDescent="0.25">
      <c r="A315" s="75"/>
      <c r="B315" s="75"/>
      <c r="C315" s="75"/>
      <c r="D315" s="75"/>
      <c r="E315" s="84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6"/>
      <c r="AJ315" s="75"/>
      <c r="AK315" s="75"/>
      <c r="AL315" s="75"/>
      <c r="AM315" s="75"/>
      <c r="AN315" s="75"/>
      <c r="AO315" s="75"/>
      <c r="AP315" s="75"/>
      <c r="AQ315" s="75"/>
      <c r="AR315" s="75"/>
    </row>
    <row r="316" spans="1:44" x14ac:dyDescent="0.25">
      <c r="A316" s="75"/>
      <c r="B316" s="75"/>
      <c r="C316" s="75"/>
      <c r="D316" s="75"/>
      <c r="E316" s="84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6"/>
      <c r="AJ316" s="75"/>
      <c r="AK316" s="75"/>
      <c r="AL316" s="75"/>
      <c r="AM316" s="75"/>
      <c r="AN316" s="75"/>
      <c r="AO316" s="75"/>
      <c r="AP316" s="75"/>
      <c r="AQ316" s="75"/>
      <c r="AR316" s="75"/>
    </row>
    <row r="317" spans="1:44" x14ac:dyDescent="0.25">
      <c r="A317" s="75"/>
      <c r="B317" s="75"/>
      <c r="C317" s="75"/>
      <c r="D317" s="75"/>
      <c r="E317" s="84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6"/>
      <c r="AJ317" s="75"/>
      <c r="AK317" s="75"/>
      <c r="AL317" s="75"/>
      <c r="AM317" s="75"/>
      <c r="AN317" s="75"/>
      <c r="AO317" s="75"/>
      <c r="AP317" s="75"/>
      <c r="AQ317" s="75"/>
      <c r="AR317" s="75"/>
    </row>
    <row r="318" spans="1:44" x14ac:dyDescent="0.25">
      <c r="A318" s="75"/>
      <c r="B318" s="75"/>
      <c r="C318" s="75"/>
      <c r="D318" s="75"/>
      <c r="E318" s="84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6"/>
      <c r="AJ318" s="75"/>
      <c r="AK318" s="75"/>
      <c r="AL318" s="75"/>
      <c r="AM318" s="75"/>
      <c r="AN318" s="75"/>
      <c r="AO318" s="75"/>
      <c r="AP318" s="75"/>
      <c r="AQ318" s="75"/>
      <c r="AR318" s="75"/>
    </row>
    <row r="319" spans="1:44" x14ac:dyDescent="0.25">
      <c r="A319" s="75"/>
      <c r="B319" s="75"/>
      <c r="C319" s="75"/>
      <c r="D319" s="75"/>
      <c r="E319" s="84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6"/>
      <c r="AJ319" s="75"/>
      <c r="AK319" s="75"/>
      <c r="AL319" s="75"/>
      <c r="AM319" s="75"/>
      <c r="AN319" s="75"/>
      <c r="AO319" s="75"/>
      <c r="AP319" s="75"/>
      <c r="AQ319" s="75"/>
      <c r="AR319" s="75"/>
    </row>
    <row r="320" spans="1:44" x14ac:dyDescent="0.25">
      <c r="A320" s="75"/>
      <c r="B320" s="75"/>
      <c r="C320" s="75"/>
      <c r="D320" s="75"/>
      <c r="E320" s="84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6"/>
      <c r="AJ320" s="75"/>
      <c r="AK320" s="75"/>
      <c r="AL320" s="75"/>
      <c r="AM320" s="75"/>
      <c r="AN320" s="75"/>
      <c r="AO320" s="75"/>
      <c r="AP320" s="75"/>
      <c r="AQ320" s="75"/>
      <c r="AR320" s="75"/>
    </row>
    <row r="321" spans="1:44" x14ac:dyDescent="0.25">
      <c r="A321" s="75"/>
      <c r="B321" s="75"/>
      <c r="C321" s="75"/>
      <c r="D321" s="75"/>
      <c r="E321" s="84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6"/>
      <c r="AJ321" s="75"/>
      <c r="AK321" s="75"/>
      <c r="AL321" s="75"/>
      <c r="AM321" s="75"/>
      <c r="AN321" s="75"/>
      <c r="AO321" s="75"/>
      <c r="AP321" s="75"/>
      <c r="AQ321" s="75"/>
      <c r="AR321" s="75"/>
    </row>
    <row r="322" spans="1:44" x14ac:dyDescent="0.25">
      <c r="A322" s="75"/>
      <c r="B322" s="75"/>
      <c r="C322" s="75"/>
      <c r="D322" s="75"/>
      <c r="E322" s="84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6"/>
      <c r="AJ322" s="75"/>
      <c r="AK322" s="75"/>
      <c r="AL322" s="75"/>
      <c r="AM322" s="75"/>
      <c r="AN322" s="75"/>
      <c r="AO322" s="75"/>
      <c r="AP322" s="75"/>
      <c r="AQ322" s="75"/>
      <c r="AR322" s="75"/>
    </row>
    <row r="323" spans="1:44" x14ac:dyDescent="0.25">
      <c r="A323" s="75"/>
      <c r="B323" s="75"/>
      <c r="C323" s="75"/>
      <c r="D323" s="75"/>
      <c r="E323" s="84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6"/>
      <c r="AJ323" s="75"/>
      <c r="AK323" s="75"/>
      <c r="AL323" s="75"/>
      <c r="AM323" s="75"/>
      <c r="AN323" s="75"/>
      <c r="AO323" s="75"/>
      <c r="AP323" s="75"/>
      <c r="AQ323" s="75"/>
      <c r="AR323" s="75"/>
    </row>
    <row r="324" spans="1:44" x14ac:dyDescent="0.25">
      <c r="A324" s="75"/>
      <c r="B324" s="75"/>
      <c r="C324" s="75"/>
      <c r="D324" s="75"/>
      <c r="E324" s="84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6"/>
      <c r="AJ324" s="75"/>
      <c r="AK324" s="75"/>
      <c r="AL324" s="75"/>
      <c r="AM324" s="75"/>
      <c r="AN324" s="75"/>
      <c r="AO324" s="75"/>
      <c r="AP324" s="75"/>
      <c r="AQ324" s="75"/>
      <c r="AR324" s="75"/>
    </row>
    <row r="325" spans="1:44" x14ac:dyDescent="0.25">
      <c r="A325" s="75"/>
      <c r="B325" s="75"/>
      <c r="C325" s="75"/>
      <c r="D325" s="75"/>
      <c r="E325" s="84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6"/>
      <c r="AJ325" s="75"/>
      <c r="AK325" s="75"/>
      <c r="AL325" s="75"/>
      <c r="AM325" s="75"/>
      <c r="AN325" s="75"/>
      <c r="AO325" s="75"/>
      <c r="AP325" s="75"/>
      <c r="AQ325" s="75"/>
      <c r="AR325" s="75"/>
    </row>
    <row r="326" spans="1:44" x14ac:dyDescent="0.25">
      <c r="A326" s="75"/>
      <c r="B326" s="75"/>
      <c r="C326" s="75"/>
      <c r="D326" s="75"/>
      <c r="E326" s="84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6"/>
      <c r="AJ326" s="75"/>
      <c r="AK326" s="75"/>
      <c r="AL326" s="75"/>
      <c r="AM326" s="75"/>
      <c r="AN326" s="75"/>
      <c r="AO326" s="75"/>
      <c r="AP326" s="75"/>
      <c r="AQ326" s="75"/>
      <c r="AR326" s="75"/>
    </row>
    <row r="327" spans="1:44" x14ac:dyDescent="0.25">
      <c r="A327" s="75"/>
      <c r="B327" s="75"/>
      <c r="C327" s="75"/>
      <c r="D327" s="75"/>
      <c r="E327" s="84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6"/>
      <c r="AJ327" s="75"/>
      <c r="AK327" s="75"/>
      <c r="AL327" s="75"/>
      <c r="AM327" s="75"/>
      <c r="AN327" s="75"/>
      <c r="AO327" s="75"/>
      <c r="AP327" s="75"/>
      <c r="AQ327" s="75"/>
      <c r="AR327" s="75"/>
    </row>
    <row r="328" spans="1:44" x14ac:dyDescent="0.25">
      <c r="A328" s="75"/>
      <c r="B328" s="75"/>
      <c r="C328" s="75"/>
      <c r="D328" s="75"/>
      <c r="E328" s="84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6"/>
      <c r="AJ328" s="75"/>
      <c r="AK328" s="75"/>
      <c r="AL328" s="75"/>
      <c r="AM328" s="75"/>
      <c r="AN328" s="75"/>
      <c r="AO328" s="75"/>
      <c r="AP328" s="75"/>
      <c r="AQ328" s="75"/>
      <c r="AR328" s="75"/>
    </row>
    <row r="329" spans="1:44" x14ac:dyDescent="0.25">
      <c r="A329" s="75"/>
      <c r="B329" s="75"/>
      <c r="C329" s="75"/>
      <c r="D329" s="75"/>
      <c r="E329" s="84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6"/>
      <c r="AJ329" s="75"/>
      <c r="AK329" s="75"/>
      <c r="AL329" s="75"/>
      <c r="AM329" s="75"/>
      <c r="AN329" s="75"/>
      <c r="AO329" s="75"/>
      <c r="AP329" s="75"/>
      <c r="AQ329" s="75"/>
      <c r="AR329" s="75"/>
    </row>
    <row r="330" spans="1:44" x14ac:dyDescent="0.25">
      <c r="A330" s="75"/>
      <c r="B330" s="75"/>
      <c r="C330" s="75"/>
      <c r="D330" s="75"/>
      <c r="E330" s="84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6"/>
      <c r="AJ330" s="75"/>
      <c r="AK330" s="75"/>
      <c r="AL330" s="75"/>
      <c r="AM330" s="75"/>
      <c r="AN330" s="75"/>
      <c r="AO330" s="75"/>
      <c r="AP330" s="75"/>
      <c r="AQ330" s="75"/>
      <c r="AR330" s="75"/>
    </row>
    <row r="331" spans="1:44" x14ac:dyDescent="0.25">
      <c r="A331" s="75"/>
      <c r="B331" s="75"/>
      <c r="C331" s="75"/>
      <c r="D331" s="75"/>
      <c r="E331" s="84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6"/>
      <c r="AJ331" s="75"/>
      <c r="AK331" s="75"/>
      <c r="AL331" s="75"/>
      <c r="AM331" s="75"/>
      <c r="AN331" s="75"/>
      <c r="AO331" s="75"/>
      <c r="AP331" s="75"/>
      <c r="AQ331" s="75"/>
      <c r="AR331" s="75"/>
    </row>
    <row r="332" spans="1:44" x14ac:dyDescent="0.25">
      <c r="A332" s="75"/>
      <c r="B332" s="75"/>
      <c r="C332" s="75"/>
      <c r="D332" s="75"/>
      <c r="E332" s="84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6"/>
      <c r="AJ332" s="75"/>
      <c r="AK332" s="75"/>
      <c r="AL332" s="75"/>
      <c r="AM332" s="75"/>
      <c r="AN332" s="75"/>
      <c r="AO332" s="75"/>
      <c r="AP332" s="75"/>
      <c r="AQ332" s="75"/>
      <c r="AR332" s="75"/>
    </row>
    <row r="333" spans="1:44" x14ac:dyDescent="0.25">
      <c r="A333" s="75"/>
      <c r="B333" s="75"/>
      <c r="C333" s="75"/>
      <c r="D333" s="75"/>
      <c r="E333" s="84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6"/>
      <c r="AJ333" s="75"/>
      <c r="AK333" s="75"/>
      <c r="AL333" s="75"/>
      <c r="AM333" s="75"/>
      <c r="AN333" s="75"/>
      <c r="AO333" s="75"/>
      <c r="AP333" s="75"/>
      <c r="AQ333" s="75"/>
      <c r="AR333" s="75"/>
    </row>
    <row r="334" spans="1:44" x14ac:dyDescent="0.25">
      <c r="A334" s="75"/>
      <c r="B334" s="75"/>
      <c r="C334" s="75"/>
      <c r="D334" s="75"/>
      <c r="E334" s="84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6"/>
      <c r="AJ334" s="75"/>
      <c r="AK334" s="75"/>
      <c r="AL334" s="75"/>
      <c r="AM334" s="75"/>
      <c r="AN334" s="75"/>
      <c r="AO334" s="75"/>
      <c r="AP334" s="75"/>
      <c r="AQ334" s="75"/>
      <c r="AR334" s="75"/>
    </row>
    <row r="335" spans="1:44" x14ac:dyDescent="0.25">
      <c r="A335" s="75"/>
      <c r="B335" s="75"/>
      <c r="C335" s="75"/>
      <c r="D335" s="75"/>
      <c r="E335" s="84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6"/>
      <c r="AJ335" s="75"/>
      <c r="AK335" s="75"/>
      <c r="AL335" s="75"/>
      <c r="AM335" s="75"/>
      <c r="AN335" s="75"/>
      <c r="AO335" s="75"/>
      <c r="AP335" s="75"/>
      <c r="AQ335" s="75"/>
      <c r="AR335" s="75"/>
    </row>
    <row r="336" spans="1:44" x14ac:dyDescent="0.25">
      <c r="A336" s="75"/>
      <c r="B336" s="75"/>
      <c r="C336" s="75"/>
      <c r="D336" s="75"/>
      <c r="E336" s="84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6"/>
      <c r="AJ336" s="75"/>
      <c r="AK336" s="75"/>
      <c r="AL336" s="75"/>
      <c r="AM336" s="75"/>
      <c r="AN336" s="75"/>
      <c r="AO336" s="75"/>
      <c r="AP336" s="75"/>
      <c r="AQ336" s="75"/>
      <c r="AR336" s="75"/>
    </row>
    <row r="337" spans="1:44" x14ac:dyDescent="0.25">
      <c r="A337" s="75"/>
      <c r="B337" s="75"/>
      <c r="C337" s="75"/>
      <c r="D337" s="75"/>
      <c r="E337" s="84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6"/>
      <c r="AJ337" s="75"/>
      <c r="AK337" s="75"/>
      <c r="AL337" s="75"/>
      <c r="AM337" s="75"/>
      <c r="AN337" s="75"/>
      <c r="AO337" s="75"/>
      <c r="AP337" s="75"/>
      <c r="AQ337" s="75"/>
      <c r="AR337" s="75"/>
    </row>
    <row r="338" spans="1:44" x14ac:dyDescent="0.25">
      <c r="A338" s="75"/>
      <c r="B338" s="75"/>
      <c r="C338" s="75"/>
      <c r="D338" s="75"/>
      <c r="E338" s="84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6"/>
      <c r="AJ338" s="75"/>
      <c r="AK338" s="75"/>
      <c r="AL338" s="75"/>
      <c r="AM338" s="75"/>
      <c r="AN338" s="75"/>
      <c r="AO338" s="75"/>
      <c r="AP338" s="75"/>
      <c r="AQ338" s="75"/>
      <c r="AR338" s="75"/>
    </row>
    <row r="339" spans="1:44" x14ac:dyDescent="0.25">
      <c r="A339" s="75"/>
      <c r="B339" s="75"/>
      <c r="C339" s="75"/>
      <c r="D339" s="75"/>
      <c r="E339" s="84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6"/>
      <c r="AJ339" s="75"/>
      <c r="AK339" s="75"/>
      <c r="AL339" s="75"/>
      <c r="AM339" s="75"/>
      <c r="AN339" s="75"/>
      <c r="AO339" s="75"/>
      <c r="AP339" s="75"/>
      <c r="AQ339" s="75"/>
      <c r="AR339" s="75"/>
    </row>
    <row r="340" spans="1:44" x14ac:dyDescent="0.25">
      <c r="A340" s="75"/>
      <c r="B340" s="75"/>
      <c r="C340" s="75"/>
      <c r="D340" s="75"/>
      <c r="E340" s="84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6"/>
      <c r="AJ340" s="75"/>
      <c r="AK340" s="75"/>
      <c r="AL340" s="75"/>
      <c r="AM340" s="75"/>
      <c r="AN340" s="75"/>
      <c r="AO340" s="75"/>
      <c r="AP340" s="75"/>
      <c r="AQ340" s="75"/>
      <c r="AR340" s="75"/>
    </row>
    <row r="341" spans="1:44" x14ac:dyDescent="0.25">
      <c r="A341" s="75"/>
      <c r="B341" s="75"/>
      <c r="C341" s="75"/>
      <c r="D341" s="75"/>
      <c r="E341" s="84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6"/>
      <c r="AJ341" s="75"/>
      <c r="AK341" s="75"/>
      <c r="AL341" s="75"/>
      <c r="AM341" s="75"/>
      <c r="AN341" s="75"/>
      <c r="AO341" s="75"/>
      <c r="AP341" s="75"/>
      <c r="AQ341" s="75"/>
      <c r="AR341" s="75"/>
    </row>
    <row r="342" spans="1:44" x14ac:dyDescent="0.25">
      <c r="A342" s="75"/>
      <c r="B342" s="75"/>
      <c r="C342" s="75"/>
      <c r="D342" s="75"/>
      <c r="E342" s="84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6"/>
      <c r="AJ342" s="75"/>
      <c r="AK342" s="75"/>
      <c r="AL342" s="75"/>
      <c r="AM342" s="75"/>
      <c r="AN342" s="75"/>
      <c r="AO342" s="75"/>
      <c r="AP342" s="75"/>
      <c r="AQ342" s="75"/>
      <c r="AR342" s="75"/>
    </row>
    <row r="343" spans="1:44" x14ac:dyDescent="0.25">
      <c r="A343" s="75"/>
      <c r="B343" s="75"/>
      <c r="C343" s="75"/>
      <c r="D343" s="75"/>
      <c r="E343" s="84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6"/>
      <c r="AJ343" s="75"/>
      <c r="AK343" s="75"/>
      <c r="AL343" s="75"/>
      <c r="AM343" s="75"/>
      <c r="AN343" s="75"/>
      <c r="AO343" s="75"/>
      <c r="AP343" s="75"/>
      <c r="AQ343" s="75"/>
      <c r="AR343" s="75"/>
    </row>
    <row r="344" spans="1:44" x14ac:dyDescent="0.25">
      <c r="A344" s="75"/>
      <c r="B344" s="75"/>
      <c r="C344" s="75"/>
      <c r="D344" s="75"/>
      <c r="E344" s="84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6"/>
      <c r="AJ344" s="75"/>
      <c r="AK344" s="75"/>
      <c r="AL344" s="75"/>
      <c r="AM344" s="75"/>
      <c r="AN344" s="75"/>
      <c r="AO344" s="75"/>
      <c r="AP344" s="75"/>
      <c r="AQ344" s="75"/>
      <c r="AR344" s="75"/>
    </row>
    <row r="345" spans="1:44" x14ac:dyDescent="0.25">
      <c r="A345" s="75"/>
      <c r="B345" s="75"/>
      <c r="C345" s="75"/>
      <c r="D345" s="75"/>
      <c r="E345" s="84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6"/>
      <c r="AJ345" s="75"/>
      <c r="AK345" s="75"/>
      <c r="AL345" s="75"/>
      <c r="AM345" s="75"/>
      <c r="AN345" s="75"/>
      <c r="AO345" s="75"/>
      <c r="AP345" s="75"/>
      <c r="AQ345" s="75"/>
      <c r="AR345" s="75"/>
    </row>
    <row r="346" spans="1:44" x14ac:dyDescent="0.25">
      <c r="A346" s="75"/>
      <c r="B346" s="75"/>
      <c r="C346" s="75"/>
      <c r="D346" s="75"/>
      <c r="E346" s="84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6"/>
      <c r="AJ346" s="75"/>
      <c r="AK346" s="75"/>
      <c r="AL346" s="75"/>
      <c r="AM346" s="75"/>
      <c r="AN346" s="75"/>
      <c r="AO346" s="75"/>
      <c r="AP346" s="75"/>
      <c r="AQ346" s="75"/>
      <c r="AR346" s="75"/>
    </row>
    <row r="347" spans="1:44" x14ac:dyDescent="0.25">
      <c r="A347" s="75"/>
      <c r="B347" s="75"/>
      <c r="C347" s="75"/>
      <c r="D347" s="75"/>
      <c r="E347" s="84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6"/>
      <c r="AJ347" s="75"/>
      <c r="AK347" s="75"/>
      <c r="AL347" s="75"/>
      <c r="AM347" s="75"/>
      <c r="AN347" s="75"/>
      <c r="AO347" s="75"/>
      <c r="AP347" s="75"/>
      <c r="AQ347" s="75"/>
      <c r="AR347" s="75"/>
    </row>
    <row r="348" spans="1:44" x14ac:dyDescent="0.25">
      <c r="A348" s="75"/>
      <c r="B348" s="75"/>
      <c r="C348" s="75"/>
      <c r="D348" s="75"/>
      <c r="E348" s="84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6"/>
      <c r="AJ348" s="75"/>
      <c r="AK348" s="75"/>
      <c r="AL348" s="75"/>
      <c r="AM348" s="75"/>
      <c r="AN348" s="75"/>
      <c r="AO348" s="75"/>
      <c r="AP348" s="75"/>
      <c r="AQ348" s="75"/>
      <c r="AR348" s="75"/>
    </row>
    <row r="349" spans="1:44" x14ac:dyDescent="0.25">
      <c r="A349" s="75"/>
      <c r="B349" s="75"/>
      <c r="C349" s="75"/>
      <c r="D349" s="75"/>
      <c r="E349" s="84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6"/>
      <c r="AJ349" s="75"/>
      <c r="AK349" s="75"/>
      <c r="AL349" s="75"/>
      <c r="AM349" s="75"/>
      <c r="AN349" s="75"/>
      <c r="AO349" s="75"/>
      <c r="AP349" s="75"/>
      <c r="AQ349" s="75"/>
      <c r="AR349" s="75"/>
    </row>
    <row r="350" spans="1:44" x14ac:dyDescent="0.25">
      <c r="A350" s="75"/>
      <c r="B350" s="75"/>
      <c r="C350" s="75"/>
      <c r="D350" s="75"/>
      <c r="E350" s="84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6"/>
      <c r="AJ350" s="75"/>
      <c r="AK350" s="75"/>
      <c r="AL350" s="75"/>
      <c r="AM350" s="75"/>
      <c r="AN350" s="75"/>
      <c r="AO350" s="75"/>
      <c r="AP350" s="75"/>
      <c r="AQ350" s="75"/>
      <c r="AR350" s="75"/>
    </row>
    <row r="351" spans="1:44" x14ac:dyDescent="0.25">
      <c r="A351" s="75"/>
      <c r="B351" s="75"/>
      <c r="C351" s="75"/>
      <c r="D351" s="75"/>
      <c r="E351" s="84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6"/>
      <c r="AJ351" s="75"/>
      <c r="AK351" s="75"/>
      <c r="AL351" s="75"/>
      <c r="AM351" s="75"/>
      <c r="AN351" s="75"/>
      <c r="AO351" s="75"/>
      <c r="AP351" s="75"/>
      <c r="AQ351" s="75"/>
      <c r="AR351" s="75"/>
    </row>
    <row r="352" spans="1:44" x14ac:dyDescent="0.25">
      <c r="A352" s="75"/>
      <c r="B352" s="75"/>
      <c r="C352" s="75"/>
      <c r="D352" s="75"/>
      <c r="E352" s="84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6"/>
      <c r="AJ352" s="75"/>
      <c r="AK352" s="75"/>
      <c r="AL352" s="75"/>
      <c r="AM352" s="75"/>
      <c r="AN352" s="75"/>
      <c r="AO352" s="75"/>
      <c r="AP352" s="75"/>
      <c r="AQ352" s="75"/>
      <c r="AR352" s="75"/>
    </row>
    <row r="353" spans="1:44" x14ac:dyDescent="0.25">
      <c r="A353" s="75"/>
      <c r="B353" s="75"/>
      <c r="C353" s="75"/>
      <c r="D353" s="75"/>
      <c r="E353" s="84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6"/>
      <c r="AJ353" s="75"/>
      <c r="AK353" s="75"/>
      <c r="AL353" s="75"/>
      <c r="AM353" s="75"/>
      <c r="AN353" s="75"/>
      <c r="AO353" s="75"/>
      <c r="AP353" s="75"/>
      <c r="AQ353" s="75"/>
      <c r="AR353" s="75"/>
    </row>
    <row r="354" spans="1:44" x14ac:dyDescent="0.25">
      <c r="A354" s="75"/>
      <c r="B354" s="75"/>
      <c r="C354" s="75"/>
      <c r="D354" s="75"/>
      <c r="E354" s="84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6"/>
      <c r="AJ354" s="75"/>
      <c r="AK354" s="75"/>
      <c r="AL354" s="75"/>
      <c r="AM354" s="75"/>
      <c r="AN354" s="75"/>
      <c r="AO354" s="75"/>
      <c r="AP354" s="75"/>
      <c r="AQ354" s="75"/>
      <c r="AR354" s="75"/>
    </row>
    <row r="355" spans="1:44" x14ac:dyDescent="0.25">
      <c r="A355" s="75"/>
      <c r="B355" s="75"/>
      <c r="C355" s="75"/>
      <c r="D355" s="75"/>
      <c r="E355" s="84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6"/>
      <c r="AJ355" s="75"/>
      <c r="AK355" s="75"/>
      <c r="AL355" s="75"/>
      <c r="AM355" s="75"/>
      <c r="AN355" s="75"/>
      <c r="AO355" s="75"/>
      <c r="AP355" s="75"/>
      <c r="AQ355" s="75"/>
      <c r="AR355" s="75"/>
    </row>
    <row r="356" spans="1:44" x14ac:dyDescent="0.25">
      <c r="A356" s="75"/>
      <c r="B356" s="75"/>
      <c r="C356" s="75"/>
      <c r="D356" s="75"/>
      <c r="E356" s="84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6"/>
      <c r="AJ356" s="75"/>
      <c r="AK356" s="75"/>
      <c r="AL356" s="75"/>
      <c r="AM356" s="75"/>
      <c r="AN356" s="75"/>
      <c r="AO356" s="75"/>
      <c r="AP356" s="75"/>
      <c r="AQ356" s="75"/>
      <c r="AR356" s="75"/>
    </row>
    <row r="357" spans="1:44" x14ac:dyDescent="0.25">
      <c r="A357" s="75"/>
      <c r="B357" s="75"/>
      <c r="C357" s="75"/>
      <c r="D357" s="75"/>
      <c r="E357" s="84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6"/>
      <c r="AJ357" s="75"/>
      <c r="AK357" s="75"/>
      <c r="AL357" s="75"/>
      <c r="AM357" s="75"/>
      <c r="AN357" s="75"/>
      <c r="AO357" s="75"/>
      <c r="AP357" s="75"/>
      <c r="AQ357" s="75"/>
      <c r="AR357" s="75"/>
    </row>
    <row r="358" spans="1:44" x14ac:dyDescent="0.25">
      <c r="A358" s="75"/>
      <c r="B358" s="75"/>
      <c r="C358" s="75"/>
      <c r="D358" s="75"/>
      <c r="E358" s="84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6"/>
      <c r="AJ358" s="75"/>
      <c r="AK358" s="75"/>
      <c r="AL358" s="75"/>
      <c r="AM358" s="75"/>
      <c r="AN358" s="75"/>
      <c r="AO358" s="75"/>
      <c r="AP358" s="75"/>
      <c r="AQ358" s="75"/>
      <c r="AR358" s="75"/>
    </row>
    <row r="359" spans="1:44" x14ac:dyDescent="0.25">
      <c r="A359" s="75"/>
      <c r="B359" s="75"/>
      <c r="C359" s="75"/>
      <c r="D359" s="75"/>
      <c r="E359" s="84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6"/>
      <c r="AJ359" s="75"/>
      <c r="AK359" s="75"/>
      <c r="AL359" s="75"/>
      <c r="AM359" s="75"/>
      <c r="AN359" s="75"/>
      <c r="AO359" s="75"/>
      <c r="AP359" s="75"/>
      <c r="AQ359" s="75"/>
      <c r="AR359" s="75"/>
    </row>
    <row r="360" spans="1:44" x14ac:dyDescent="0.25">
      <c r="A360" s="75"/>
      <c r="B360" s="75"/>
      <c r="C360" s="75"/>
      <c r="D360" s="75"/>
      <c r="E360" s="84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6"/>
      <c r="AJ360" s="75"/>
      <c r="AK360" s="75"/>
      <c r="AL360" s="75"/>
      <c r="AM360" s="75"/>
      <c r="AN360" s="75"/>
      <c r="AO360" s="75"/>
      <c r="AP360" s="75"/>
      <c r="AQ360" s="75"/>
      <c r="AR360" s="75"/>
    </row>
    <row r="361" spans="1:44" x14ac:dyDescent="0.25">
      <c r="A361" s="75"/>
      <c r="B361" s="75"/>
      <c r="C361" s="75"/>
      <c r="D361" s="75"/>
      <c r="E361" s="84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6"/>
      <c r="AJ361" s="75"/>
      <c r="AK361" s="75"/>
      <c r="AL361" s="75"/>
      <c r="AM361" s="75"/>
      <c r="AN361" s="75"/>
      <c r="AO361" s="75"/>
      <c r="AP361" s="75"/>
      <c r="AQ361" s="75"/>
      <c r="AR361" s="75"/>
    </row>
    <row r="362" spans="1:44" x14ac:dyDescent="0.25">
      <c r="A362" s="75"/>
      <c r="B362" s="75"/>
      <c r="C362" s="75"/>
      <c r="D362" s="75"/>
      <c r="E362" s="84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6"/>
      <c r="AJ362" s="75"/>
      <c r="AK362" s="75"/>
      <c r="AL362" s="75"/>
      <c r="AM362" s="75"/>
      <c r="AN362" s="75"/>
      <c r="AO362" s="75"/>
      <c r="AP362" s="75"/>
      <c r="AQ362" s="75"/>
      <c r="AR362" s="75"/>
    </row>
    <row r="363" spans="1:44" x14ac:dyDescent="0.25">
      <c r="A363" s="75"/>
      <c r="B363" s="75"/>
      <c r="C363" s="75"/>
      <c r="D363" s="75"/>
      <c r="E363" s="84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6"/>
      <c r="AJ363" s="75"/>
      <c r="AK363" s="75"/>
      <c r="AL363" s="75"/>
      <c r="AM363" s="75"/>
      <c r="AN363" s="75"/>
      <c r="AO363" s="75"/>
      <c r="AP363" s="75"/>
      <c r="AQ363" s="75"/>
      <c r="AR363" s="75"/>
    </row>
    <row r="364" spans="1:44" x14ac:dyDescent="0.25">
      <c r="A364" s="75"/>
      <c r="B364" s="75"/>
      <c r="C364" s="75"/>
      <c r="D364" s="75"/>
      <c r="E364" s="84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6"/>
      <c r="AJ364" s="75"/>
      <c r="AK364" s="75"/>
      <c r="AL364" s="75"/>
      <c r="AM364" s="75"/>
      <c r="AN364" s="75"/>
      <c r="AO364" s="75"/>
      <c r="AP364" s="75"/>
      <c r="AQ364" s="75"/>
      <c r="AR364" s="75"/>
    </row>
    <row r="365" spans="1:44" x14ac:dyDescent="0.25">
      <c r="A365" s="75"/>
      <c r="B365" s="75"/>
      <c r="C365" s="75"/>
      <c r="D365" s="75"/>
      <c r="E365" s="84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6"/>
      <c r="AJ365" s="75"/>
      <c r="AK365" s="75"/>
      <c r="AL365" s="75"/>
      <c r="AM365" s="75"/>
      <c r="AN365" s="75"/>
      <c r="AO365" s="75"/>
      <c r="AP365" s="75"/>
      <c r="AQ365" s="75"/>
      <c r="AR365" s="75"/>
    </row>
    <row r="366" spans="1:44" x14ac:dyDescent="0.25">
      <c r="A366" s="75"/>
      <c r="B366" s="75"/>
      <c r="C366" s="75"/>
      <c r="D366" s="75"/>
      <c r="E366" s="84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6"/>
      <c r="AJ366" s="75"/>
      <c r="AK366" s="75"/>
      <c r="AL366" s="75"/>
      <c r="AM366" s="75"/>
      <c r="AN366" s="75"/>
      <c r="AO366" s="75"/>
      <c r="AP366" s="75"/>
      <c r="AQ366" s="75"/>
      <c r="AR366" s="75"/>
    </row>
    <row r="367" spans="1:44" x14ac:dyDescent="0.25">
      <c r="A367" s="75"/>
      <c r="B367" s="75"/>
      <c r="C367" s="75"/>
      <c r="D367" s="75"/>
      <c r="E367" s="84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6"/>
      <c r="AJ367" s="75"/>
      <c r="AK367" s="75"/>
      <c r="AL367" s="75"/>
      <c r="AM367" s="75"/>
      <c r="AN367" s="75"/>
      <c r="AO367" s="75"/>
      <c r="AP367" s="75"/>
      <c r="AQ367" s="75"/>
      <c r="AR367" s="75"/>
    </row>
    <row r="368" spans="1:44" x14ac:dyDescent="0.25">
      <c r="A368" s="75"/>
      <c r="B368" s="75"/>
      <c r="C368" s="75"/>
      <c r="D368" s="75"/>
      <c r="E368" s="84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6"/>
      <c r="AJ368" s="75"/>
      <c r="AK368" s="75"/>
      <c r="AL368" s="75"/>
      <c r="AM368" s="75"/>
      <c r="AN368" s="75"/>
      <c r="AO368" s="75"/>
      <c r="AP368" s="75"/>
      <c r="AQ368" s="75"/>
      <c r="AR368" s="75"/>
    </row>
    <row r="369" spans="1:44" x14ac:dyDescent="0.25">
      <c r="A369" s="75"/>
      <c r="B369" s="75"/>
      <c r="C369" s="75"/>
      <c r="D369" s="75"/>
      <c r="E369" s="84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6"/>
      <c r="AJ369" s="75"/>
      <c r="AK369" s="75"/>
      <c r="AL369" s="75"/>
      <c r="AM369" s="75"/>
      <c r="AN369" s="75"/>
      <c r="AO369" s="75"/>
      <c r="AP369" s="75"/>
      <c r="AQ369" s="75"/>
      <c r="AR369" s="75"/>
    </row>
    <row r="370" spans="1:44" x14ac:dyDescent="0.25">
      <c r="A370" s="75"/>
      <c r="B370" s="75"/>
      <c r="C370" s="75"/>
      <c r="D370" s="75"/>
      <c r="E370" s="84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6"/>
      <c r="AJ370" s="75"/>
      <c r="AK370" s="75"/>
      <c r="AL370" s="75"/>
      <c r="AM370" s="75"/>
      <c r="AN370" s="75"/>
      <c r="AO370" s="75"/>
      <c r="AP370" s="75"/>
      <c r="AQ370" s="75"/>
      <c r="AR370" s="75"/>
    </row>
    <row r="371" spans="1:44" x14ac:dyDescent="0.25">
      <c r="A371" s="75"/>
      <c r="B371" s="75"/>
      <c r="C371" s="75"/>
      <c r="D371" s="75"/>
      <c r="E371" s="84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6"/>
      <c r="AJ371" s="75"/>
      <c r="AK371" s="75"/>
      <c r="AL371" s="75"/>
      <c r="AM371" s="75"/>
      <c r="AN371" s="75"/>
      <c r="AO371" s="75"/>
      <c r="AP371" s="75"/>
      <c r="AQ371" s="75"/>
      <c r="AR371" s="75"/>
    </row>
    <row r="372" spans="1:44" x14ac:dyDescent="0.25">
      <c r="A372" s="75"/>
      <c r="B372" s="75"/>
      <c r="C372" s="75"/>
      <c r="D372" s="75"/>
      <c r="E372" s="84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6"/>
      <c r="AJ372" s="75"/>
      <c r="AK372" s="75"/>
      <c r="AL372" s="75"/>
      <c r="AM372" s="75"/>
      <c r="AN372" s="75"/>
      <c r="AO372" s="75"/>
      <c r="AP372" s="75"/>
      <c r="AQ372" s="75"/>
      <c r="AR372" s="75"/>
    </row>
    <row r="373" spans="1:44" x14ac:dyDescent="0.25">
      <c r="A373" s="75"/>
      <c r="B373" s="75"/>
      <c r="C373" s="75"/>
      <c r="D373" s="75"/>
      <c r="E373" s="84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6"/>
      <c r="AJ373" s="75"/>
      <c r="AK373" s="75"/>
      <c r="AL373" s="75"/>
      <c r="AM373" s="75"/>
      <c r="AN373" s="75"/>
      <c r="AO373" s="75"/>
      <c r="AP373" s="75"/>
      <c r="AQ373" s="75"/>
      <c r="AR373" s="75"/>
    </row>
    <row r="374" spans="1:44" x14ac:dyDescent="0.25">
      <c r="A374" s="75"/>
      <c r="B374" s="75"/>
      <c r="C374" s="75"/>
      <c r="D374" s="75"/>
      <c r="E374" s="84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6"/>
      <c r="AJ374" s="75"/>
      <c r="AK374" s="75"/>
      <c r="AL374" s="75"/>
      <c r="AM374" s="75"/>
      <c r="AN374" s="75"/>
      <c r="AO374" s="75"/>
      <c r="AP374" s="75"/>
      <c r="AQ374" s="75"/>
      <c r="AR374" s="75"/>
    </row>
    <row r="375" spans="1:44" x14ac:dyDescent="0.25">
      <c r="A375" s="75"/>
      <c r="B375" s="75"/>
      <c r="C375" s="75"/>
      <c r="D375" s="75"/>
      <c r="E375" s="84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6"/>
      <c r="AJ375" s="75"/>
      <c r="AK375" s="75"/>
      <c r="AL375" s="75"/>
      <c r="AM375" s="75"/>
      <c r="AN375" s="75"/>
      <c r="AO375" s="75"/>
      <c r="AP375" s="75"/>
      <c r="AQ375" s="75"/>
      <c r="AR375" s="75"/>
    </row>
    <row r="376" spans="1:44" x14ac:dyDescent="0.25">
      <c r="A376" s="75"/>
      <c r="B376" s="75"/>
      <c r="C376" s="75"/>
      <c r="D376" s="75"/>
      <c r="E376" s="84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6"/>
      <c r="AJ376" s="75"/>
      <c r="AK376" s="75"/>
      <c r="AL376" s="75"/>
      <c r="AM376" s="75"/>
      <c r="AN376" s="75"/>
      <c r="AO376" s="75"/>
      <c r="AP376" s="75"/>
      <c r="AQ376" s="75"/>
      <c r="AR376" s="75"/>
    </row>
    <row r="377" spans="1:44" x14ac:dyDescent="0.25">
      <c r="A377" s="75"/>
      <c r="B377" s="75"/>
      <c r="C377" s="75"/>
      <c r="D377" s="75"/>
      <c r="E377" s="84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6"/>
      <c r="AJ377" s="75"/>
      <c r="AK377" s="75"/>
      <c r="AL377" s="75"/>
      <c r="AM377" s="75"/>
      <c r="AN377" s="75"/>
      <c r="AO377" s="75"/>
      <c r="AP377" s="75"/>
      <c r="AQ377" s="75"/>
      <c r="AR377" s="75"/>
    </row>
    <row r="378" spans="1:44" x14ac:dyDescent="0.25">
      <c r="A378" s="75"/>
      <c r="B378" s="75"/>
      <c r="C378" s="75"/>
      <c r="D378" s="75"/>
      <c r="E378" s="84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6"/>
      <c r="AJ378" s="75"/>
      <c r="AK378" s="75"/>
      <c r="AL378" s="75"/>
      <c r="AM378" s="75"/>
      <c r="AN378" s="75"/>
      <c r="AO378" s="75"/>
      <c r="AP378" s="75"/>
      <c r="AQ378" s="75"/>
      <c r="AR378" s="75"/>
    </row>
    <row r="379" spans="1:44" x14ac:dyDescent="0.25">
      <c r="A379" s="75"/>
      <c r="B379" s="75"/>
      <c r="C379" s="75"/>
      <c r="D379" s="75"/>
      <c r="E379" s="84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6"/>
      <c r="AJ379" s="75"/>
      <c r="AK379" s="75"/>
      <c r="AL379" s="75"/>
      <c r="AM379" s="75"/>
      <c r="AN379" s="75"/>
      <c r="AO379" s="75"/>
      <c r="AP379" s="75"/>
      <c r="AQ379" s="75"/>
      <c r="AR379" s="75"/>
    </row>
    <row r="380" spans="1:44" x14ac:dyDescent="0.25">
      <c r="A380" s="75"/>
      <c r="B380" s="75"/>
      <c r="C380" s="75"/>
      <c r="D380" s="75"/>
      <c r="E380" s="84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6"/>
      <c r="AJ380" s="75"/>
      <c r="AK380" s="75"/>
      <c r="AL380" s="75"/>
      <c r="AM380" s="75"/>
      <c r="AN380" s="75"/>
      <c r="AO380" s="75"/>
      <c r="AP380" s="75"/>
      <c r="AQ380" s="75"/>
      <c r="AR380" s="75"/>
    </row>
    <row r="381" spans="1:44" x14ac:dyDescent="0.25">
      <c r="A381" s="75"/>
      <c r="B381" s="75"/>
      <c r="C381" s="75"/>
      <c r="D381" s="75"/>
      <c r="E381" s="84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6"/>
      <c r="AJ381" s="75"/>
      <c r="AK381" s="75"/>
      <c r="AL381" s="75"/>
      <c r="AM381" s="75"/>
      <c r="AN381" s="75"/>
      <c r="AO381" s="75"/>
      <c r="AP381" s="75"/>
      <c r="AQ381" s="75"/>
      <c r="AR381" s="75"/>
    </row>
    <row r="382" spans="1:44" x14ac:dyDescent="0.25">
      <c r="A382" s="75"/>
      <c r="B382" s="75"/>
      <c r="C382" s="75"/>
      <c r="D382" s="75"/>
      <c r="E382" s="84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6"/>
      <c r="AJ382" s="75"/>
      <c r="AK382" s="75"/>
      <c r="AL382" s="75"/>
      <c r="AM382" s="75"/>
      <c r="AN382" s="75"/>
      <c r="AO382" s="75"/>
      <c r="AP382" s="75"/>
      <c r="AQ382" s="75"/>
      <c r="AR382" s="75"/>
    </row>
    <row r="383" spans="1:44" x14ac:dyDescent="0.25">
      <c r="A383" s="75"/>
      <c r="B383" s="75"/>
      <c r="C383" s="75"/>
      <c r="D383" s="75"/>
      <c r="E383" s="84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6"/>
      <c r="AJ383" s="75"/>
      <c r="AK383" s="75"/>
      <c r="AL383" s="75"/>
      <c r="AM383" s="75"/>
      <c r="AN383" s="75"/>
      <c r="AO383" s="75"/>
      <c r="AP383" s="75"/>
      <c r="AQ383" s="75"/>
      <c r="AR383" s="75"/>
    </row>
    <row r="384" spans="1:44" x14ac:dyDescent="0.25">
      <c r="A384" s="75"/>
      <c r="B384" s="75"/>
      <c r="C384" s="75"/>
      <c r="D384" s="75"/>
      <c r="E384" s="84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6"/>
      <c r="AJ384" s="75"/>
      <c r="AK384" s="75"/>
      <c r="AL384" s="75"/>
      <c r="AM384" s="75"/>
      <c r="AN384" s="75"/>
      <c r="AO384" s="75"/>
      <c r="AP384" s="75"/>
      <c r="AQ384" s="75"/>
      <c r="AR384" s="75"/>
    </row>
    <row r="385" spans="1:44" x14ac:dyDescent="0.25">
      <c r="A385" s="75"/>
      <c r="B385" s="75"/>
      <c r="C385" s="75"/>
      <c r="D385" s="75"/>
      <c r="E385" s="84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6"/>
      <c r="AJ385" s="75"/>
      <c r="AK385" s="75"/>
      <c r="AL385" s="75"/>
      <c r="AM385" s="75"/>
      <c r="AN385" s="75"/>
      <c r="AO385" s="75"/>
      <c r="AP385" s="75"/>
      <c r="AQ385" s="75"/>
      <c r="AR385" s="75"/>
    </row>
    <row r="386" spans="1:44" x14ac:dyDescent="0.25">
      <c r="A386" s="75"/>
      <c r="B386" s="75"/>
      <c r="C386" s="75"/>
      <c r="D386" s="75"/>
      <c r="E386" s="84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6"/>
      <c r="AJ386" s="75"/>
      <c r="AK386" s="75"/>
      <c r="AL386" s="75"/>
      <c r="AM386" s="75"/>
      <c r="AN386" s="75"/>
      <c r="AO386" s="75"/>
      <c r="AP386" s="75"/>
      <c r="AQ386" s="75"/>
      <c r="AR386" s="75"/>
    </row>
    <row r="387" spans="1:44" x14ac:dyDescent="0.25">
      <c r="A387" s="75"/>
      <c r="B387" s="75"/>
      <c r="C387" s="75"/>
      <c r="D387" s="75"/>
      <c r="E387" s="84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6"/>
      <c r="AJ387" s="75"/>
      <c r="AK387" s="75"/>
      <c r="AL387" s="75"/>
      <c r="AM387" s="75"/>
      <c r="AN387" s="75"/>
      <c r="AO387" s="75"/>
      <c r="AP387" s="75"/>
      <c r="AQ387" s="75"/>
      <c r="AR387" s="75"/>
    </row>
    <row r="388" spans="1:44" x14ac:dyDescent="0.25">
      <c r="A388" s="75"/>
      <c r="B388" s="75"/>
      <c r="C388" s="75"/>
      <c r="D388" s="75"/>
      <c r="E388" s="84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6"/>
      <c r="AJ388" s="75"/>
      <c r="AK388" s="75"/>
      <c r="AL388" s="75"/>
      <c r="AM388" s="75"/>
      <c r="AN388" s="75"/>
      <c r="AO388" s="75"/>
      <c r="AP388" s="75"/>
      <c r="AQ388" s="75"/>
      <c r="AR388" s="75"/>
    </row>
    <row r="389" spans="1:44" x14ac:dyDescent="0.25">
      <c r="A389" s="75"/>
      <c r="B389" s="75"/>
      <c r="C389" s="75"/>
      <c r="D389" s="75"/>
      <c r="E389" s="84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6"/>
      <c r="AJ389" s="75"/>
      <c r="AK389" s="75"/>
      <c r="AL389" s="75"/>
      <c r="AM389" s="75"/>
      <c r="AN389" s="75"/>
      <c r="AO389" s="75"/>
      <c r="AP389" s="75"/>
      <c r="AQ389" s="75"/>
      <c r="AR389" s="75"/>
    </row>
    <row r="390" spans="1:44" x14ac:dyDescent="0.25">
      <c r="A390" s="75"/>
      <c r="B390" s="75"/>
      <c r="C390" s="75"/>
      <c r="D390" s="75"/>
      <c r="E390" s="84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6"/>
      <c r="AJ390" s="75"/>
      <c r="AK390" s="75"/>
      <c r="AL390" s="75"/>
      <c r="AM390" s="75"/>
      <c r="AN390" s="75"/>
      <c r="AO390" s="75"/>
      <c r="AP390" s="75"/>
      <c r="AQ390" s="75"/>
      <c r="AR390" s="75"/>
    </row>
    <row r="391" spans="1:44" x14ac:dyDescent="0.25">
      <c r="A391" s="75"/>
      <c r="B391" s="75"/>
      <c r="C391" s="75"/>
      <c r="D391" s="75"/>
      <c r="E391" s="84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6"/>
      <c r="AJ391" s="75"/>
      <c r="AK391" s="75"/>
      <c r="AL391" s="75"/>
      <c r="AM391" s="75"/>
      <c r="AN391" s="75"/>
      <c r="AO391" s="75"/>
      <c r="AP391" s="75"/>
      <c r="AQ391" s="75"/>
      <c r="AR391" s="75"/>
    </row>
    <row r="392" spans="1:44" x14ac:dyDescent="0.25">
      <c r="A392" s="75"/>
      <c r="B392" s="75"/>
      <c r="C392" s="75"/>
      <c r="D392" s="75"/>
      <c r="E392" s="84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6"/>
      <c r="AJ392" s="75"/>
      <c r="AK392" s="75"/>
      <c r="AL392" s="75"/>
      <c r="AM392" s="75"/>
      <c r="AN392" s="75"/>
      <c r="AO392" s="75"/>
      <c r="AP392" s="75"/>
      <c r="AQ392" s="75"/>
      <c r="AR392" s="75"/>
    </row>
    <row r="393" spans="1:44" x14ac:dyDescent="0.25">
      <c r="A393" s="75"/>
      <c r="B393" s="75"/>
      <c r="C393" s="75"/>
      <c r="D393" s="75"/>
      <c r="E393" s="84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6"/>
      <c r="AJ393" s="75"/>
      <c r="AK393" s="75"/>
      <c r="AL393" s="75"/>
      <c r="AM393" s="75"/>
      <c r="AN393" s="75"/>
      <c r="AO393" s="75"/>
      <c r="AP393" s="75"/>
      <c r="AQ393" s="75"/>
      <c r="AR393" s="75"/>
    </row>
    <row r="394" spans="1:44" x14ac:dyDescent="0.25">
      <c r="A394" s="75"/>
      <c r="B394" s="75"/>
      <c r="C394" s="75"/>
      <c r="D394" s="75"/>
      <c r="E394" s="84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6"/>
      <c r="AJ394" s="75"/>
      <c r="AK394" s="75"/>
      <c r="AL394" s="75"/>
      <c r="AM394" s="75"/>
      <c r="AN394" s="75"/>
      <c r="AO394" s="75"/>
      <c r="AP394" s="75"/>
      <c r="AQ394" s="75"/>
      <c r="AR394" s="75"/>
    </row>
    <row r="395" spans="1:44" x14ac:dyDescent="0.25">
      <c r="A395" s="75"/>
      <c r="B395" s="75"/>
      <c r="C395" s="75"/>
      <c r="D395" s="75"/>
      <c r="E395" s="84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6"/>
      <c r="AJ395" s="75"/>
      <c r="AK395" s="75"/>
      <c r="AL395" s="75"/>
      <c r="AM395" s="75"/>
      <c r="AN395" s="75"/>
      <c r="AO395" s="75"/>
      <c r="AP395" s="75"/>
      <c r="AQ395" s="75"/>
      <c r="AR395" s="75"/>
    </row>
    <row r="396" spans="1:44" x14ac:dyDescent="0.25">
      <c r="A396" s="75"/>
      <c r="B396" s="75"/>
      <c r="C396" s="75"/>
      <c r="D396" s="75"/>
      <c r="E396" s="84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6"/>
      <c r="AJ396" s="75"/>
      <c r="AK396" s="75"/>
      <c r="AL396" s="75"/>
      <c r="AM396" s="75"/>
      <c r="AN396" s="75"/>
      <c r="AO396" s="75"/>
      <c r="AP396" s="75"/>
      <c r="AQ396" s="75"/>
      <c r="AR396" s="75"/>
    </row>
    <row r="397" spans="1:44" x14ac:dyDescent="0.25">
      <c r="A397" s="75"/>
      <c r="B397" s="75"/>
      <c r="C397" s="75"/>
      <c r="D397" s="75"/>
      <c r="E397" s="84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6"/>
      <c r="AJ397" s="75"/>
      <c r="AK397" s="75"/>
      <c r="AL397" s="75"/>
      <c r="AM397" s="75"/>
      <c r="AN397" s="75"/>
      <c r="AO397" s="75"/>
      <c r="AP397" s="75"/>
      <c r="AQ397" s="75"/>
      <c r="AR397" s="75"/>
    </row>
    <row r="398" spans="1:44" x14ac:dyDescent="0.25">
      <c r="A398" s="75"/>
      <c r="B398" s="75"/>
      <c r="C398" s="75"/>
      <c r="D398" s="75"/>
      <c r="E398" s="84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6"/>
      <c r="AJ398" s="75"/>
      <c r="AK398" s="75"/>
      <c r="AL398" s="75"/>
      <c r="AM398" s="75"/>
      <c r="AN398" s="75"/>
      <c r="AO398" s="75"/>
      <c r="AP398" s="75"/>
      <c r="AQ398" s="75"/>
      <c r="AR398" s="75"/>
    </row>
    <row r="399" spans="1:44" x14ac:dyDescent="0.25">
      <c r="A399" s="75"/>
      <c r="B399" s="75"/>
      <c r="C399" s="75"/>
      <c r="D399" s="75"/>
      <c r="E399" s="84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6"/>
      <c r="AJ399" s="75"/>
      <c r="AK399" s="75"/>
      <c r="AL399" s="75"/>
      <c r="AM399" s="75"/>
      <c r="AN399" s="75"/>
      <c r="AO399" s="75"/>
      <c r="AP399" s="75"/>
      <c r="AQ399" s="75"/>
      <c r="AR399" s="75"/>
    </row>
    <row r="400" spans="1:44" x14ac:dyDescent="0.25">
      <c r="A400" s="75"/>
      <c r="B400" s="75"/>
      <c r="C400" s="75"/>
      <c r="D400" s="75"/>
      <c r="E400" s="84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6"/>
      <c r="AJ400" s="75"/>
      <c r="AK400" s="75"/>
      <c r="AL400" s="75"/>
      <c r="AM400" s="75"/>
      <c r="AN400" s="75"/>
      <c r="AO400" s="75"/>
      <c r="AP400" s="75"/>
      <c r="AQ400" s="75"/>
      <c r="AR400" s="75"/>
    </row>
    <row r="401" spans="1:44" x14ac:dyDescent="0.25">
      <c r="A401" s="75"/>
      <c r="B401" s="75"/>
      <c r="C401" s="75"/>
      <c r="D401" s="75"/>
      <c r="E401" s="84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6"/>
      <c r="AJ401" s="75"/>
      <c r="AK401" s="75"/>
      <c r="AL401" s="75"/>
      <c r="AM401" s="75"/>
      <c r="AN401" s="75"/>
      <c r="AO401" s="75"/>
      <c r="AP401" s="75"/>
      <c r="AQ401" s="75"/>
      <c r="AR401" s="75"/>
    </row>
    <row r="402" spans="1:44" x14ac:dyDescent="0.25">
      <c r="A402" s="75"/>
      <c r="B402" s="75"/>
      <c r="C402" s="75"/>
      <c r="D402" s="75"/>
      <c r="E402" s="84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6"/>
      <c r="AJ402" s="75"/>
      <c r="AK402" s="75"/>
      <c r="AL402" s="75"/>
      <c r="AM402" s="75"/>
      <c r="AN402" s="75"/>
      <c r="AO402" s="75"/>
      <c r="AP402" s="75"/>
      <c r="AQ402" s="75"/>
      <c r="AR402" s="75"/>
    </row>
    <row r="403" spans="1:44" x14ac:dyDescent="0.25">
      <c r="A403" s="75"/>
      <c r="B403" s="75"/>
      <c r="C403" s="75"/>
      <c r="D403" s="75"/>
      <c r="E403" s="84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6"/>
      <c r="AJ403" s="75"/>
      <c r="AK403" s="75"/>
      <c r="AL403" s="75"/>
      <c r="AM403" s="75"/>
      <c r="AN403" s="75"/>
      <c r="AO403" s="75"/>
      <c r="AP403" s="75"/>
      <c r="AQ403" s="75"/>
      <c r="AR403" s="75"/>
    </row>
    <row r="404" spans="1:44" x14ac:dyDescent="0.25">
      <c r="A404" s="75"/>
      <c r="B404" s="75"/>
      <c r="C404" s="75"/>
      <c r="D404" s="75"/>
      <c r="E404" s="84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6"/>
      <c r="AJ404" s="75"/>
      <c r="AK404" s="75"/>
      <c r="AL404" s="75"/>
      <c r="AM404" s="75"/>
      <c r="AN404" s="75"/>
      <c r="AO404" s="75"/>
      <c r="AP404" s="75"/>
      <c r="AQ404" s="75"/>
      <c r="AR404" s="75"/>
    </row>
    <row r="405" spans="1:44" x14ac:dyDescent="0.25">
      <c r="A405" s="75"/>
      <c r="B405" s="75"/>
      <c r="C405" s="75"/>
      <c r="D405" s="75"/>
      <c r="E405" s="84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6"/>
      <c r="AJ405" s="75"/>
      <c r="AK405" s="75"/>
      <c r="AL405" s="75"/>
      <c r="AM405" s="75"/>
      <c r="AN405" s="75"/>
      <c r="AO405" s="75"/>
      <c r="AP405" s="75"/>
      <c r="AQ405" s="75"/>
      <c r="AR405" s="75"/>
    </row>
    <row r="406" spans="1:44" x14ac:dyDescent="0.25">
      <c r="A406" s="75"/>
      <c r="B406" s="75"/>
      <c r="C406" s="75"/>
      <c r="D406" s="75"/>
      <c r="E406" s="84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6"/>
      <c r="AJ406" s="75"/>
      <c r="AK406" s="75"/>
      <c r="AL406" s="75"/>
      <c r="AM406" s="75"/>
      <c r="AN406" s="75"/>
      <c r="AO406" s="75"/>
      <c r="AP406" s="75"/>
      <c r="AQ406" s="75"/>
      <c r="AR406" s="75"/>
    </row>
    <row r="407" spans="1:44" x14ac:dyDescent="0.25">
      <c r="A407" s="75"/>
      <c r="B407" s="75"/>
      <c r="C407" s="75"/>
      <c r="D407" s="75"/>
      <c r="E407" s="84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6"/>
      <c r="AJ407" s="75"/>
      <c r="AK407" s="75"/>
      <c r="AL407" s="75"/>
      <c r="AM407" s="75"/>
      <c r="AN407" s="75"/>
      <c r="AO407" s="75"/>
      <c r="AP407" s="75"/>
      <c r="AQ407" s="75"/>
      <c r="AR407" s="75"/>
    </row>
    <row r="408" spans="1:44" x14ac:dyDescent="0.25">
      <c r="A408" s="75"/>
      <c r="B408" s="75"/>
      <c r="C408" s="75"/>
      <c r="D408" s="75"/>
      <c r="E408" s="84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6"/>
      <c r="AJ408" s="75"/>
      <c r="AK408" s="75"/>
      <c r="AL408" s="75"/>
      <c r="AM408" s="75"/>
      <c r="AN408" s="75"/>
      <c r="AO408" s="75"/>
      <c r="AP408" s="75"/>
      <c r="AQ408" s="75"/>
      <c r="AR408" s="75"/>
    </row>
    <row r="409" spans="1:44" x14ac:dyDescent="0.25">
      <c r="A409" s="75"/>
      <c r="B409" s="75"/>
      <c r="C409" s="75"/>
      <c r="D409" s="75"/>
      <c r="E409" s="84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6"/>
      <c r="AJ409" s="75"/>
      <c r="AK409" s="75"/>
      <c r="AL409" s="75"/>
      <c r="AM409" s="75"/>
      <c r="AN409" s="75"/>
      <c r="AO409" s="75"/>
      <c r="AP409" s="75"/>
      <c r="AQ409" s="75"/>
      <c r="AR409" s="75"/>
    </row>
    <row r="410" spans="1:44" x14ac:dyDescent="0.25">
      <c r="A410" s="75"/>
      <c r="B410" s="75"/>
      <c r="C410" s="75"/>
      <c r="D410" s="75"/>
      <c r="E410" s="84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6"/>
      <c r="AJ410" s="75"/>
      <c r="AK410" s="75"/>
      <c r="AL410" s="75"/>
      <c r="AM410" s="75"/>
      <c r="AN410" s="75"/>
      <c r="AO410" s="75"/>
      <c r="AP410" s="75"/>
      <c r="AQ410" s="75"/>
      <c r="AR410" s="75"/>
    </row>
    <row r="411" spans="1:44" x14ac:dyDescent="0.25">
      <c r="A411" s="75"/>
      <c r="B411" s="75"/>
      <c r="C411" s="75"/>
      <c r="D411" s="75"/>
      <c r="E411" s="84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6"/>
      <c r="AJ411" s="75"/>
      <c r="AK411" s="75"/>
      <c r="AL411" s="75"/>
      <c r="AM411" s="75"/>
      <c r="AN411" s="75"/>
      <c r="AO411" s="75"/>
      <c r="AP411" s="75"/>
      <c r="AQ411" s="75"/>
      <c r="AR411" s="75"/>
    </row>
    <row r="412" spans="1:44" x14ac:dyDescent="0.25">
      <c r="A412" s="75"/>
      <c r="B412" s="75"/>
      <c r="C412" s="75"/>
      <c r="D412" s="75"/>
      <c r="E412" s="84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6"/>
      <c r="AJ412" s="75"/>
      <c r="AK412" s="75"/>
      <c r="AL412" s="75"/>
      <c r="AM412" s="75"/>
      <c r="AN412" s="75"/>
      <c r="AO412" s="75"/>
      <c r="AP412" s="75"/>
      <c r="AQ412" s="75"/>
      <c r="AR412" s="75"/>
    </row>
    <row r="413" spans="1:44" x14ac:dyDescent="0.25">
      <c r="A413" s="75"/>
      <c r="B413" s="75"/>
      <c r="C413" s="75"/>
      <c r="D413" s="75"/>
      <c r="E413" s="84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6"/>
      <c r="AJ413" s="75"/>
      <c r="AK413" s="75"/>
      <c r="AL413" s="75"/>
      <c r="AM413" s="75"/>
      <c r="AN413" s="75"/>
      <c r="AO413" s="75"/>
      <c r="AP413" s="75"/>
      <c r="AQ413" s="75"/>
      <c r="AR413" s="75"/>
    </row>
    <row r="414" spans="1:44" x14ac:dyDescent="0.25">
      <c r="A414" s="75"/>
      <c r="B414" s="75"/>
      <c r="C414" s="75"/>
      <c r="D414" s="75"/>
      <c r="E414" s="84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6"/>
      <c r="AJ414" s="75"/>
      <c r="AK414" s="75"/>
      <c r="AL414" s="75"/>
      <c r="AM414" s="75"/>
      <c r="AN414" s="75"/>
      <c r="AO414" s="75"/>
      <c r="AP414" s="75"/>
      <c r="AQ414" s="75"/>
      <c r="AR414" s="75"/>
    </row>
    <row r="415" spans="1:44" x14ac:dyDescent="0.25">
      <c r="A415" s="75"/>
      <c r="B415" s="75"/>
      <c r="C415" s="75"/>
      <c r="D415" s="75"/>
      <c r="E415" s="84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6"/>
      <c r="AJ415" s="75"/>
      <c r="AK415" s="75"/>
      <c r="AL415" s="75"/>
      <c r="AM415" s="75"/>
      <c r="AN415" s="75"/>
      <c r="AO415" s="75"/>
      <c r="AP415" s="75"/>
      <c r="AQ415" s="75"/>
      <c r="AR415" s="75"/>
    </row>
    <row r="416" spans="1:44" x14ac:dyDescent="0.25">
      <c r="A416" s="75"/>
      <c r="B416" s="75"/>
      <c r="C416" s="75"/>
      <c r="D416" s="75"/>
      <c r="E416" s="84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6"/>
      <c r="AJ416" s="75"/>
      <c r="AK416" s="75"/>
      <c r="AL416" s="75"/>
      <c r="AM416" s="75"/>
      <c r="AN416" s="75"/>
      <c r="AO416" s="75"/>
      <c r="AP416" s="75"/>
      <c r="AQ416" s="75"/>
      <c r="AR416" s="75"/>
    </row>
    <row r="417" spans="1:44" x14ac:dyDescent="0.25">
      <c r="A417" s="75"/>
      <c r="B417" s="75"/>
      <c r="C417" s="75"/>
      <c r="D417" s="75"/>
      <c r="E417" s="84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6"/>
      <c r="AJ417" s="75"/>
      <c r="AK417" s="75"/>
      <c r="AL417" s="75"/>
      <c r="AM417" s="75"/>
      <c r="AN417" s="75"/>
      <c r="AO417" s="75"/>
      <c r="AP417" s="75"/>
      <c r="AQ417" s="75"/>
      <c r="AR417" s="75"/>
    </row>
    <row r="418" spans="1:44" x14ac:dyDescent="0.25">
      <c r="A418" s="75"/>
      <c r="B418" s="75"/>
      <c r="C418" s="75"/>
      <c r="D418" s="75"/>
      <c r="E418" s="84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6"/>
      <c r="AJ418" s="75"/>
      <c r="AK418" s="75"/>
      <c r="AL418" s="75"/>
      <c r="AM418" s="75"/>
      <c r="AN418" s="75"/>
      <c r="AO418" s="75"/>
      <c r="AP418" s="75"/>
      <c r="AQ418" s="75"/>
      <c r="AR418" s="75"/>
    </row>
    <row r="419" spans="1:44" x14ac:dyDescent="0.25">
      <c r="A419" s="75"/>
      <c r="B419" s="75"/>
      <c r="C419" s="75"/>
      <c r="D419" s="75"/>
      <c r="E419" s="84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6"/>
      <c r="AJ419" s="75"/>
      <c r="AK419" s="75"/>
      <c r="AL419" s="75"/>
      <c r="AM419" s="75"/>
      <c r="AN419" s="75"/>
      <c r="AO419" s="75"/>
      <c r="AP419" s="75"/>
      <c r="AQ419" s="75"/>
      <c r="AR419" s="75"/>
    </row>
    <row r="420" spans="1:44" x14ac:dyDescent="0.25">
      <c r="A420" s="75"/>
      <c r="B420" s="75"/>
      <c r="C420" s="75"/>
      <c r="D420" s="75"/>
      <c r="E420" s="84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6"/>
      <c r="AJ420" s="75"/>
      <c r="AK420" s="75"/>
      <c r="AL420" s="75"/>
      <c r="AM420" s="75"/>
      <c r="AN420" s="75"/>
      <c r="AO420" s="75"/>
      <c r="AP420" s="75"/>
      <c r="AQ420" s="75"/>
      <c r="AR420" s="75"/>
    </row>
    <row r="421" spans="1:44" x14ac:dyDescent="0.25">
      <c r="A421" s="75"/>
      <c r="B421" s="75"/>
      <c r="C421" s="75"/>
      <c r="D421" s="75"/>
      <c r="E421" s="84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6"/>
      <c r="AJ421" s="75"/>
      <c r="AK421" s="75"/>
      <c r="AL421" s="75"/>
      <c r="AM421" s="75"/>
      <c r="AN421" s="75"/>
      <c r="AO421" s="75"/>
      <c r="AP421" s="75"/>
      <c r="AQ421" s="75"/>
      <c r="AR421" s="75"/>
    </row>
    <row r="422" spans="1:44" x14ac:dyDescent="0.25">
      <c r="A422" s="75"/>
      <c r="B422" s="75"/>
      <c r="C422" s="75"/>
      <c r="D422" s="75"/>
      <c r="E422" s="84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6"/>
      <c r="AJ422" s="75"/>
      <c r="AK422" s="75"/>
      <c r="AL422" s="75"/>
      <c r="AM422" s="75"/>
      <c r="AN422" s="75"/>
      <c r="AO422" s="75"/>
      <c r="AP422" s="75"/>
      <c r="AQ422" s="75"/>
      <c r="AR422" s="75"/>
    </row>
    <row r="423" spans="1:44" x14ac:dyDescent="0.25">
      <c r="A423" s="75"/>
      <c r="B423" s="75"/>
      <c r="C423" s="75"/>
      <c r="D423" s="75"/>
      <c r="E423" s="84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6"/>
      <c r="AJ423" s="75"/>
      <c r="AK423" s="75"/>
      <c r="AL423" s="75"/>
      <c r="AM423" s="75"/>
      <c r="AN423" s="75"/>
      <c r="AO423" s="75"/>
      <c r="AP423" s="75"/>
      <c r="AQ423" s="75"/>
      <c r="AR423" s="75"/>
    </row>
    <row r="424" spans="1:44" x14ac:dyDescent="0.25">
      <c r="A424" s="75"/>
      <c r="B424" s="75"/>
      <c r="C424" s="75"/>
      <c r="D424" s="75"/>
      <c r="E424" s="84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6"/>
      <c r="AJ424" s="75"/>
      <c r="AK424" s="75"/>
      <c r="AL424" s="75"/>
      <c r="AM424" s="75"/>
      <c r="AN424" s="75"/>
      <c r="AO424" s="75"/>
      <c r="AP424" s="75"/>
      <c r="AQ424" s="75"/>
      <c r="AR424" s="75"/>
    </row>
    <row r="425" spans="1:44" x14ac:dyDescent="0.25">
      <c r="A425" s="75"/>
      <c r="B425" s="75"/>
      <c r="C425" s="75"/>
      <c r="D425" s="75"/>
      <c r="E425" s="84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6"/>
      <c r="AJ425" s="75"/>
      <c r="AK425" s="75"/>
      <c r="AL425" s="75"/>
      <c r="AM425" s="75"/>
      <c r="AN425" s="75"/>
      <c r="AO425" s="75"/>
      <c r="AP425" s="75"/>
      <c r="AQ425" s="75"/>
      <c r="AR425" s="75"/>
    </row>
    <row r="426" spans="1:44" x14ac:dyDescent="0.25">
      <c r="A426" s="75"/>
      <c r="B426" s="75"/>
      <c r="C426" s="75"/>
      <c r="D426" s="75"/>
      <c r="E426" s="84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6"/>
      <c r="AJ426" s="75"/>
      <c r="AK426" s="75"/>
      <c r="AL426" s="75"/>
      <c r="AM426" s="75"/>
      <c r="AN426" s="75"/>
      <c r="AO426" s="75"/>
      <c r="AP426" s="75"/>
      <c r="AQ426" s="75"/>
      <c r="AR426" s="75"/>
    </row>
    <row r="427" spans="1:44" x14ac:dyDescent="0.25">
      <c r="A427" s="75"/>
      <c r="B427" s="75"/>
      <c r="C427" s="75"/>
      <c r="D427" s="75"/>
      <c r="E427" s="84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6"/>
      <c r="AJ427" s="75"/>
      <c r="AK427" s="75"/>
      <c r="AL427" s="75"/>
      <c r="AM427" s="75"/>
      <c r="AN427" s="75"/>
      <c r="AO427" s="75"/>
      <c r="AP427" s="75"/>
      <c r="AQ427" s="75"/>
      <c r="AR427" s="75"/>
    </row>
    <row r="428" spans="1:44" x14ac:dyDescent="0.25">
      <c r="A428" s="75"/>
      <c r="B428" s="75"/>
      <c r="C428" s="75"/>
      <c r="D428" s="75"/>
      <c r="E428" s="84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6"/>
      <c r="AJ428" s="75"/>
      <c r="AK428" s="75"/>
      <c r="AL428" s="75"/>
      <c r="AM428" s="75"/>
      <c r="AN428" s="75"/>
      <c r="AO428" s="75"/>
      <c r="AP428" s="75"/>
      <c r="AQ428" s="75"/>
      <c r="AR428" s="75"/>
    </row>
    <row r="429" spans="1:44" x14ac:dyDescent="0.25">
      <c r="A429" s="75"/>
      <c r="B429" s="75"/>
      <c r="C429" s="75"/>
      <c r="D429" s="75"/>
      <c r="E429" s="84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6"/>
      <c r="AJ429" s="75"/>
      <c r="AK429" s="75"/>
      <c r="AL429" s="75"/>
      <c r="AM429" s="75"/>
      <c r="AN429" s="75"/>
      <c r="AO429" s="75"/>
      <c r="AP429" s="75"/>
      <c r="AQ429" s="75"/>
      <c r="AR429" s="75"/>
    </row>
    <row r="430" spans="1:44" x14ac:dyDescent="0.25">
      <c r="A430" s="75"/>
      <c r="B430" s="75"/>
      <c r="C430" s="75"/>
      <c r="D430" s="75"/>
      <c r="E430" s="84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6"/>
      <c r="AJ430" s="75"/>
      <c r="AK430" s="75"/>
      <c r="AL430" s="75"/>
      <c r="AM430" s="75"/>
      <c r="AN430" s="75"/>
      <c r="AO430" s="75"/>
      <c r="AP430" s="75"/>
      <c r="AQ430" s="75"/>
      <c r="AR430" s="75"/>
    </row>
    <row r="431" spans="1:44" x14ac:dyDescent="0.25">
      <c r="A431" s="75"/>
      <c r="B431" s="75"/>
      <c r="C431" s="75"/>
      <c r="D431" s="75"/>
      <c r="E431" s="84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6"/>
      <c r="AJ431" s="75"/>
      <c r="AK431" s="75"/>
      <c r="AL431" s="75"/>
      <c r="AM431" s="75"/>
      <c r="AN431" s="75"/>
      <c r="AO431" s="75"/>
      <c r="AP431" s="75"/>
      <c r="AQ431" s="75"/>
      <c r="AR431" s="75"/>
    </row>
    <row r="432" spans="1:44" x14ac:dyDescent="0.25">
      <c r="A432" s="75"/>
      <c r="B432" s="75"/>
      <c r="C432" s="75"/>
      <c r="D432" s="75"/>
      <c r="E432" s="84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6"/>
      <c r="AJ432" s="75"/>
      <c r="AK432" s="75"/>
      <c r="AL432" s="75"/>
      <c r="AM432" s="75"/>
      <c r="AN432" s="75"/>
      <c r="AO432" s="75"/>
      <c r="AP432" s="75"/>
      <c r="AQ432" s="75"/>
      <c r="AR432" s="75"/>
    </row>
    <row r="433" spans="1:44" x14ac:dyDescent="0.25">
      <c r="A433" s="75"/>
      <c r="B433" s="75"/>
      <c r="C433" s="75"/>
      <c r="D433" s="75"/>
      <c r="E433" s="84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6"/>
      <c r="AJ433" s="75"/>
      <c r="AK433" s="75"/>
      <c r="AL433" s="75"/>
      <c r="AM433" s="75"/>
      <c r="AN433" s="75"/>
      <c r="AO433" s="75"/>
      <c r="AP433" s="75"/>
      <c r="AQ433" s="75"/>
      <c r="AR433" s="75"/>
    </row>
    <row r="434" spans="1:44" x14ac:dyDescent="0.25">
      <c r="A434" s="75"/>
      <c r="B434" s="75"/>
      <c r="C434" s="75"/>
      <c r="D434" s="75"/>
      <c r="E434" s="84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6"/>
      <c r="AJ434" s="75"/>
      <c r="AK434" s="75"/>
      <c r="AL434" s="75"/>
      <c r="AM434" s="75"/>
      <c r="AN434" s="75"/>
      <c r="AO434" s="75"/>
      <c r="AP434" s="75"/>
      <c r="AQ434" s="75"/>
      <c r="AR434" s="75"/>
    </row>
    <row r="435" spans="1:44" x14ac:dyDescent="0.25">
      <c r="A435" s="75"/>
      <c r="B435" s="75"/>
      <c r="C435" s="75"/>
      <c r="D435" s="75"/>
      <c r="E435" s="84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6"/>
      <c r="AJ435" s="75"/>
      <c r="AK435" s="75"/>
      <c r="AL435" s="75"/>
      <c r="AM435" s="75"/>
      <c r="AN435" s="75"/>
      <c r="AO435" s="75"/>
      <c r="AP435" s="75"/>
      <c r="AQ435" s="75"/>
      <c r="AR435" s="75"/>
    </row>
    <row r="436" spans="1:44" x14ac:dyDescent="0.25">
      <c r="A436" s="75"/>
      <c r="B436" s="75"/>
      <c r="C436" s="75"/>
      <c r="D436" s="75"/>
      <c r="E436" s="84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6"/>
      <c r="AJ436" s="75"/>
      <c r="AK436" s="75"/>
      <c r="AL436" s="75"/>
      <c r="AM436" s="75"/>
      <c r="AN436" s="75"/>
      <c r="AO436" s="75"/>
      <c r="AP436" s="75"/>
      <c r="AQ436" s="75"/>
      <c r="AR436" s="75"/>
    </row>
    <row r="437" spans="1:44" x14ac:dyDescent="0.25">
      <c r="A437" s="75"/>
      <c r="B437" s="75"/>
      <c r="C437" s="75"/>
      <c r="D437" s="75"/>
      <c r="E437" s="84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6"/>
      <c r="AJ437" s="75"/>
      <c r="AK437" s="75"/>
      <c r="AL437" s="75"/>
      <c r="AM437" s="75"/>
      <c r="AN437" s="75"/>
      <c r="AO437" s="75"/>
      <c r="AP437" s="75"/>
      <c r="AQ437" s="75"/>
      <c r="AR437" s="75"/>
    </row>
    <row r="438" spans="1:44" x14ac:dyDescent="0.25">
      <c r="A438" s="75"/>
      <c r="B438" s="75"/>
      <c r="C438" s="75"/>
      <c r="D438" s="75"/>
      <c r="E438" s="84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6"/>
      <c r="AJ438" s="75"/>
      <c r="AK438" s="75"/>
      <c r="AL438" s="75"/>
      <c r="AM438" s="75"/>
      <c r="AN438" s="75"/>
      <c r="AO438" s="75"/>
      <c r="AP438" s="75"/>
      <c r="AQ438" s="75"/>
      <c r="AR438" s="75"/>
    </row>
    <row r="439" spans="1:44" x14ac:dyDescent="0.25">
      <c r="A439" s="75"/>
      <c r="B439" s="75"/>
      <c r="C439" s="75"/>
      <c r="D439" s="75"/>
      <c r="E439" s="84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6"/>
      <c r="AJ439" s="75"/>
      <c r="AK439" s="75"/>
      <c r="AL439" s="75"/>
      <c r="AM439" s="75"/>
      <c r="AN439" s="75"/>
      <c r="AO439" s="75"/>
      <c r="AP439" s="75"/>
      <c r="AQ439" s="75"/>
      <c r="AR439" s="75"/>
    </row>
    <row r="440" spans="1:44" x14ac:dyDescent="0.25">
      <c r="A440" s="75"/>
      <c r="B440" s="75"/>
      <c r="C440" s="75"/>
      <c r="D440" s="75"/>
      <c r="E440" s="84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6"/>
      <c r="AJ440" s="75"/>
      <c r="AK440" s="75"/>
      <c r="AL440" s="75"/>
      <c r="AM440" s="75"/>
      <c r="AN440" s="75"/>
      <c r="AO440" s="75"/>
      <c r="AP440" s="75"/>
      <c r="AQ440" s="75"/>
      <c r="AR440" s="75"/>
    </row>
    <row r="441" spans="1:44" x14ac:dyDescent="0.25">
      <c r="A441" s="75"/>
      <c r="B441" s="75"/>
      <c r="C441" s="75"/>
      <c r="D441" s="75"/>
      <c r="E441" s="84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6"/>
      <c r="AJ441" s="75"/>
      <c r="AK441" s="75"/>
      <c r="AL441" s="75"/>
      <c r="AM441" s="75"/>
      <c r="AN441" s="75"/>
      <c r="AO441" s="75"/>
      <c r="AP441" s="75"/>
      <c r="AQ441" s="75"/>
      <c r="AR441" s="75"/>
    </row>
    <row r="442" spans="1:44" x14ac:dyDescent="0.25">
      <c r="A442" s="75"/>
      <c r="B442" s="75"/>
      <c r="C442" s="75"/>
      <c r="D442" s="75"/>
      <c r="E442" s="84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6"/>
      <c r="AJ442" s="75"/>
      <c r="AK442" s="75"/>
      <c r="AL442" s="75"/>
      <c r="AM442" s="75"/>
      <c r="AN442" s="75"/>
      <c r="AO442" s="75"/>
      <c r="AP442" s="75"/>
      <c r="AQ442" s="75"/>
      <c r="AR442" s="75"/>
    </row>
    <row r="443" spans="1:44" x14ac:dyDescent="0.25">
      <c r="A443" s="75"/>
      <c r="B443" s="75"/>
      <c r="C443" s="75"/>
      <c r="D443" s="75"/>
      <c r="E443" s="84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6"/>
      <c r="AJ443" s="75"/>
      <c r="AK443" s="75"/>
      <c r="AL443" s="75"/>
      <c r="AM443" s="75"/>
      <c r="AN443" s="75"/>
      <c r="AO443" s="75"/>
      <c r="AP443" s="75"/>
      <c r="AQ443" s="75"/>
      <c r="AR443" s="75"/>
    </row>
    <row r="444" spans="1:44" x14ac:dyDescent="0.25">
      <c r="A444" s="75"/>
      <c r="B444" s="75"/>
      <c r="C444" s="75"/>
      <c r="D444" s="75"/>
      <c r="E444" s="84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6"/>
      <c r="AJ444" s="75"/>
      <c r="AK444" s="75"/>
      <c r="AL444" s="75"/>
      <c r="AM444" s="75"/>
      <c r="AN444" s="75"/>
      <c r="AO444" s="75"/>
      <c r="AP444" s="75"/>
      <c r="AQ444" s="75"/>
      <c r="AR444" s="75"/>
    </row>
    <row r="445" spans="1:44" x14ac:dyDescent="0.25">
      <c r="A445" s="75"/>
      <c r="B445" s="75"/>
      <c r="C445" s="75"/>
      <c r="D445" s="75"/>
      <c r="E445" s="84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6"/>
      <c r="AJ445" s="75"/>
      <c r="AK445" s="75"/>
      <c r="AL445" s="75"/>
      <c r="AM445" s="75"/>
      <c r="AN445" s="75"/>
      <c r="AO445" s="75"/>
      <c r="AP445" s="75"/>
      <c r="AQ445" s="75"/>
      <c r="AR445" s="75"/>
    </row>
    <row r="446" spans="1:44" x14ac:dyDescent="0.25">
      <c r="A446" s="75"/>
      <c r="B446" s="75"/>
      <c r="C446" s="75"/>
      <c r="D446" s="75"/>
      <c r="E446" s="84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6"/>
      <c r="AJ446" s="75"/>
      <c r="AK446" s="75"/>
      <c r="AL446" s="75"/>
      <c r="AM446" s="75"/>
      <c r="AN446" s="75"/>
      <c r="AO446" s="75"/>
      <c r="AP446" s="75"/>
      <c r="AQ446" s="75"/>
      <c r="AR446" s="75"/>
    </row>
    <row r="447" spans="1:44" x14ac:dyDescent="0.25">
      <c r="A447" s="75"/>
      <c r="B447" s="75"/>
      <c r="C447" s="75"/>
      <c r="D447" s="75"/>
      <c r="E447" s="84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6"/>
      <c r="AJ447" s="75"/>
      <c r="AK447" s="75"/>
      <c r="AL447" s="75"/>
      <c r="AM447" s="75"/>
      <c r="AN447" s="75"/>
      <c r="AO447" s="75"/>
      <c r="AP447" s="75"/>
      <c r="AQ447" s="75"/>
      <c r="AR447" s="75"/>
    </row>
    <row r="448" spans="1:44" x14ac:dyDescent="0.25">
      <c r="A448" s="75"/>
      <c r="B448" s="75"/>
      <c r="C448" s="75"/>
      <c r="D448" s="75"/>
      <c r="E448" s="84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6"/>
      <c r="AJ448" s="75"/>
      <c r="AK448" s="75"/>
      <c r="AL448" s="75"/>
      <c r="AM448" s="75"/>
      <c r="AN448" s="75"/>
      <c r="AO448" s="75"/>
      <c r="AP448" s="75"/>
      <c r="AQ448" s="75"/>
      <c r="AR448" s="75"/>
    </row>
    <row r="449" spans="1:44" x14ac:dyDescent="0.25">
      <c r="A449" s="75"/>
      <c r="B449" s="75"/>
      <c r="C449" s="75"/>
      <c r="D449" s="75"/>
      <c r="E449" s="84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6"/>
      <c r="AJ449" s="75"/>
      <c r="AK449" s="75"/>
      <c r="AL449" s="75"/>
      <c r="AM449" s="75"/>
      <c r="AN449" s="75"/>
      <c r="AO449" s="75"/>
      <c r="AP449" s="75"/>
      <c r="AQ449" s="75"/>
      <c r="AR449" s="75"/>
    </row>
    <row r="450" spans="1:44" x14ac:dyDescent="0.25">
      <c r="A450" s="75"/>
      <c r="B450" s="75"/>
      <c r="C450" s="75"/>
      <c r="D450" s="75"/>
      <c r="E450" s="84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6"/>
      <c r="AJ450" s="75"/>
      <c r="AK450" s="75"/>
      <c r="AL450" s="75"/>
      <c r="AM450" s="75"/>
      <c r="AN450" s="75"/>
      <c r="AO450" s="75"/>
      <c r="AP450" s="75"/>
      <c r="AQ450" s="75"/>
      <c r="AR450" s="75"/>
    </row>
    <row r="451" spans="1:44" x14ac:dyDescent="0.25">
      <c r="A451" s="75"/>
      <c r="B451" s="75"/>
      <c r="C451" s="75"/>
      <c r="D451" s="75"/>
      <c r="E451" s="84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6"/>
      <c r="AJ451" s="75"/>
      <c r="AK451" s="75"/>
      <c r="AL451" s="75"/>
      <c r="AM451" s="75"/>
      <c r="AN451" s="75"/>
      <c r="AO451" s="75"/>
      <c r="AP451" s="75"/>
      <c r="AQ451" s="75"/>
      <c r="AR451" s="75"/>
    </row>
    <row r="452" spans="1:44" x14ac:dyDescent="0.25">
      <c r="A452" s="75"/>
      <c r="B452" s="75"/>
      <c r="C452" s="75"/>
      <c r="D452" s="75"/>
      <c r="E452" s="84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6"/>
      <c r="AJ452" s="75"/>
      <c r="AK452" s="75"/>
      <c r="AL452" s="75"/>
      <c r="AM452" s="75"/>
      <c r="AN452" s="75"/>
      <c r="AO452" s="75"/>
      <c r="AP452" s="75"/>
      <c r="AQ452" s="75"/>
      <c r="AR452" s="75"/>
    </row>
    <row r="453" spans="1:44" x14ac:dyDescent="0.25">
      <c r="A453" s="75"/>
      <c r="B453" s="75"/>
      <c r="C453" s="75"/>
      <c r="D453" s="75"/>
      <c r="E453" s="84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6"/>
      <c r="AJ453" s="75"/>
      <c r="AK453" s="75"/>
      <c r="AL453" s="75"/>
      <c r="AM453" s="75"/>
      <c r="AN453" s="75"/>
      <c r="AO453" s="75"/>
      <c r="AP453" s="75"/>
      <c r="AQ453" s="75"/>
      <c r="AR453" s="75"/>
    </row>
    <row r="454" spans="1:44" x14ac:dyDescent="0.25">
      <c r="A454" s="75"/>
      <c r="B454" s="75"/>
      <c r="C454" s="75"/>
      <c r="D454" s="75"/>
      <c r="E454" s="84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6"/>
      <c r="AJ454" s="75"/>
      <c r="AK454" s="75"/>
      <c r="AL454" s="75"/>
      <c r="AM454" s="75"/>
      <c r="AN454" s="75"/>
      <c r="AO454" s="75"/>
      <c r="AP454" s="75"/>
      <c r="AQ454" s="75"/>
      <c r="AR454" s="75"/>
    </row>
    <row r="455" spans="1:44" x14ac:dyDescent="0.25">
      <c r="A455" s="75"/>
      <c r="B455" s="75"/>
      <c r="C455" s="75"/>
      <c r="D455" s="75"/>
      <c r="E455" s="84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6"/>
      <c r="AJ455" s="75"/>
      <c r="AK455" s="75"/>
      <c r="AL455" s="75"/>
      <c r="AM455" s="75"/>
      <c r="AN455" s="75"/>
      <c r="AO455" s="75"/>
      <c r="AP455" s="75"/>
      <c r="AQ455" s="75"/>
      <c r="AR455" s="75"/>
    </row>
    <row r="456" spans="1:44" x14ac:dyDescent="0.25">
      <c r="A456" s="75"/>
      <c r="B456" s="75"/>
      <c r="C456" s="75"/>
      <c r="D456" s="75"/>
      <c r="E456" s="84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6"/>
      <c r="AJ456" s="75"/>
      <c r="AK456" s="75"/>
      <c r="AL456" s="75"/>
      <c r="AM456" s="75"/>
      <c r="AN456" s="75"/>
      <c r="AO456" s="75"/>
      <c r="AP456" s="75"/>
      <c r="AQ456" s="75"/>
      <c r="AR456" s="75"/>
    </row>
    <row r="457" spans="1:44" x14ac:dyDescent="0.25">
      <c r="A457" s="75"/>
      <c r="B457" s="75"/>
      <c r="C457" s="75"/>
      <c r="D457" s="75"/>
      <c r="E457" s="84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6"/>
      <c r="AJ457" s="75"/>
      <c r="AK457" s="75"/>
      <c r="AL457" s="75"/>
      <c r="AM457" s="75"/>
      <c r="AN457" s="75"/>
      <c r="AO457" s="75"/>
      <c r="AP457" s="75"/>
      <c r="AQ457" s="75"/>
      <c r="AR457" s="75"/>
    </row>
    <row r="458" spans="1:44" x14ac:dyDescent="0.25">
      <c r="A458" s="75"/>
      <c r="B458" s="75"/>
      <c r="C458" s="75"/>
      <c r="D458" s="75"/>
      <c r="E458" s="84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6"/>
      <c r="AJ458" s="75"/>
      <c r="AK458" s="75"/>
      <c r="AL458" s="75"/>
      <c r="AM458" s="75"/>
      <c r="AN458" s="75"/>
      <c r="AO458" s="75"/>
      <c r="AP458" s="75"/>
      <c r="AQ458" s="75"/>
      <c r="AR458" s="75"/>
    </row>
    <row r="459" spans="1:44" x14ac:dyDescent="0.25">
      <c r="A459" s="75"/>
      <c r="B459" s="75"/>
      <c r="C459" s="75"/>
      <c r="D459" s="75"/>
      <c r="E459" s="84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6"/>
      <c r="AJ459" s="75"/>
      <c r="AK459" s="75"/>
      <c r="AL459" s="75"/>
      <c r="AM459" s="75"/>
      <c r="AN459" s="75"/>
      <c r="AO459" s="75"/>
      <c r="AP459" s="75"/>
      <c r="AQ459" s="75"/>
      <c r="AR459" s="75"/>
    </row>
    <row r="460" spans="1:44" x14ac:dyDescent="0.25">
      <c r="A460" s="75"/>
      <c r="B460" s="75"/>
      <c r="C460" s="75"/>
      <c r="D460" s="75"/>
      <c r="E460" s="84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6"/>
      <c r="AJ460" s="75"/>
      <c r="AK460" s="75"/>
      <c r="AL460" s="75"/>
      <c r="AM460" s="75"/>
      <c r="AN460" s="75"/>
      <c r="AO460" s="75"/>
      <c r="AP460" s="75"/>
      <c r="AQ460" s="75"/>
      <c r="AR460" s="75"/>
    </row>
    <row r="461" spans="1:44" x14ac:dyDescent="0.25">
      <c r="A461" s="75"/>
      <c r="B461" s="75"/>
      <c r="C461" s="75"/>
      <c r="D461" s="75"/>
      <c r="E461" s="84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6"/>
      <c r="AJ461" s="75"/>
      <c r="AK461" s="75"/>
      <c r="AL461" s="75"/>
      <c r="AM461" s="75"/>
      <c r="AN461" s="75"/>
      <c r="AO461" s="75"/>
      <c r="AP461" s="75"/>
      <c r="AQ461" s="75"/>
      <c r="AR461" s="75"/>
    </row>
    <row r="462" spans="1:44" x14ac:dyDescent="0.25">
      <c r="A462" s="75"/>
      <c r="B462" s="75"/>
      <c r="C462" s="75"/>
      <c r="D462" s="75"/>
      <c r="E462" s="84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6"/>
      <c r="AJ462" s="75"/>
      <c r="AK462" s="75"/>
      <c r="AL462" s="75"/>
      <c r="AM462" s="75"/>
      <c r="AN462" s="75"/>
      <c r="AO462" s="75"/>
      <c r="AP462" s="75"/>
      <c r="AQ462" s="75"/>
      <c r="AR462" s="75"/>
    </row>
    <row r="463" spans="1:44" x14ac:dyDescent="0.25">
      <c r="A463" s="75"/>
      <c r="B463" s="75"/>
      <c r="C463" s="75"/>
      <c r="D463" s="75"/>
      <c r="E463" s="84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6"/>
      <c r="AJ463" s="75"/>
      <c r="AK463" s="75"/>
      <c r="AL463" s="75"/>
      <c r="AM463" s="75"/>
      <c r="AN463" s="75"/>
      <c r="AO463" s="75"/>
      <c r="AP463" s="75"/>
      <c r="AQ463" s="75"/>
      <c r="AR463" s="75"/>
    </row>
    <row r="464" spans="1:44" x14ac:dyDescent="0.25">
      <c r="A464" s="75"/>
      <c r="B464" s="75"/>
      <c r="C464" s="75"/>
      <c r="D464" s="75"/>
      <c r="E464" s="84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6"/>
      <c r="AJ464" s="75"/>
      <c r="AK464" s="75"/>
      <c r="AL464" s="75"/>
      <c r="AM464" s="75"/>
      <c r="AN464" s="75"/>
      <c r="AO464" s="75"/>
      <c r="AP464" s="75"/>
      <c r="AQ464" s="75"/>
      <c r="AR464" s="75"/>
    </row>
    <row r="465" spans="1:44" x14ac:dyDescent="0.25">
      <c r="A465" s="75"/>
      <c r="B465" s="75"/>
      <c r="C465" s="75"/>
      <c r="D465" s="75"/>
      <c r="E465" s="84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6"/>
      <c r="AJ465" s="75"/>
      <c r="AK465" s="75"/>
      <c r="AL465" s="75"/>
      <c r="AM465" s="75"/>
      <c r="AN465" s="75"/>
      <c r="AO465" s="75"/>
      <c r="AP465" s="75"/>
      <c r="AQ465" s="75"/>
      <c r="AR465" s="75"/>
    </row>
    <row r="466" spans="1:44" x14ac:dyDescent="0.25">
      <c r="A466" s="75"/>
      <c r="B466" s="75"/>
      <c r="C466" s="75"/>
      <c r="D466" s="75"/>
      <c r="E466" s="84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6"/>
      <c r="AJ466" s="75"/>
      <c r="AK466" s="75"/>
      <c r="AL466" s="75"/>
      <c r="AM466" s="75"/>
      <c r="AN466" s="75"/>
      <c r="AO466" s="75"/>
      <c r="AP466" s="75"/>
      <c r="AQ466" s="75"/>
      <c r="AR466" s="75"/>
    </row>
    <row r="467" spans="1:44" x14ac:dyDescent="0.25">
      <c r="A467" s="75"/>
      <c r="B467" s="75"/>
      <c r="C467" s="75"/>
      <c r="D467" s="75"/>
      <c r="E467" s="84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6"/>
      <c r="AJ467" s="75"/>
      <c r="AK467" s="75"/>
      <c r="AL467" s="75"/>
      <c r="AM467" s="75"/>
      <c r="AN467" s="75"/>
      <c r="AO467" s="75"/>
      <c r="AP467" s="75"/>
      <c r="AQ467" s="75"/>
      <c r="AR467" s="75"/>
    </row>
    <row r="468" spans="1:44" x14ac:dyDescent="0.25">
      <c r="A468" s="75"/>
      <c r="B468" s="75"/>
      <c r="C468" s="75"/>
      <c r="D468" s="75"/>
      <c r="E468" s="84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6"/>
      <c r="AJ468" s="75"/>
      <c r="AK468" s="75"/>
      <c r="AL468" s="75"/>
      <c r="AM468" s="75"/>
      <c r="AN468" s="75"/>
      <c r="AO468" s="75"/>
      <c r="AP468" s="75"/>
      <c r="AQ468" s="75"/>
      <c r="AR468" s="75"/>
    </row>
    <row r="469" spans="1:44" x14ac:dyDescent="0.25">
      <c r="A469" s="75"/>
      <c r="B469" s="75"/>
      <c r="C469" s="75"/>
      <c r="D469" s="75"/>
      <c r="E469" s="84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6"/>
      <c r="AJ469" s="75"/>
      <c r="AK469" s="75"/>
      <c r="AL469" s="75"/>
      <c r="AM469" s="75"/>
      <c r="AN469" s="75"/>
      <c r="AO469" s="75"/>
      <c r="AP469" s="75"/>
      <c r="AQ469" s="75"/>
      <c r="AR469" s="75"/>
    </row>
    <row r="470" spans="1:44" x14ac:dyDescent="0.25">
      <c r="A470" s="75"/>
      <c r="B470" s="75"/>
      <c r="C470" s="75"/>
      <c r="D470" s="75"/>
      <c r="E470" s="84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6"/>
      <c r="AJ470" s="75"/>
      <c r="AK470" s="75"/>
      <c r="AL470" s="75"/>
      <c r="AM470" s="75"/>
      <c r="AN470" s="75"/>
      <c r="AO470" s="75"/>
      <c r="AP470" s="75"/>
      <c r="AQ470" s="75"/>
      <c r="AR470" s="75"/>
    </row>
    <row r="471" spans="1:44" x14ac:dyDescent="0.25">
      <c r="A471" s="75"/>
      <c r="B471" s="75"/>
      <c r="C471" s="75"/>
      <c r="D471" s="75"/>
      <c r="E471" s="84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6"/>
      <c r="AJ471" s="75"/>
      <c r="AK471" s="75"/>
      <c r="AL471" s="75"/>
      <c r="AM471" s="75"/>
      <c r="AN471" s="75"/>
      <c r="AO471" s="75"/>
      <c r="AP471" s="75"/>
      <c r="AQ471" s="75"/>
      <c r="AR471" s="75"/>
    </row>
    <row r="472" spans="1:44" x14ac:dyDescent="0.25">
      <c r="A472" s="75"/>
      <c r="B472" s="75"/>
      <c r="C472" s="75"/>
      <c r="D472" s="75"/>
      <c r="E472" s="84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6"/>
      <c r="AJ472" s="75"/>
      <c r="AK472" s="75"/>
      <c r="AL472" s="75"/>
      <c r="AM472" s="75"/>
      <c r="AN472" s="75"/>
      <c r="AO472" s="75"/>
      <c r="AP472" s="75"/>
      <c r="AQ472" s="75"/>
      <c r="AR472" s="75"/>
    </row>
    <row r="473" spans="1:44" x14ac:dyDescent="0.25">
      <c r="A473" s="75"/>
      <c r="B473" s="75"/>
      <c r="C473" s="75"/>
      <c r="D473" s="75"/>
      <c r="E473" s="84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6"/>
      <c r="AJ473" s="75"/>
      <c r="AK473" s="75"/>
      <c r="AL473" s="75"/>
      <c r="AM473" s="75"/>
      <c r="AN473" s="75"/>
      <c r="AO473" s="75"/>
      <c r="AP473" s="75"/>
      <c r="AQ473" s="75"/>
      <c r="AR473" s="75"/>
    </row>
    <row r="474" spans="1:44" x14ac:dyDescent="0.25">
      <c r="A474" s="75"/>
      <c r="B474" s="75"/>
      <c r="C474" s="75"/>
      <c r="D474" s="75"/>
      <c r="E474" s="84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6"/>
      <c r="AJ474" s="75"/>
      <c r="AK474" s="75"/>
      <c r="AL474" s="75"/>
      <c r="AM474" s="75"/>
      <c r="AN474" s="75"/>
      <c r="AO474" s="75"/>
      <c r="AP474" s="75"/>
      <c r="AQ474" s="75"/>
      <c r="AR474" s="75"/>
    </row>
    <row r="475" spans="1:44" x14ac:dyDescent="0.25">
      <c r="A475" s="75"/>
      <c r="B475" s="75"/>
      <c r="C475" s="75"/>
      <c r="D475" s="75"/>
      <c r="E475" s="84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6"/>
      <c r="AJ475" s="75"/>
      <c r="AK475" s="75"/>
      <c r="AL475" s="75"/>
      <c r="AM475" s="75"/>
      <c r="AN475" s="75"/>
      <c r="AO475" s="75"/>
      <c r="AP475" s="75"/>
      <c r="AQ475" s="75"/>
      <c r="AR475" s="75"/>
    </row>
    <row r="476" spans="1:44" x14ac:dyDescent="0.25">
      <c r="A476" s="75"/>
      <c r="B476" s="75"/>
      <c r="C476" s="75"/>
      <c r="D476" s="75"/>
      <c r="E476" s="84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6"/>
      <c r="AJ476" s="75"/>
      <c r="AK476" s="75"/>
      <c r="AL476" s="75"/>
      <c r="AM476" s="75"/>
      <c r="AN476" s="75"/>
      <c r="AO476" s="75"/>
      <c r="AP476" s="75"/>
      <c r="AQ476" s="75"/>
      <c r="AR476" s="75"/>
    </row>
    <row r="477" spans="1:44" x14ac:dyDescent="0.25">
      <c r="A477" s="75"/>
      <c r="B477" s="75"/>
      <c r="C477" s="75"/>
      <c r="D477" s="75"/>
      <c r="E477" s="84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6"/>
      <c r="AJ477" s="75"/>
      <c r="AK477" s="75"/>
      <c r="AL477" s="75"/>
      <c r="AM477" s="75"/>
      <c r="AN477" s="75"/>
      <c r="AO477" s="75"/>
      <c r="AP477" s="75"/>
      <c r="AQ477" s="75"/>
      <c r="AR477" s="75"/>
    </row>
    <row r="478" spans="1:44" x14ac:dyDescent="0.25">
      <c r="A478" s="75"/>
      <c r="B478" s="75"/>
      <c r="C478" s="75"/>
      <c r="D478" s="75"/>
      <c r="E478" s="84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6"/>
      <c r="AJ478" s="75"/>
      <c r="AK478" s="75"/>
      <c r="AL478" s="75"/>
      <c r="AM478" s="75"/>
      <c r="AN478" s="75"/>
      <c r="AO478" s="75"/>
      <c r="AP478" s="75"/>
      <c r="AQ478" s="75"/>
      <c r="AR478" s="75"/>
    </row>
    <row r="479" spans="1:44" x14ac:dyDescent="0.25">
      <c r="A479" s="75"/>
      <c r="B479" s="75"/>
      <c r="C479" s="75"/>
      <c r="D479" s="75"/>
      <c r="E479" s="84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6"/>
      <c r="AJ479" s="75"/>
      <c r="AK479" s="75"/>
      <c r="AL479" s="75"/>
      <c r="AM479" s="75"/>
      <c r="AN479" s="75"/>
      <c r="AO479" s="75"/>
      <c r="AP479" s="75"/>
      <c r="AQ479" s="75"/>
      <c r="AR479" s="75"/>
    </row>
    <row r="480" spans="1:44" x14ac:dyDescent="0.25">
      <c r="A480" s="75"/>
      <c r="B480" s="75"/>
      <c r="C480" s="75"/>
      <c r="D480" s="75"/>
      <c r="E480" s="84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6"/>
      <c r="AJ480" s="75"/>
      <c r="AK480" s="75"/>
      <c r="AL480" s="75"/>
      <c r="AM480" s="75"/>
      <c r="AN480" s="75"/>
      <c r="AO480" s="75"/>
      <c r="AP480" s="75"/>
      <c r="AQ480" s="75"/>
      <c r="AR480" s="75"/>
    </row>
    <row r="481" spans="1:44" x14ac:dyDescent="0.25">
      <c r="A481" s="75"/>
      <c r="B481" s="75"/>
      <c r="C481" s="75"/>
      <c r="D481" s="75"/>
      <c r="E481" s="84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6"/>
      <c r="AJ481" s="75"/>
      <c r="AK481" s="75"/>
      <c r="AL481" s="75"/>
      <c r="AM481" s="75"/>
      <c r="AN481" s="75"/>
      <c r="AO481" s="75"/>
      <c r="AP481" s="75"/>
      <c r="AQ481" s="75"/>
      <c r="AR481" s="75"/>
    </row>
    <row r="482" spans="1:44" x14ac:dyDescent="0.25">
      <c r="A482" s="75"/>
      <c r="B482" s="75"/>
      <c r="C482" s="75"/>
      <c r="D482" s="75"/>
      <c r="E482" s="84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6"/>
      <c r="AJ482" s="75"/>
      <c r="AK482" s="75"/>
      <c r="AL482" s="75"/>
      <c r="AM482" s="75"/>
      <c r="AN482" s="75"/>
      <c r="AO482" s="75"/>
      <c r="AP482" s="75"/>
      <c r="AQ482" s="75"/>
      <c r="AR482" s="75"/>
    </row>
    <row r="483" spans="1:44" x14ac:dyDescent="0.25">
      <c r="A483" s="75"/>
      <c r="B483" s="75"/>
      <c r="C483" s="75"/>
      <c r="D483" s="75"/>
      <c r="E483" s="84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6"/>
      <c r="AJ483" s="75"/>
      <c r="AK483" s="75"/>
      <c r="AL483" s="75"/>
      <c r="AM483" s="75"/>
      <c r="AN483" s="75"/>
      <c r="AO483" s="75"/>
      <c r="AP483" s="75"/>
      <c r="AQ483" s="75"/>
      <c r="AR483" s="75"/>
    </row>
    <row r="484" spans="1:44" x14ac:dyDescent="0.25">
      <c r="A484" s="75"/>
      <c r="B484" s="75"/>
      <c r="C484" s="75"/>
      <c r="D484" s="75"/>
      <c r="E484" s="84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6"/>
      <c r="AJ484" s="75"/>
      <c r="AK484" s="75"/>
      <c r="AL484" s="75"/>
      <c r="AM484" s="75"/>
      <c r="AN484" s="75"/>
      <c r="AO484" s="75"/>
      <c r="AP484" s="75"/>
      <c r="AQ484" s="75"/>
      <c r="AR484" s="75"/>
    </row>
    <row r="485" spans="1:44" x14ac:dyDescent="0.25">
      <c r="A485" s="75"/>
      <c r="B485" s="75"/>
      <c r="C485" s="75"/>
      <c r="D485" s="75"/>
      <c r="E485" s="84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6"/>
      <c r="AJ485" s="75"/>
      <c r="AK485" s="75"/>
      <c r="AL485" s="75"/>
      <c r="AM485" s="75"/>
      <c r="AN485" s="75"/>
      <c r="AO485" s="75"/>
      <c r="AP485" s="75"/>
      <c r="AQ485" s="75"/>
      <c r="AR485" s="75"/>
    </row>
    <row r="486" spans="1:44" x14ac:dyDescent="0.25">
      <c r="A486" s="75"/>
      <c r="B486" s="75"/>
      <c r="C486" s="75"/>
      <c r="D486" s="75"/>
      <c r="E486" s="84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6"/>
      <c r="AJ486" s="75"/>
      <c r="AK486" s="75"/>
      <c r="AL486" s="75"/>
      <c r="AM486" s="75"/>
      <c r="AN486" s="75"/>
      <c r="AO486" s="75"/>
      <c r="AP486" s="75"/>
      <c r="AQ486" s="75"/>
      <c r="AR486" s="75"/>
    </row>
    <row r="487" spans="1:44" x14ac:dyDescent="0.25">
      <c r="A487" s="75"/>
      <c r="B487" s="75"/>
      <c r="C487" s="75"/>
      <c r="D487" s="75"/>
      <c r="E487" s="84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6"/>
      <c r="AJ487" s="75"/>
      <c r="AK487" s="75"/>
      <c r="AL487" s="75"/>
      <c r="AM487" s="75"/>
      <c r="AN487" s="75"/>
      <c r="AO487" s="75"/>
      <c r="AP487" s="75"/>
      <c r="AQ487" s="75"/>
      <c r="AR487" s="75"/>
    </row>
    <row r="488" spans="1:44" x14ac:dyDescent="0.25">
      <c r="A488" s="75"/>
      <c r="B488" s="75"/>
      <c r="C488" s="75"/>
      <c r="D488" s="75"/>
      <c r="E488" s="84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6"/>
      <c r="AJ488" s="75"/>
      <c r="AK488" s="75"/>
      <c r="AL488" s="75"/>
      <c r="AM488" s="75"/>
      <c r="AN488" s="75"/>
      <c r="AO488" s="75"/>
      <c r="AP488" s="75"/>
      <c r="AQ488" s="75"/>
      <c r="AR488" s="75"/>
    </row>
    <row r="489" spans="1:44" x14ac:dyDescent="0.25">
      <c r="A489" s="75"/>
      <c r="B489" s="75"/>
      <c r="C489" s="75"/>
      <c r="D489" s="75"/>
      <c r="E489" s="84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6"/>
      <c r="AJ489" s="75"/>
      <c r="AK489" s="75"/>
      <c r="AL489" s="75"/>
      <c r="AM489" s="75"/>
      <c r="AN489" s="75"/>
      <c r="AO489" s="75"/>
      <c r="AP489" s="75"/>
      <c r="AQ489" s="75"/>
      <c r="AR489" s="75"/>
    </row>
    <row r="490" spans="1:44" x14ac:dyDescent="0.25">
      <c r="A490" s="75"/>
      <c r="B490" s="75"/>
      <c r="C490" s="75"/>
      <c r="D490" s="75"/>
      <c r="E490" s="84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6"/>
      <c r="AJ490" s="75"/>
      <c r="AK490" s="75"/>
      <c r="AL490" s="75"/>
      <c r="AM490" s="75"/>
      <c r="AN490" s="75"/>
      <c r="AO490" s="75"/>
      <c r="AP490" s="75"/>
      <c r="AQ490" s="75"/>
      <c r="AR490" s="75"/>
    </row>
    <row r="491" spans="1:44" x14ac:dyDescent="0.25">
      <c r="A491" s="75"/>
      <c r="B491" s="75"/>
      <c r="C491" s="75"/>
      <c r="D491" s="75"/>
      <c r="E491" s="84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6"/>
      <c r="AJ491" s="75"/>
      <c r="AK491" s="75"/>
      <c r="AL491" s="75"/>
      <c r="AM491" s="75"/>
      <c r="AN491" s="75"/>
      <c r="AO491" s="75"/>
      <c r="AP491" s="75"/>
      <c r="AQ491" s="75"/>
      <c r="AR491" s="75"/>
    </row>
    <row r="492" spans="1:44" x14ac:dyDescent="0.25">
      <c r="A492" s="75"/>
      <c r="B492" s="75"/>
      <c r="C492" s="75"/>
      <c r="D492" s="75"/>
      <c r="E492" s="84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6"/>
      <c r="AJ492" s="75"/>
      <c r="AK492" s="75"/>
      <c r="AL492" s="75"/>
      <c r="AM492" s="75"/>
      <c r="AN492" s="75"/>
      <c r="AO492" s="75"/>
      <c r="AP492" s="75"/>
      <c r="AQ492" s="75"/>
      <c r="AR492" s="75"/>
    </row>
    <row r="493" spans="1:44" x14ac:dyDescent="0.25">
      <c r="A493" s="75"/>
      <c r="B493" s="75"/>
      <c r="C493" s="75"/>
      <c r="D493" s="75"/>
      <c r="E493" s="84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6"/>
      <c r="AJ493" s="75"/>
      <c r="AK493" s="75"/>
      <c r="AL493" s="75"/>
      <c r="AM493" s="75"/>
      <c r="AN493" s="75"/>
      <c r="AO493" s="75"/>
      <c r="AP493" s="75"/>
      <c r="AQ493" s="75"/>
      <c r="AR493" s="75"/>
    </row>
    <row r="494" spans="1:44" x14ac:dyDescent="0.25">
      <c r="A494" s="75"/>
      <c r="B494" s="75"/>
      <c r="C494" s="75"/>
      <c r="D494" s="75"/>
      <c r="E494" s="84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6"/>
      <c r="AJ494" s="75"/>
      <c r="AK494" s="75"/>
      <c r="AL494" s="75"/>
      <c r="AM494" s="75"/>
      <c r="AN494" s="75"/>
      <c r="AO494" s="75"/>
      <c r="AP494" s="75"/>
      <c r="AQ494" s="75"/>
      <c r="AR494" s="75"/>
    </row>
    <row r="495" spans="1:44" x14ac:dyDescent="0.25">
      <c r="A495" s="75"/>
      <c r="B495" s="75"/>
      <c r="C495" s="75"/>
      <c r="D495" s="75"/>
      <c r="E495" s="84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6"/>
      <c r="AJ495" s="75"/>
      <c r="AK495" s="75"/>
      <c r="AL495" s="75"/>
      <c r="AM495" s="75"/>
      <c r="AN495" s="75"/>
      <c r="AO495" s="75"/>
      <c r="AP495" s="75"/>
      <c r="AQ495" s="75"/>
      <c r="AR495" s="75"/>
    </row>
    <row r="496" spans="1:44" x14ac:dyDescent="0.25">
      <c r="A496" s="75"/>
      <c r="B496" s="75"/>
      <c r="C496" s="75"/>
      <c r="D496" s="75"/>
      <c r="E496" s="84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6"/>
      <c r="AJ496" s="75"/>
      <c r="AK496" s="75"/>
      <c r="AL496" s="75"/>
      <c r="AM496" s="75"/>
      <c r="AN496" s="75"/>
      <c r="AO496" s="75"/>
      <c r="AP496" s="75"/>
      <c r="AQ496" s="75"/>
      <c r="AR496" s="75"/>
    </row>
    <row r="497" spans="1:44" x14ac:dyDescent="0.25">
      <c r="A497" s="75"/>
      <c r="B497" s="75"/>
      <c r="C497" s="75"/>
      <c r="D497" s="75"/>
      <c r="E497" s="84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6"/>
      <c r="AJ497" s="75"/>
      <c r="AK497" s="75"/>
      <c r="AL497" s="75"/>
      <c r="AM497" s="75"/>
      <c r="AN497" s="75"/>
      <c r="AO497" s="75"/>
      <c r="AP497" s="75"/>
      <c r="AQ497" s="75"/>
      <c r="AR497" s="75"/>
    </row>
    <row r="498" spans="1:44" x14ac:dyDescent="0.25">
      <c r="A498" s="75"/>
      <c r="B498" s="75"/>
      <c r="C498" s="75"/>
      <c r="D498" s="75"/>
      <c r="E498" s="84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6"/>
      <c r="AJ498" s="75"/>
      <c r="AK498" s="75"/>
      <c r="AL498" s="75"/>
      <c r="AM498" s="75"/>
      <c r="AN498" s="75"/>
      <c r="AO498" s="75"/>
      <c r="AP498" s="75"/>
      <c r="AQ498" s="75"/>
      <c r="AR498" s="75"/>
    </row>
    <row r="499" spans="1:44" x14ac:dyDescent="0.25">
      <c r="A499" s="75"/>
      <c r="B499" s="75"/>
      <c r="C499" s="75"/>
      <c r="D499" s="75"/>
      <c r="E499" s="84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6"/>
      <c r="AJ499" s="75"/>
      <c r="AK499" s="75"/>
      <c r="AL499" s="75"/>
      <c r="AM499" s="75"/>
      <c r="AN499" s="75"/>
      <c r="AO499" s="75"/>
      <c r="AP499" s="75"/>
      <c r="AQ499" s="75"/>
      <c r="AR499" s="75"/>
    </row>
    <row r="500" spans="1:44" x14ac:dyDescent="0.25">
      <c r="A500" s="75"/>
      <c r="B500" s="75"/>
      <c r="C500" s="75"/>
      <c r="D500" s="75"/>
      <c r="E500" s="84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6"/>
      <c r="AJ500" s="75"/>
      <c r="AK500" s="75"/>
      <c r="AL500" s="75"/>
      <c r="AM500" s="75"/>
      <c r="AN500" s="75"/>
      <c r="AO500" s="75"/>
      <c r="AP500" s="75"/>
      <c r="AQ500" s="75"/>
      <c r="AR500" s="75"/>
    </row>
    <row r="501" spans="1:44" x14ac:dyDescent="0.25">
      <c r="A501" s="75"/>
      <c r="B501" s="75"/>
      <c r="C501" s="75"/>
      <c r="D501" s="75"/>
      <c r="E501" s="84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6"/>
      <c r="AJ501" s="75"/>
      <c r="AK501" s="75"/>
      <c r="AL501" s="75"/>
      <c r="AM501" s="75"/>
      <c r="AN501" s="75"/>
      <c r="AO501" s="75"/>
      <c r="AP501" s="75"/>
      <c r="AQ501" s="75"/>
      <c r="AR501" s="75"/>
    </row>
    <row r="502" spans="1:44" x14ac:dyDescent="0.25">
      <c r="A502" s="75"/>
      <c r="B502" s="75"/>
      <c r="C502" s="75"/>
      <c r="D502" s="75"/>
      <c r="E502" s="84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6"/>
      <c r="AJ502" s="75"/>
      <c r="AK502" s="75"/>
      <c r="AL502" s="75"/>
      <c r="AM502" s="75"/>
      <c r="AN502" s="75"/>
      <c r="AO502" s="75"/>
      <c r="AP502" s="75"/>
      <c r="AQ502" s="75"/>
      <c r="AR502" s="75"/>
    </row>
    <row r="503" spans="1:44" x14ac:dyDescent="0.25">
      <c r="A503" s="75"/>
      <c r="B503" s="75"/>
      <c r="C503" s="75"/>
      <c r="D503" s="75"/>
      <c r="E503" s="84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6"/>
      <c r="AJ503" s="75"/>
      <c r="AK503" s="75"/>
      <c r="AL503" s="75"/>
      <c r="AM503" s="75"/>
      <c r="AN503" s="75"/>
      <c r="AO503" s="75"/>
      <c r="AP503" s="75"/>
      <c r="AQ503" s="75"/>
      <c r="AR503" s="75"/>
    </row>
    <row r="504" spans="1:44" x14ac:dyDescent="0.25">
      <c r="A504" s="75"/>
      <c r="B504" s="75"/>
      <c r="C504" s="75"/>
      <c r="D504" s="75"/>
      <c r="E504" s="84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6"/>
      <c r="AJ504" s="75"/>
      <c r="AK504" s="75"/>
      <c r="AL504" s="75"/>
      <c r="AM504" s="75"/>
      <c r="AN504" s="75"/>
      <c r="AO504" s="75"/>
      <c r="AP504" s="75"/>
      <c r="AQ504" s="75"/>
      <c r="AR504" s="75"/>
    </row>
    <row r="505" spans="1:44" x14ac:dyDescent="0.25">
      <c r="A505" s="75"/>
      <c r="B505" s="75"/>
      <c r="C505" s="75"/>
      <c r="D505" s="75"/>
      <c r="E505" s="84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6"/>
      <c r="AJ505" s="75"/>
      <c r="AK505" s="75"/>
      <c r="AL505" s="75"/>
      <c r="AM505" s="75"/>
      <c r="AN505" s="75"/>
      <c r="AO505" s="75"/>
      <c r="AP505" s="75"/>
      <c r="AQ505" s="75"/>
      <c r="AR505" s="75"/>
    </row>
    <row r="506" spans="1:44" x14ac:dyDescent="0.25">
      <c r="A506" s="75"/>
      <c r="B506" s="75"/>
      <c r="C506" s="75"/>
      <c r="D506" s="75"/>
      <c r="E506" s="84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6"/>
      <c r="AJ506" s="75"/>
      <c r="AK506" s="75"/>
      <c r="AL506" s="75"/>
      <c r="AM506" s="75"/>
      <c r="AN506" s="75"/>
      <c r="AO506" s="75"/>
      <c r="AP506" s="75"/>
      <c r="AQ506" s="75"/>
      <c r="AR506" s="75"/>
    </row>
    <row r="507" spans="1:44" x14ac:dyDescent="0.25">
      <c r="A507" s="75"/>
      <c r="B507" s="75"/>
      <c r="C507" s="75"/>
      <c r="D507" s="75"/>
      <c r="E507" s="84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6"/>
      <c r="AJ507" s="75"/>
      <c r="AK507" s="75"/>
      <c r="AL507" s="75"/>
      <c r="AM507" s="75"/>
      <c r="AN507" s="75"/>
      <c r="AO507" s="75"/>
      <c r="AP507" s="75"/>
      <c r="AQ507" s="75"/>
      <c r="AR507" s="75"/>
    </row>
    <row r="508" spans="1:44" x14ac:dyDescent="0.25">
      <c r="A508" s="75"/>
      <c r="B508" s="75"/>
      <c r="C508" s="75"/>
      <c r="D508" s="75"/>
      <c r="E508" s="84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6"/>
      <c r="AJ508" s="75"/>
      <c r="AK508" s="75"/>
      <c r="AL508" s="75"/>
      <c r="AM508" s="75"/>
      <c r="AN508" s="75"/>
      <c r="AO508" s="75"/>
      <c r="AP508" s="75"/>
      <c r="AQ508" s="75"/>
      <c r="AR508" s="75"/>
    </row>
    <row r="509" spans="1:44" x14ac:dyDescent="0.25">
      <c r="A509" s="75"/>
      <c r="B509" s="75"/>
      <c r="C509" s="75"/>
      <c r="D509" s="75"/>
      <c r="E509" s="84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6"/>
      <c r="AJ509" s="75"/>
      <c r="AK509" s="75"/>
      <c r="AL509" s="75"/>
      <c r="AM509" s="75"/>
      <c r="AN509" s="75"/>
      <c r="AO509" s="75"/>
      <c r="AP509" s="75"/>
      <c r="AQ509" s="75"/>
      <c r="AR509" s="75"/>
    </row>
    <row r="510" spans="1:44" x14ac:dyDescent="0.25">
      <c r="A510" s="75"/>
      <c r="B510" s="75"/>
      <c r="C510" s="75"/>
      <c r="D510" s="75"/>
      <c r="E510" s="84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6"/>
      <c r="AJ510" s="75"/>
      <c r="AK510" s="75"/>
      <c r="AL510" s="75"/>
      <c r="AM510" s="75"/>
      <c r="AN510" s="75"/>
      <c r="AO510" s="75"/>
      <c r="AP510" s="75"/>
      <c r="AQ510" s="75"/>
      <c r="AR510" s="75"/>
    </row>
    <row r="511" spans="1:44" x14ac:dyDescent="0.25">
      <c r="A511" s="75"/>
      <c r="B511" s="75"/>
      <c r="C511" s="75"/>
      <c r="D511" s="75"/>
      <c r="E511" s="84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6"/>
      <c r="AJ511" s="75"/>
      <c r="AK511" s="75"/>
      <c r="AL511" s="75"/>
      <c r="AM511" s="75"/>
      <c r="AN511" s="75"/>
      <c r="AO511" s="75"/>
      <c r="AP511" s="75"/>
      <c r="AQ511" s="75"/>
      <c r="AR511" s="75"/>
    </row>
    <row r="512" spans="1:44" x14ac:dyDescent="0.25">
      <c r="A512" s="75"/>
      <c r="B512" s="75"/>
      <c r="C512" s="75"/>
      <c r="D512" s="75"/>
      <c r="E512" s="84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6"/>
      <c r="AJ512" s="75"/>
      <c r="AK512" s="75"/>
      <c r="AL512" s="75"/>
      <c r="AM512" s="75"/>
      <c r="AN512" s="75"/>
      <c r="AO512" s="75"/>
      <c r="AP512" s="75"/>
      <c r="AQ512" s="75"/>
      <c r="AR512" s="75"/>
    </row>
    <row r="513" spans="1:44" x14ac:dyDescent="0.25">
      <c r="A513" s="75"/>
      <c r="B513" s="75"/>
      <c r="C513" s="75"/>
      <c r="D513" s="75"/>
      <c r="E513" s="84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6"/>
      <c r="AJ513" s="75"/>
      <c r="AK513" s="75"/>
      <c r="AL513" s="75"/>
      <c r="AM513" s="75"/>
      <c r="AN513" s="75"/>
      <c r="AO513" s="75"/>
      <c r="AP513" s="75"/>
      <c r="AQ513" s="75"/>
      <c r="AR513" s="75"/>
    </row>
    <row r="514" spans="1:44" x14ac:dyDescent="0.25">
      <c r="A514" s="75"/>
      <c r="B514" s="75"/>
      <c r="C514" s="75"/>
      <c r="D514" s="75"/>
      <c r="E514" s="84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6"/>
      <c r="AJ514" s="75"/>
      <c r="AK514" s="75"/>
      <c r="AL514" s="75"/>
      <c r="AM514" s="75"/>
      <c r="AN514" s="75"/>
      <c r="AO514" s="75"/>
      <c r="AP514" s="75"/>
      <c r="AQ514" s="75"/>
      <c r="AR514" s="75"/>
    </row>
    <row r="515" spans="1:44" x14ac:dyDescent="0.25">
      <c r="A515" s="75"/>
      <c r="B515" s="75"/>
      <c r="C515" s="75"/>
      <c r="D515" s="75"/>
      <c r="E515" s="84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6"/>
      <c r="AJ515" s="75"/>
      <c r="AK515" s="75"/>
      <c r="AL515" s="75"/>
      <c r="AM515" s="75"/>
      <c r="AN515" s="75"/>
      <c r="AO515" s="75"/>
      <c r="AP515" s="75"/>
      <c r="AQ515" s="75"/>
      <c r="AR515" s="75"/>
    </row>
    <row r="516" spans="1:44" x14ac:dyDescent="0.25">
      <c r="A516" s="75"/>
      <c r="B516" s="75"/>
      <c r="C516" s="75"/>
      <c r="D516" s="75"/>
      <c r="E516" s="84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6"/>
      <c r="AJ516" s="75"/>
      <c r="AK516" s="75"/>
      <c r="AL516" s="75"/>
      <c r="AM516" s="75"/>
      <c r="AN516" s="75"/>
      <c r="AO516" s="75"/>
      <c r="AP516" s="75"/>
      <c r="AQ516" s="75"/>
      <c r="AR516" s="75"/>
    </row>
    <row r="517" spans="1:44" x14ac:dyDescent="0.25">
      <c r="A517" s="75"/>
      <c r="B517" s="75"/>
      <c r="C517" s="75"/>
      <c r="D517" s="75"/>
      <c r="E517" s="84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6"/>
      <c r="AJ517" s="75"/>
      <c r="AK517" s="75"/>
      <c r="AL517" s="75"/>
      <c r="AM517" s="75"/>
      <c r="AN517" s="75"/>
      <c r="AO517" s="75"/>
      <c r="AP517" s="75"/>
      <c r="AQ517" s="75"/>
      <c r="AR517" s="75"/>
    </row>
    <row r="518" spans="1:44" x14ac:dyDescent="0.25">
      <c r="A518" s="75"/>
      <c r="B518" s="75"/>
      <c r="C518" s="75"/>
      <c r="D518" s="75"/>
      <c r="E518" s="84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6"/>
      <c r="AJ518" s="75"/>
      <c r="AK518" s="75"/>
      <c r="AL518" s="75"/>
      <c r="AM518" s="75"/>
      <c r="AN518" s="75"/>
      <c r="AO518" s="75"/>
      <c r="AP518" s="75"/>
      <c r="AQ518" s="75"/>
      <c r="AR518" s="75"/>
    </row>
    <row r="519" spans="1:44" x14ac:dyDescent="0.25">
      <c r="A519" s="75"/>
      <c r="B519" s="75"/>
      <c r="C519" s="75"/>
      <c r="D519" s="75"/>
      <c r="E519" s="84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6"/>
      <c r="AJ519" s="75"/>
      <c r="AK519" s="75"/>
      <c r="AL519" s="75"/>
      <c r="AM519" s="75"/>
      <c r="AN519" s="75"/>
      <c r="AO519" s="75"/>
      <c r="AP519" s="75"/>
      <c r="AQ519" s="75"/>
      <c r="AR519" s="75"/>
    </row>
    <row r="520" spans="1:44" x14ac:dyDescent="0.25">
      <c r="A520" s="75"/>
      <c r="B520" s="75"/>
      <c r="C520" s="75"/>
      <c r="D520" s="75"/>
      <c r="E520" s="84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6"/>
      <c r="AJ520" s="75"/>
      <c r="AK520" s="75"/>
      <c r="AL520" s="75"/>
      <c r="AM520" s="75"/>
      <c r="AN520" s="75"/>
      <c r="AO520" s="75"/>
      <c r="AP520" s="75"/>
      <c r="AQ520" s="75"/>
      <c r="AR520" s="75"/>
    </row>
    <row r="521" spans="1:44" x14ac:dyDescent="0.25">
      <c r="A521" s="75"/>
      <c r="B521" s="75"/>
      <c r="C521" s="75"/>
      <c r="D521" s="75"/>
      <c r="E521" s="84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6"/>
      <c r="AJ521" s="75"/>
      <c r="AK521" s="75"/>
      <c r="AL521" s="75"/>
      <c r="AM521" s="75"/>
      <c r="AN521" s="75"/>
      <c r="AO521" s="75"/>
      <c r="AP521" s="75"/>
      <c r="AQ521" s="75"/>
      <c r="AR521" s="75"/>
    </row>
    <row r="522" spans="1:44" x14ac:dyDescent="0.25">
      <c r="A522" s="75"/>
      <c r="B522" s="75"/>
      <c r="C522" s="75"/>
      <c r="D522" s="75"/>
      <c r="E522" s="84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6"/>
      <c r="AJ522" s="75"/>
      <c r="AK522" s="75"/>
      <c r="AL522" s="75"/>
      <c r="AM522" s="75"/>
      <c r="AN522" s="75"/>
      <c r="AO522" s="75"/>
      <c r="AP522" s="75"/>
      <c r="AQ522" s="75"/>
      <c r="AR522" s="75"/>
    </row>
    <row r="523" spans="1:44" x14ac:dyDescent="0.25">
      <c r="A523" s="75"/>
      <c r="B523" s="75"/>
      <c r="C523" s="75"/>
      <c r="D523" s="75"/>
      <c r="E523" s="84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6"/>
      <c r="AJ523" s="75"/>
      <c r="AK523" s="75"/>
      <c r="AL523" s="75"/>
      <c r="AM523" s="75"/>
      <c r="AN523" s="75"/>
      <c r="AO523" s="75"/>
      <c r="AP523" s="75"/>
      <c r="AQ523" s="75"/>
      <c r="AR523" s="75"/>
    </row>
    <row r="524" spans="1:44" x14ac:dyDescent="0.25">
      <c r="A524" s="75"/>
      <c r="B524" s="75"/>
      <c r="C524" s="75"/>
      <c r="D524" s="75"/>
      <c r="E524" s="84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6"/>
      <c r="AJ524" s="75"/>
      <c r="AK524" s="75"/>
      <c r="AL524" s="75"/>
      <c r="AM524" s="75"/>
      <c r="AN524" s="75"/>
      <c r="AO524" s="75"/>
      <c r="AP524" s="75"/>
      <c r="AQ524" s="75"/>
      <c r="AR524" s="75"/>
    </row>
    <row r="525" spans="1:44" x14ac:dyDescent="0.25">
      <c r="A525" s="75"/>
      <c r="B525" s="75"/>
      <c r="C525" s="75"/>
      <c r="D525" s="75"/>
      <c r="E525" s="84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6"/>
      <c r="AJ525" s="75"/>
      <c r="AK525" s="75"/>
      <c r="AL525" s="75"/>
      <c r="AM525" s="75"/>
      <c r="AN525" s="75"/>
      <c r="AO525" s="75"/>
      <c r="AP525" s="75"/>
      <c r="AQ525" s="75"/>
      <c r="AR525" s="75"/>
    </row>
    <row r="526" spans="1:44" x14ac:dyDescent="0.25">
      <c r="A526" s="75"/>
      <c r="B526" s="75"/>
      <c r="C526" s="75"/>
      <c r="D526" s="75"/>
      <c r="E526" s="84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6"/>
      <c r="AJ526" s="75"/>
      <c r="AK526" s="75"/>
      <c r="AL526" s="75"/>
      <c r="AM526" s="75"/>
      <c r="AN526" s="75"/>
      <c r="AO526" s="75"/>
      <c r="AP526" s="75"/>
      <c r="AQ526" s="75"/>
      <c r="AR526" s="75"/>
    </row>
    <row r="527" spans="1:44" x14ac:dyDescent="0.25">
      <c r="A527" s="75"/>
      <c r="B527" s="75"/>
      <c r="C527" s="75"/>
      <c r="D527" s="75"/>
      <c r="E527" s="84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6"/>
      <c r="AJ527" s="75"/>
      <c r="AK527" s="75"/>
      <c r="AL527" s="75"/>
      <c r="AM527" s="75"/>
      <c r="AN527" s="75"/>
      <c r="AO527" s="75"/>
      <c r="AP527" s="75"/>
      <c r="AQ527" s="75"/>
      <c r="AR527" s="75"/>
    </row>
    <row r="528" spans="1:44" x14ac:dyDescent="0.25">
      <c r="A528" s="75"/>
      <c r="B528" s="75"/>
      <c r="C528" s="75"/>
      <c r="D528" s="75"/>
      <c r="E528" s="84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6"/>
      <c r="AJ528" s="75"/>
      <c r="AK528" s="75"/>
      <c r="AL528" s="75"/>
      <c r="AM528" s="75"/>
      <c r="AN528" s="75"/>
      <c r="AO528" s="75"/>
      <c r="AP528" s="75"/>
      <c r="AQ528" s="75"/>
      <c r="AR528" s="75"/>
    </row>
    <row r="529" spans="1:44" x14ac:dyDescent="0.25">
      <c r="A529" s="75"/>
      <c r="B529" s="75"/>
      <c r="C529" s="75"/>
      <c r="D529" s="75"/>
      <c r="E529" s="84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6"/>
      <c r="AJ529" s="75"/>
      <c r="AK529" s="75"/>
      <c r="AL529" s="75"/>
      <c r="AM529" s="75"/>
      <c r="AN529" s="75"/>
      <c r="AO529" s="75"/>
      <c r="AP529" s="75"/>
      <c r="AQ529" s="75"/>
      <c r="AR529" s="75"/>
    </row>
    <row r="530" spans="1:44" x14ac:dyDescent="0.25">
      <c r="A530" s="75"/>
      <c r="B530" s="75"/>
      <c r="C530" s="75"/>
      <c r="D530" s="75"/>
      <c r="E530" s="84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6"/>
      <c r="AJ530" s="75"/>
      <c r="AK530" s="75"/>
      <c r="AL530" s="75"/>
      <c r="AM530" s="75"/>
      <c r="AN530" s="75"/>
      <c r="AO530" s="75"/>
      <c r="AP530" s="75"/>
      <c r="AQ530" s="75"/>
      <c r="AR530" s="75"/>
    </row>
    <row r="531" spans="1:44" x14ac:dyDescent="0.25">
      <c r="A531" s="75"/>
      <c r="B531" s="75"/>
      <c r="C531" s="75"/>
      <c r="D531" s="75"/>
      <c r="E531" s="84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6"/>
      <c r="AJ531" s="75"/>
      <c r="AK531" s="75"/>
      <c r="AL531" s="75"/>
      <c r="AM531" s="75"/>
      <c r="AN531" s="75"/>
      <c r="AO531" s="75"/>
      <c r="AP531" s="75"/>
      <c r="AQ531" s="75"/>
      <c r="AR531" s="75"/>
    </row>
    <row r="532" spans="1:44" x14ac:dyDescent="0.25">
      <c r="A532" s="75"/>
      <c r="B532" s="75"/>
      <c r="C532" s="75"/>
      <c r="D532" s="75"/>
      <c r="E532" s="84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6"/>
      <c r="AJ532" s="75"/>
      <c r="AK532" s="75"/>
      <c r="AL532" s="75"/>
      <c r="AM532" s="75"/>
      <c r="AN532" s="75"/>
      <c r="AO532" s="75"/>
      <c r="AP532" s="75"/>
      <c r="AQ532" s="75"/>
      <c r="AR532" s="75"/>
    </row>
    <row r="533" spans="1:44" x14ac:dyDescent="0.25">
      <c r="A533" s="75"/>
      <c r="B533" s="75"/>
      <c r="C533" s="75"/>
      <c r="D533" s="75"/>
      <c r="E533" s="84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6"/>
      <c r="AJ533" s="75"/>
      <c r="AK533" s="75"/>
      <c r="AL533" s="75"/>
      <c r="AM533" s="75"/>
      <c r="AN533" s="75"/>
      <c r="AO533" s="75"/>
      <c r="AP533" s="75"/>
      <c r="AQ533" s="75"/>
      <c r="AR533" s="75"/>
    </row>
    <row r="534" spans="1:44" x14ac:dyDescent="0.25">
      <c r="A534" s="75"/>
      <c r="B534" s="75"/>
      <c r="C534" s="75"/>
      <c r="D534" s="75"/>
      <c r="E534" s="84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6"/>
      <c r="AJ534" s="75"/>
      <c r="AK534" s="75"/>
      <c r="AL534" s="75"/>
      <c r="AM534" s="75"/>
      <c r="AN534" s="75"/>
      <c r="AO534" s="75"/>
      <c r="AP534" s="75"/>
      <c r="AQ534" s="75"/>
      <c r="AR534" s="75"/>
    </row>
    <row r="535" spans="1:44" x14ac:dyDescent="0.25">
      <c r="A535" s="75"/>
      <c r="B535" s="75"/>
      <c r="C535" s="75"/>
      <c r="D535" s="75"/>
      <c r="E535" s="84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6"/>
      <c r="AJ535" s="75"/>
      <c r="AK535" s="75"/>
      <c r="AL535" s="75"/>
      <c r="AM535" s="75"/>
      <c r="AN535" s="75"/>
      <c r="AO535" s="75"/>
      <c r="AP535" s="75"/>
      <c r="AQ535" s="75"/>
      <c r="AR535" s="75"/>
    </row>
    <row r="536" spans="1:44" x14ac:dyDescent="0.25">
      <c r="A536" s="75"/>
      <c r="B536" s="75"/>
      <c r="C536" s="75"/>
      <c r="D536" s="75"/>
      <c r="E536" s="84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6"/>
      <c r="AJ536" s="75"/>
      <c r="AK536" s="75"/>
      <c r="AL536" s="75"/>
      <c r="AM536" s="75"/>
      <c r="AN536" s="75"/>
      <c r="AO536" s="75"/>
      <c r="AP536" s="75"/>
      <c r="AQ536" s="75"/>
      <c r="AR536" s="75"/>
    </row>
    <row r="537" spans="1:44" x14ac:dyDescent="0.25">
      <c r="A537" s="75"/>
      <c r="B537" s="75"/>
      <c r="C537" s="75"/>
      <c r="D537" s="75"/>
      <c r="E537" s="84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6"/>
      <c r="AJ537" s="75"/>
      <c r="AK537" s="75"/>
      <c r="AL537" s="75"/>
      <c r="AM537" s="75"/>
      <c r="AN537" s="75"/>
      <c r="AO537" s="75"/>
      <c r="AP537" s="75"/>
      <c r="AQ537" s="75"/>
      <c r="AR537" s="75"/>
    </row>
    <row r="538" spans="1:44" x14ac:dyDescent="0.25">
      <c r="A538" s="75"/>
      <c r="B538" s="75"/>
      <c r="C538" s="75"/>
      <c r="D538" s="75"/>
      <c r="E538" s="84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6"/>
      <c r="AJ538" s="75"/>
      <c r="AK538" s="75"/>
      <c r="AL538" s="75"/>
      <c r="AM538" s="75"/>
      <c r="AN538" s="75"/>
      <c r="AO538" s="75"/>
      <c r="AP538" s="75"/>
      <c r="AQ538" s="75"/>
      <c r="AR538" s="75"/>
    </row>
    <row r="539" spans="1:44" x14ac:dyDescent="0.25">
      <c r="A539" s="75"/>
      <c r="B539" s="75"/>
      <c r="C539" s="75"/>
      <c r="D539" s="75"/>
      <c r="E539" s="84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6"/>
      <c r="AJ539" s="75"/>
      <c r="AK539" s="75"/>
      <c r="AL539" s="75"/>
      <c r="AM539" s="75"/>
      <c r="AN539" s="75"/>
      <c r="AO539" s="75"/>
      <c r="AP539" s="75"/>
      <c r="AQ539" s="75"/>
      <c r="AR539" s="75"/>
    </row>
    <row r="540" spans="1:44" x14ac:dyDescent="0.25">
      <c r="A540" s="75"/>
      <c r="B540" s="75"/>
      <c r="C540" s="75"/>
      <c r="D540" s="75"/>
      <c r="E540" s="84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6"/>
      <c r="AJ540" s="75"/>
      <c r="AK540" s="75"/>
      <c r="AL540" s="75"/>
      <c r="AM540" s="75"/>
      <c r="AN540" s="75"/>
      <c r="AO540" s="75"/>
      <c r="AP540" s="75"/>
      <c r="AQ540" s="75"/>
      <c r="AR540" s="75"/>
    </row>
    <row r="541" spans="1:44" x14ac:dyDescent="0.25">
      <c r="A541" s="75"/>
      <c r="B541" s="75"/>
      <c r="C541" s="75"/>
      <c r="D541" s="75"/>
      <c r="E541" s="84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6"/>
      <c r="AJ541" s="75"/>
      <c r="AK541" s="75"/>
      <c r="AL541" s="75"/>
      <c r="AM541" s="75"/>
      <c r="AN541" s="75"/>
      <c r="AO541" s="75"/>
      <c r="AP541" s="75"/>
      <c r="AQ541" s="75"/>
      <c r="AR541" s="75"/>
    </row>
    <row r="542" spans="1:44" x14ac:dyDescent="0.25">
      <c r="A542" s="75"/>
      <c r="B542" s="75"/>
      <c r="C542" s="75"/>
      <c r="D542" s="75"/>
      <c r="E542" s="84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6"/>
      <c r="AJ542" s="75"/>
      <c r="AK542" s="75"/>
      <c r="AL542" s="75"/>
      <c r="AM542" s="75"/>
      <c r="AN542" s="75"/>
      <c r="AO542" s="75"/>
      <c r="AP542" s="75"/>
      <c r="AQ542" s="75"/>
      <c r="AR542" s="75"/>
    </row>
    <row r="543" spans="1:44" x14ac:dyDescent="0.25">
      <c r="A543" s="75"/>
      <c r="B543" s="75"/>
      <c r="C543" s="75"/>
      <c r="D543" s="75"/>
      <c r="E543" s="84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6"/>
      <c r="AJ543" s="75"/>
      <c r="AK543" s="75"/>
      <c r="AL543" s="75"/>
      <c r="AM543" s="75"/>
      <c r="AN543" s="75"/>
      <c r="AO543" s="75"/>
      <c r="AP543" s="75"/>
      <c r="AQ543" s="75"/>
      <c r="AR543" s="75"/>
    </row>
    <row r="544" spans="1:44" x14ac:dyDescent="0.25">
      <c r="A544" s="75"/>
      <c r="B544" s="75"/>
      <c r="C544" s="75"/>
      <c r="D544" s="75"/>
      <c r="E544" s="84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6"/>
      <c r="AJ544" s="75"/>
      <c r="AK544" s="75"/>
      <c r="AL544" s="75"/>
      <c r="AM544" s="75"/>
      <c r="AN544" s="75"/>
      <c r="AO544" s="75"/>
      <c r="AP544" s="75"/>
      <c r="AQ544" s="75"/>
      <c r="AR544" s="75"/>
    </row>
    <row r="545" spans="1:44" x14ac:dyDescent="0.25">
      <c r="A545" s="75"/>
      <c r="B545" s="75"/>
      <c r="C545" s="75"/>
      <c r="D545" s="75"/>
      <c r="E545" s="84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6"/>
      <c r="AJ545" s="75"/>
      <c r="AK545" s="75"/>
      <c r="AL545" s="75"/>
      <c r="AM545" s="75"/>
      <c r="AN545" s="75"/>
      <c r="AO545" s="75"/>
      <c r="AP545" s="75"/>
      <c r="AQ545" s="75"/>
      <c r="AR545" s="75"/>
    </row>
    <row r="546" spans="1:44" x14ac:dyDescent="0.25">
      <c r="A546" s="75"/>
      <c r="B546" s="75"/>
      <c r="C546" s="75"/>
      <c r="D546" s="75"/>
      <c r="E546" s="84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6"/>
      <c r="AJ546" s="75"/>
      <c r="AK546" s="75"/>
      <c r="AL546" s="75"/>
      <c r="AM546" s="75"/>
      <c r="AN546" s="75"/>
      <c r="AO546" s="75"/>
      <c r="AP546" s="75"/>
      <c r="AQ546" s="75"/>
      <c r="AR546" s="75"/>
    </row>
    <row r="547" spans="1:44" x14ac:dyDescent="0.25">
      <c r="A547" s="75"/>
      <c r="B547" s="75"/>
      <c r="C547" s="75"/>
      <c r="D547" s="75"/>
      <c r="E547" s="84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6"/>
      <c r="AJ547" s="75"/>
      <c r="AK547" s="75"/>
      <c r="AL547" s="75"/>
      <c r="AM547" s="75"/>
      <c r="AN547" s="75"/>
      <c r="AO547" s="75"/>
      <c r="AP547" s="75"/>
      <c r="AQ547" s="75"/>
      <c r="AR547" s="75"/>
    </row>
    <row r="548" spans="1:44" x14ac:dyDescent="0.25">
      <c r="A548" s="75"/>
      <c r="B548" s="75"/>
      <c r="C548" s="75"/>
      <c r="D548" s="75"/>
      <c r="E548" s="84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6"/>
      <c r="AJ548" s="75"/>
      <c r="AK548" s="75"/>
      <c r="AL548" s="75"/>
      <c r="AM548" s="75"/>
      <c r="AN548" s="75"/>
      <c r="AO548" s="75"/>
      <c r="AP548" s="75"/>
      <c r="AQ548" s="75"/>
      <c r="AR548" s="75"/>
    </row>
    <row r="549" spans="1:44" x14ac:dyDescent="0.25">
      <c r="A549" s="75"/>
      <c r="B549" s="75"/>
      <c r="C549" s="75"/>
      <c r="D549" s="75"/>
      <c r="E549" s="84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6"/>
      <c r="AJ549" s="75"/>
      <c r="AK549" s="75"/>
      <c r="AL549" s="75"/>
      <c r="AM549" s="75"/>
      <c r="AN549" s="75"/>
      <c r="AO549" s="75"/>
      <c r="AP549" s="75"/>
      <c r="AQ549" s="75"/>
      <c r="AR549" s="75"/>
    </row>
    <row r="550" spans="1:44" x14ac:dyDescent="0.25">
      <c r="A550" s="75"/>
      <c r="B550" s="75"/>
      <c r="C550" s="75"/>
      <c r="D550" s="75"/>
      <c r="E550" s="84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6"/>
      <c r="AJ550" s="75"/>
      <c r="AK550" s="75"/>
      <c r="AL550" s="75"/>
      <c r="AM550" s="75"/>
      <c r="AN550" s="75"/>
      <c r="AO550" s="75"/>
      <c r="AP550" s="75"/>
      <c r="AQ550" s="75"/>
      <c r="AR550" s="75"/>
    </row>
    <row r="551" spans="1:44" x14ac:dyDescent="0.25">
      <c r="A551" s="75"/>
      <c r="B551" s="75"/>
      <c r="C551" s="75"/>
      <c r="D551" s="75"/>
      <c r="E551" s="84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6"/>
      <c r="AJ551" s="75"/>
      <c r="AK551" s="75"/>
      <c r="AL551" s="75"/>
      <c r="AM551" s="75"/>
      <c r="AN551" s="75"/>
      <c r="AO551" s="75"/>
      <c r="AP551" s="75"/>
      <c r="AQ551" s="75"/>
      <c r="AR551" s="75"/>
    </row>
    <row r="552" spans="1:44" x14ac:dyDescent="0.25">
      <c r="A552" s="75"/>
      <c r="B552" s="75"/>
      <c r="C552" s="75"/>
      <c r="D552" s="75"/>
      <c r="E552" s="84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6"/>
      <c r="AJ552" s="75"/>
      <c r="AK552" s="75"/>
      <c r="AL552" s="75"/>
      <c r="AM552" s="75"/>
      <c r="AN552" s="75"/>
      <c r="AO552" s="75"/>
      <c r="AP552" s="75"/>
      <c r="AQ552" s="75"/>
      <c r="AR552" s="75"/>
    </row>
    <row r="553" spans="1:44" x14ac:dyDescent="0.25">
      <c r="A553" s="75"/>
      <c r="B553" s="75"/>
      <c r="C553" s="75"/>
      <c r="D553" s="75"/>
      <c r="E553" s="84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6"/>
      <c r="AJ553" s="75"/>
      <c r="AK553" s="75"/>
      <c r="AL553" s="75"/>
      <c r="AM553" s="75"/>
      <c r="AN553" s="75"/>
      <c r="AO553" s="75"/>
      <c r="AP553" s="75"/>
      <c r="AQ553" s="75"/>
      <c r="AR553" s="75"/>
    </row>
    <row r="554" spans="1:44" x14ac:dyDescent="0.25">
      <c r="A554" s="75"/>
      <c r="B554" s="75"/>
      <c r="C554" s="75"/>
      <c r="D554" s="75"/>
      <c r="E554" s="84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6"/>
      <c r="AJ554" s="75"/>
      <c r="AK554" s="75"/>
      <c r="AL554" s="75"/>
      <c r="AM554" s="75"/>
      <c r="AN554" s="75"/>
      <c r="AO554" s="75"/>
      <c r="AP554" s="75"/>
      <c r="AQ554" s="75"/>
      <c r="AR554" s="75"/>
    </row>
    <row r="555" spans="1:44" x14ac:dyDescent="0.25">
      <c r="A555" s="75"/>
      <c r="B555" s="75"/>
      <c r="C555" s="75"/>
      <c r="D555" s="75"/>
      <c r="E555" s="84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6"/>
      <c r="AJ555" s="75"/>
      <c r="AK555" s="75"/>
      <c r="AL555" s="75"/>
      <c r="AM555" s="75"/>
      <c r="AN555" s="75"/>
      <c r="AO555" s="75"/>
      <c r="AP555" s="75"/>
      <c r="AQ555" s="75"/>
      <c r="AR555" s="75"/>
    </row>
    <row r="556" spans="1:44" x14ac:dyDescent="0.25">
      <c r="A556" s="75"/>
      <c r="B556" s="75"/>
      <c r="C556" s="75"/>
      <c r="D556" s="75"/>
      <c r="E556" s="84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6"/>
      <c r="AJ556" s="75"/>
      <c r="AK556" s="75"/>
      <c r="AL556" s="75"/>
      <c r="AM556" s="75"/>
      <c r="AN556" s="75"/>
      <c r="AO556" s="75"/>
      <c r="AP556" s="75"/>
      <c r="AQ556" s="75"/>
      <c r="AR556" s="75"/>
    </row>
    <row r="557" spans="1:44" x14ac:dyDescent="0.25">
      <c r="A557" s="75"/>
      <c r="B557" s="75"/>
      <c r="C557" s="75"/>
      <c r="D557" s="75"/>
      <c r="E557" s="84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6"/>
      <c r="AJ557" s="75"/>
      <c r="AK557" s="75"/>
      <c r="AL557" s="75"/>
      <c r="AM557" s="75"/>
      <c r="AN557" s="75"/>
      <c r="AO557" s="75"/>
      <c r="AP557" s="75"/>
      <c r="AQ557" s="75"/>
      <c r="AR557" s="75"/>
    </row>
    <row r="558" spans="1:44" x14ac:dyDescent="0.25">
      <c r="A558" s="75"/>
      <c r="B558" s="75"/>
      <c r="C558" s="75"/>
      <c r="D558" s="75"/>
      <c r="E558" s="84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6"/>
      <c r="AJ558" s="75"/>
      <c r="AK558" s="75"/>
      <c r="AL558" s="75"/>
      <c r="AM558" s="75"/>
      <c r="AN558" s="75"/>
      <c r="AO558" s="75"/>
      <c r="AP558" s="75"/>
      <c r="AQ558" s="75"/>
      <c r="AR558" s="75"/>
    </row>
    <row r="559" spans="1:44" x14ac:dyDescent="0.25">
      <c r="A559" s="75"/>
      <c r="B559" s="75"/>
      <c r="C559" s="75"/>
      <c r="D559" s="75"/>
      <c r="E559" s="84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6"/>
      <c r="AJ559" s="75"/>
      <c r="AK559" s="75"/>
      <c r="AL559" s="75"/>
      <c r="AM559" s="75"/>
      <c r="AN559" s="75"/>
      <c r="AO559" s="75"/>
      <c r="AP559" s="75"/>
      <c r="AQ559" s="75"/>
      <c r="AR559" s="75"/>
    </row>
    <row r="560" spans="1:44" x14ac:dyDescent="0.25">
      <c r="A560" s="75"/>
      <c r="B560" s="75"/>
      <c r="C560" s="75"/>
      <c r="D560" s="75"/>
      <c r="E560" s="84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6"/>
      <c r="AJ560" s="75"/>
      <c r="AK560" s="75"/>
      <c r="AL560" s="75"/>
      <c r="AM560" s="75"/>
      <c r="AN560" s="75"/>
      <c r="AO560" s="75"/>
      <c r="AP560" s="75"/>
      <c r="AQ560" s="75"/>
      <c r="AR560" s="75"/>
    </row>
    <row r="561" spans="1:44" x14ac:dyDescent="0.25">
      <c r="A561" s="75"/>
      <c r="B561" s="75"/>
      <c r="C561" s="75"/>
      <c r="D561" s="75"/>
      <c r="E561" s="84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6"/>
      <c r="AJ561" s="75"/>
      <c r="AK561" s="75"/>
      <c r="AL561" s="75"/>
      <c r="AM561" s="75"/>
      <c r="AN561" s="75"/>
      <c r="AO561" s="75"/>
      <c r="AP561" s="75"/>
      <c r="AQ561" s="75"/>
      <c r="AR561" s="75"/>
    </row>
    <row r="562" spans="1:44" x14ac:dyDescent="0.25">
      <c r="A562" s="75"/>
      <c r="B562" s="75"/>
      <c r="C562" s="75"/>
      <c r="D562" s="75"/>
      <c r="E562" s="84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6"/>
      <c r="AJ562" s="75"/>
      <c r="AK562" s="75"/>
      <c r="AL562" s="75"/>
      <c r="AM562" s="75"/>
      <c r="AN562" s="75"/>
      <c r="AO562" s="75"/>
      <c r="AP562" s="75"/>
      <c r="AQ562" s="75"/>
      <c r="AR562" s="75"/>
    </row>
    <row r="563" spans="1:44" x14ac:dyDescent="0.25">
      <c r="A563" s="75"/>
      <c r="B563" s="75"/>
      <c r="C563" s="75"/>
      <c r="D563" s="75"/>
      <c r="E563" s="84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6"/>
      <c r="AJ563" s="75"/>
      <c r="AK563" s="75"/>
      <c r="AL563" s="75"/>
      <c r="AM563" s="75"/>
      <c r="AN563" s="75"/>
      <c r="AO563" s="75"/>
      <c r="AP563" s="75"/>
      <c r="AQ563" s="75"/>
      <c r="AR563" s="75"/>
    </row>
    <row r="564" spans="1:44" x14ac:dyDescent="0.25">
      <c r="A564" s="75"/>
      <c r="B564" s="75"/>
      <c r="C564" s="75"/>
      <c r="D564" s="75"/>
      <c r="E564" s="84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6"/>
      <c r="AJ564" s="75"/>
      <c r="AK564" s="75"/>
      <c r="AL564" s="75"/>
      <c r="AM564" s="75"/>
      <c r="AN564" s="75"/>
      <c r="AO564" s="75"/>
      <c r="AP564" s="75"/>
      <c r="AQ564" s="75"/>
      <c r="AR564" s="75"/>
    </row>
    <row r="565" spans="1:44" x14ac:dyDescent="0.25">
      <c r="A565" s="75"/>
      <c r="B565" s="75"/>
      <c r="C565" s="75"/>
      <c r="D565" s="75"/>
      <c r="E565" s="84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6"/>
      <c r="AJ565" s="75"/>
      <c r="AK565" s="75"/>
      <c r="AL565" s="75"/>
      <c r="AM565" s="75"/>
      <c r="AN565" s="75"/>
      <c r="AO565" s="75"/>
      <c r="AP565" s="75"/>
      <c r="AQ565" s="75"/>
      <c r="AR565" s="75"/>
    </row>
    <row r="566" spans="1:44" x14ac:dyDescent="0.25">
      <c r="A566" s="75"/>
      <c r="B566" s="75"/>
      <c r="C566" s="75"/>
      <c r="D566" s="75"/>
      <c r="E566" s="84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6"/>
      <c r="AJ566" s="75"/>
      <c r="AK566" s="75"/>
      <c r="AL566" s="75"/>
      <c r="AM566" s="75"/>
      <c r="AN566" s="75"/>
      <c r="AO566" s="75"/>
      <c r="AP566" s="75"/>
      <c r="AQ566" s="75"/>
      <c r="AR566" s="75"/>
    </row>
    <row r="567" spans="1:44" x14ac:dyDescent="0.25">
      <c r="A567" s="75"/>
      <c r="B567" s="75"/>
      <c r="C567" s="75"/>
      <c r="D567" s="75"/>
      <c r="E567" s="84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6"/>
      <c r="AJ567" s="75"/>
      <c r="AK567" s="75"/>
      <c r="AL567" s="75"/>
      <c r="AM567" s="75"/>
      <c r="AN567" s="75"/>
      <c r="AO567" s="75"/>
      <c r="AP567" s="75"/>
      <c r="AQ567" s="75"/>
      <c r="AR567" s="75"/>
    </row>
    <row r="568" spans="1:44" x14ac:dyDescent="0.25">
      <c r="A568" s="75"/>
      <c r="B568" s="75"/>
      <c r="C568" s="75"/>
      <c r="D568" s="75"/>
      <c r="E568" s="84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6"/>
      <c r="AJ568" s="75"/>
      <c r="AK568" s="75"/>
      <c r="AL568" s="75"/>
      <c r="AM568" s="75"/>
      <c r="AN568" s="75"/>
      <c r="AO568" s="75"/>
      <c r="AP568" s="75"/>
      <c r="AQ568" s="75"/>
      <c r="AR568" s="75"/>
    </row>
    <row r="569" spans="1:44" x14ac:dyDescent="0.25">
      <c r="A569" s="75"/>
      <c r="B569" s="75"/>
      <c r="C569" s="75"/>
      <c r="D569" s="75"/>
      <c r="E569" s="84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6"/>
      <c r="AJ569" s="75"/>
      <c r="AK569" s="75"/>
      <c r="AL569" s="75"/>
      <c r="AM569" s="75"/>
      <c r="AN569" s="75"/>
      <c r="AO569" s="75"/>
      <c r="AP569" s="75"/>
      <c r="AQ569" s="75"/>
      <c r="AR569" s="75"/>
    </row>
    <row r="570" spans="1:44" x14ac:dyDescent="0.25">
      <c r="A570" s="75"/>
      <c r="B570" s="75"/>
      <c r="C570" s="75"/>
      <c r="D570" s="75"/>
      <c r="E570" s="84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6"/>
      <c r="AJ570" s="75"/>
      <c r="AK570" s="75"/>
      <c r="AL570" s="75"/>
      <c r="AM570" s="75"/>
      <c r="AN570" s="75"/>
      <c r="AO570" s="75"/>
      <c r="AP570" s="75"/>
      <c r="AQ570" s="75"/>
      <c r="AR570" s="75"/>
    </row>
    <row r="571" spans="1:44" x14ac:dyDescent="0.25">
      <c r="A571" s="75"/>
      <c r="B571" s="75"/>
      <c r="C571" s="75"/>
      <c r="D571" s="75"/>
      <c r="E571" s="84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6"/>
      <c r="AJ571" s="75"/>
      <c r="AK571" s="75"/>
      <c r="AL571" s="75"/>
      <c r="AM571" s="75"/>
      <c r="AN571" s="75"/>
      <c r="AO571" s="75"/>
      <c r="AP571" s="75"/>
      <c r="AQ571" s="75"/>
      <c r="AR571" s="75"/>
    </row>
    <row r="572" spans="1:44" x14ac:dyDescent="0.25">
      <c r="A572" s="75"/>
      <c r="B572" s="75"/>
      <c r="C572" s="75"/>
      <c r="D572" s="75"/>
      <c r="E572" s="84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6"/>
      <c r="AJ572" s="75"/>
      <c r="AK572" s="75"/>
      <c r="AL572" s="75"/>
      <c r="AM572" s="75"/>
      <c r="AN572" s="75"/>
      <c r="AO572" s="75"/>
      <c r="AP572" s="75"/>
      <c r="AQ572" s="75"/>
      <c r="AR572" s="75"/>
    </row>
    <row r="573" spans="1:44" x14ac:dyDescent="0.25">
      <c r="A573" s="75"/>
      <c r="B573" s="75"/>
      <c r="C573" s="75"/>
      <c r="D573" s="75"/>
      <c r="E573" s="84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6"/>
      <c r="AJ573" s="75"/>
      <c r="AK573" s="75"/>
      <c r="AL573" s="75"/>
      <c r="AM573" s="75"/>
      <c r="AN573" s="75"/>
      <c r="AO573" s="75"/>
      <c r="AP573" s="75"/>
      <c r="AQ573" s="75"/>
      <c r="AR573" s="75"/>
    </row>
    <row r="574" spans="1:44" x14ac:dyDescent="0.25">
      <c r="A574" s="75"/>
      <c r="B574" s="75"/>
      <c r="C574" s="75"/>
      <c r="D574" s="75"/>
      <c r="E574" s="84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6"/>
      <c r="AJ574" s="75"/>
      <c r="AK574" s="75"/>
      <c r="AL574" s="75"/>
      <c r="AM574" s="75"/>
      <c r="AN574" s="75"/>
      <c r="AO574" s="75"/>
      <c r="AP574" s="75"/>
      <c r="AQ574" s="75"/>
      <c r="AR574" s="75"/>
    </row>
    <row r="575" spans="1:44" x14ac:dyDescent="0.25">
      <c r="A575" s="75"/>
      <c r="B575" s="75"/>
      <c r="C575" s="75"/>
      <c r="D575" s="75"/>
      <c r="E575" s="84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6"/>
      <c r="AJ575" s="75"/>
      <c r="AK575" s="75"/>
      <c r="AL575" s="75"/>
      <c r="AM575" s="75"/>
      <c r="AN575" s="75"/>
      <c r="AO575" s="75"/>
      <c r="AP575" s="75"/>
      <c r="AQ575" s="75"/>
      <c r="AR575" s="75"/>
    </row>
    <row r="576" spans="1:44" x14ac:dyDescent="0.25">
      <c r="A576" s="75"/>
      <c r="B576" s="75"/>
      <c r="C576" s="75"/>
      <c r="D576" s="75"/>
      <c r="E576" s="84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6"/>
      <c r="AJ576" s="75"/>
      <c r="AK576" s="75"/>
      <c r="AL576" s="75"/>
      <c r="AM576" s="75"/>
      <c r="AN576" s="75"/>
      <c r="AO576" s="75"/>
      <c r="AP576" s="75"/>
      <c r="AQ576" s="75"/>
      <c r="AR576" s="75"/>
    </row>
    <row r="577" spans="1:44" x14ac:dyDescent="0.25">
      <c r="A577" s="75"/>
      <c r="B577" s="75"/>
      <c r="C577" s="75"/>
      <c r="D577" s="75"/>
      <c r="E577" s="84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6"/>
      <c r="AJ577" s="75"/>
      <c r="AK577" s="75"/>
      <c r="AL577" s="75"/>
      <c r="AM577" s="75"/>
      <c r="AN577" s="75"/>
      <c r="AO577" s="75"/>
      <c r="AP577" s="75"/>
      <c r="AQ577" s="75"/>
      <c r="AR577" s="75"/>
    </row>
    <row r="578" spans="1:44" x14ac:dyDescent="0.25">
      <c r="A578" s="75"/>
      <c r="B578" s="75"/>
      <c r="C578" s="75"/>
      <c r="D578" s="75"/>
      <c r="E578" s="84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6"/>
      <c r="AJ578" s="75"/>
      <c r="AK578" s="75"/>
      <c r="AL578" s="75"/>
      <c r="AM578" s="75"/>
      <c r="AN578" s="75"/>
      <c r="AO578" s="75"/>
      <c r="AP578" s="75"/>
      <c r="AQ578" s="75"/>
      <c r="AR578" s="75"/>
    </row>
    <row r="579" spans="1:44" x14ac:dyDescent="0.25">
      <c r="A579" s="75"/>
      <c r="B579" s="75"/>
      <c r="C579" s="75"/>
      <c r="D579" s="75"/>
      <c r="E579" s="84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6"/>
      <c r="AJ579" s="75"/>
      <c r="AK579" s="75"/>
      <c r="AL579" s="75"/>
      <c r="AM579" s="75"/>
      <c r="AN579" s="75"/>
      <c r="AO579" s="75"/>
      <c r="AP579" s="75"/>
      <c r="AQ579" s="75"/>
      <c r="AR579" s="75"/>
    </row>
    <row r="580" spans="1:44" x14ac:dyDescent="0.25">
      <c r="A580" s="75"/>
      <c r="B580" s="75"/>
      <c r="C580" s="75"/>
      <c r="D580" s="75"/>
      <c r="E580" s="84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6"/>
      <c r="AJ580" s="75"/>
      <c r="AK580" s="75"/>
      <c r="AL580" s="75"/>
      <c r="AM580" s="75"/>
      <c r="AN580" s="75"/>
      <c r="AO580" s="75"/>
      <c r="AP580" s="75"/>
      <c r="AQ580" s="75"/>
      <c r="AR580" s="75"/>
    </row>
    <row r="581" spans="1:44" x14ac:dyDescent="0.25">
      <c r="A581" s="75"/>
      <c r="B581" s="75"/>
      <c r="C581" s="75"/>
      <c r="D581" s="75"/>
      <c r="E581" s="84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6"/>
      <c r="AJ581" s="75"/>
      <c r="AK581" s="75"/>
      <c r="AL581" s="75"/>
      <c r="AM581" s="75"/>
      <c r="AN581" s="75"/>
      <c r="AO581" s="75"/>
      <c r="AP581" s="75"/>
      <c r="AQ581" s="75"/>
      <c r="AR581" s="75"/>
    </row>
    <row r="582" spans="1:44" x14ac:dyDescent="0.25">
      <c r="A582" s="75"/>
      <c r="B582" s="75"/>
      <c r="C582" s="75"/>
      <c r="D582" s="75"/>
      <c r="E582" s="84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6"/>
      <c r="AJ582" s="75"/>
      <c r="AK582" s="75"/>
      <c r="AL582" s="75"/>
      <c r="AM582" s="75"/>
      <c r="AN582" s="75"/>
      <c r="AO582" s="75"/>
      <c r="AP582" s="75"/>
      <c r="AQ582" s="75"/>
      <c r="AR582" s="75"/>
    </row>
    <row r="583" spans="1:44" x14ac:dyDescent="0.25">
      <c r="A583" s="75"/>
      <c r="B583" s="75"/>
      <c r="C583" s="75"/>
      <c r="D583" s="75"/>
      <c r="E583" s="84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6"/>
      <c r="AJ583" s="75"/>
      <c r="AK583" s="75"/>
      <c r="AL583" s="75"/>
      <c r="AM583" s="75"/>
      <c r="AN583" s="75"/>
      <c r="AO583" s="75"/>
      <c r="AP583" s="75"/>
      <c r="AQ583" s="75"/>
      <c r="AR583" s="75"/>
    </row>
    <row r="584" spans="1:44" x14ac:dyDescent="0.25">
      <c r="A584" s="75"/>
      <c r="B584" s="75"/>
      <c r="C584" s="75"/>
      <c r="D584" s="75"/>
      <c r="E584" s="84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6"/>
      <c r="AJ584" s="75"/>
      <c r="AK584" s="75"/>
      <c r="AL584" s="75"/>
      <c r="AM584" s="75"/>
      <c r="AN584" s="75"/>
      <c r="AO584" s="75"/>
      <c r="AP584" s="75"/>
      <c r="AQ584" s="75"/>
      <c r="AR584" s="75"/>
    </row>
    <row r="585" spans="1:44" x14ac:dyDescent="0.25">
      <c r="A585" s="75"/>
      <c r="B585" s="75"/>
      <c r="C585" s="75"/>
      <c r="D585" s="75"/>
      <c r="E585" s="84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6"/>
      <c r="AJ585" s="75"/>
      <c r="AK585" s="75"/>
      <c r="AL585" s="75"/>
      <c r="AM585" s="75"/>
      <c r="AN585" s="75"/>
      <c r="AO585" s="75"/>
      <c r="AP585" s="75"/>
      <c r="AQ585" s="75"/>
      <c r="AR585" s="75"/>
    </row>
    <row r="586" spans="1:44" x14ac:dyDescent="0.25">
      <c r="A586" s="75"/>
      <c r="B586" s="75"/>
      <c r="C586" s="75"/>
      <c r="D586" s="75"/>
      <c r="E586" s="84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6"/>
      <c r="AJ586" s="75"/>
      <c r="AK586" s="75"/>
      <c r="AL586" s="75"/>
      <c r="AM586" s="75"/>
      <c r="AN586" s="75"/>
      <c r="AO586" s="75"/>
      <c r="AP586" s="75"/>
      <c r="AQ586" s="75"/>
      <c r="AR586" s="75"/>
    </row>
    <row r="587" spans="1:44" x14ac:dyDescent="0.25">
      <c r="A587" s="75"/>
      <c r="B587" s="75"/>
      <c r="C587" s="75"/>
      <c r="D587" s="75"/>
      <c r="E587" s="84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6"/>
      <c r="AJ587" s="75"/>
      <c r="AK587" s="75"/>
      <c r="AL587" s="75"/>
      <c r="AM587" s="75"/>
      <c r="AN587" s="75"/>
      <c r="AO587" s="75"/>
      <c r="AP587" s="75"/>
      <c r="AQ587" s="75"/>
      <c r="AR587" s="75"/>
    </row>
    <row r="588" spans="1:44" x14ac:dyDescent="0.25">
      <c r="A588" s="75"/>
      <c r="B588" s="75"/>
      <c r="C588" s="75"/>
      <c r="D588" s="75"/>
      <c r="E588" s="84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6"/>
      <c r="AJ588" s="75"/>
      <c r="AK588" s="75"/>
      <c r="AL588" s="75"/>
      <c r="AM588" s="75"/>
      <c r="AN588" s="75"/>
      <c r="AO588" s="75"/>
      <c r="AP588" s="75"/>
      <c r="AQ588" s="75"/>
      <c r="AR588" s="75"/>
    </row>
    <row r="589" spans="1:44" x14ac:dyDescent="0.25">
      <c r="A589" s="75"/>
      <c r="B589" s="75"/>
      <c r="C589" s="75"/>
      <c r="D589" s="75"/>
      <c r="E589" s="84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6"/>
      <c r="AJ589" s="75"/>
      <c r="AK589" s="75"/>
      <c r="AL589" s="75"/>
      <c r="AM589" s="75"/>
      <c r="AN589" s="75"/>
      <c r="AO589" s="75"/>
      <c r="AP589" s="75"/>
      <c r="AQ589" s="75"/>
      <c r="AR589" s="75"/>
    </row>
    <row r="590" spans="1:44" x14ac:dyDescent="0.25">
      <c r="A590" s="75"/>
      <c r="B590" s="75"/>
      <c r="C590" s="75"/>
      <c r="D590" s="75"/>
      <c r="E590" s="84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6"/>
      <c r="AJ590" s="75"/>
      <c r="AK590" s="75"/>
      <c r="AL590" s="75"/>
      <c r="AM590" s="75"/>
      <c r="AN590" s="75"/>
      <c r="AO590" s="75"/>
      <c r="AP590" s="75"/>
      <c r="AQ590" s="75"/>
      <c r="AR590" s="75"/>
    </row>
    <row r="591" spans="1:44" x14ac:dyDescent="0.25">
      <c r="A591" s="75"/>
      <c r="B591" s="75"/>
      <c r="C591" s="75"/>
      <c r="D591" s="75"/>
      <c r="E591" s="84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6"/>
      <c r="AJ591" s="75"/>
      <c r="AK591" s="75"/>
      <c r="AL591" s="75"/>
      <c r="AM591" s="75"/>
      <c r="AN591" s="75"/>
      <c r="AO591" s="75"/>
      <c r="AP591" s="75"/>
      <c r="AQ591" s="75"/>
      <c r="AR591" s="75"/>
    </row>
    <row r="592" spans="1:44" x14ac:dyDescent="0.25">
      <c r="A592" s="75"/>
      <c r="B592" s="75"/>
      <c r="C592" s="75"/>
      <c r="D592" s="75"/>
      <c r="E592" s="84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6"/>
      <c r="AJ592" s="75"/>
      <c r="AK592" s="75"/>
      <c r="AL592" s="75"/>
      <c r="AM592" s="75"/>
      <c r="AN592" s="75"/>
      <c r="AO592" s="75"/>
      <c r="AP592" s="75"/>
      <c r="AQ592" s="75"/>
      <c r="AR592" s="75"/>
    </row>
    <row r="593" spans="1:44" x14ac:dyDescent="0.25">
      <c r="A593" s="75"/>
      <c r="B593" s="75"/>
      <c r="C593" s="75"/>
      <c r="D593" s="75"/>
      <c r="E593" s="84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6"/>
      <c r="AJ593" s="75"/>
      <c r="AK593" s="75"/>
      <c r="AL593" s="75"/>
      <c r="AM593" s="75"/>
      <c r="AN593" s="75"/>
      <c r="AO593" s="75"/>
      <c r="AP593" s="75"/>
      <c r="AQ593" s="75"/>
      <c r="AR593" s="75"/>
    </row>
    <row r="594" spans="1:44" x14ac:dyDescent="0.25">
      <c r="A594" s="75"/>
      <c r="B594" s="75"/>
      <c r="C594" s="75"/>
      <c r="D594" s="75"/>
      <c r="E594" s="84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6"/>
      <c r="AJ594" s="75"/>
      <c r="AK594" s="75"/>
      <c r="AL594" s="75"/>
      <c r="AM594" s="75"/>
      <c r="AN594" s="75"/>
      <c r="AO594" s="75"/>
      <c r="AP594" s="75"/>
      <c r="AQ594" s="75"/>
      <c r="AR594" s="75"/>
    </row>
    <row r="595" spans="1:44" x14ac:dyDescent="0.25">
      <c r="A595" s="75"/>
      <c r="B595" s="75"/>
      <c r="C595" s="75"/>
      <c r="D595" s="75"/>
      <c r="E595" s="84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6"/>
      <c r="AJ595" s="75"/>
      <c r="AK595" s="75"/>
      <c r="AL595" s="75"/>
      <c r="AM595" s="75"/>
      <c r="AN595" s="75"/>
      <c r="AO595" s="75"/>
      <c r="AP595" s="75"/>
      <c r="AQ595" s="75"/>
      <c r="AR595" s="75"/>
    </row>
    <row r="596" spans="1:44" x14ac:dyDescent="0.25">
      <c r="A596" s="75"/>
      <c r="B596" s="75"/>
      <c r="C596" s="75"/>
      <c r="D596" s="75"/>
      <c r="E596" s="84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6"/>
      <c r="AJ596" s="75"/>
      <c r="AK596" s="75"/>
      <c r="AL596" s="75"/>
      <c r="AM596" s="75"/>
      <c r="AN596" s="75"/>
      <c r="AO596" s="75"/>
      <c r="AP596" s="75"/>
      <c r="AQ596" s="75"/>
      <c r="AR596" s="75"/>
    </row>
    <row r="597" spans="1:44" x14ac:dyDescent="0.25">
      <c r="A597" s="75"/>
      <c r="B597" s="75"/>
      <c r="C597" s="75"/>
      <c r="D597" s="75"/>
      <c r="E597" s="84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6"/>
      <c r="AJ597" s="75"/>
      <c r="AK597" s="75"/>
      <c r="AL597" s="75"/>
      <c r="AM597" s="75"/>
      <c r="AN597" s="75"/>
      <c r="AO597" s="75"/>
      <c r="AP597" s="75"/>
      <c r="AQ597" s="75"/>
      <c r="AR597" s="75"/>
    </row>
    <row r="598" spans="1:44" x14ac:dyDescent="0.25">
      <c r="A598" s="75"/>
      <c r="B598" s="75"/>
      <c r="C598" s="75"/>
      <c r="D598" s="75"/>
      <c r="E598" s="84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6"/>
      <c r="AJ598" s="75"/>
      <c r="AK598" s="75"/>
      <c r="AL598" s="75"/>
      <c r="AM598" s="75"/>
      <c r="AN598" s="75"/>
      <c r="AO598" s="75"/>
      <c r="AP598" s="75"/>
      <c r="AQ598" s="75"/>
      <c r="AR598" s="75"/>
    </row>
    <row r="599" spans="1:44" x14ac:dyDescent="0.25">
      <c r="A599" s="75"/>
      <c r="B599" s="75"/>
      <c r="C599" s="75"/>
      <c r="D599" s="75"/>
      <c r="E599" s="84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6"/>
      <c r="AJ599" s="75"/>
      <c r="AK599" s="75"/>
      <c r="AL599" s="75"/>
      <c r="AM599" s="75"/>
      <c r="AN599" s="75"/>
      <c r="AO599" s="75"/>
      <c r="AP599" s="75"/>
      <c r="AQ599" s="75"/>
      <c r="AR599" s="75"/>
    </row>
    <row r="600" spans="1:44" x14ac:dyDescent="0.25">
      <c r="A600" s="75"/>
      <c r="B600" s="75"/>
      <c r="C600" s="75"/>
      <c r="D600" s="75"/>
      <c r="E600" s="84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6"/>
      <c r="AJ600" s="75"/>
      <c r="AK600" s="75"/>
      <c r="AL600" s="75"/>
      <c r="AM600" s="75"/>
      <c r="AN600" s="75"/>
      <c r="AO600" s="75"/>
      <c r="AP600" s="75"/>
      <c r="AQ600" s="75"/>
      <c r="AR600" s="75"/>
    </row>
    <row r="601" spans="1:44" x14ac:dyDescent="0.25">
      <c r="A601" s="75"/>
      <c r="B601" s="75"/>
      <c r="C601" s="75"/>
      <c r="D601" s="75"/>
      <c r="E601" s="84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6"/>
      <c r="AJ601" s="75"/>
      <c r="AK601" s="75"/>
      <c r="AL601" s="75"/>
      <c r="AM601" s="75"/>
      <c r="AN601" s="75"/>
      <c r="AO601" s="75"/>
      <c r="AP601" s="75"/>
      <c r="AQ601" s="75"/>
      <c r="AR601" s="75"/>
    </row>
    <row r="602" spans="1:44" x14ac:dyDescent="0.25">
      <c r="A602" s="75"/>
      <c r="B602" s="75"/>
      <c r="C602" s="75"/>
      <c r="D602" s="75"/>
      <c r="E602" s="84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6"/>
      <c r="AJ602" s="75"/>
      <c r="AK602" s="75"/>
      <c r="AL602" s="75"/>
      <c r="AM602" s="75"/>
      <c r="AN602" s="75"/>
      <c r="AO602" s="75"/>
      <c r="AP602" s="75"/>
      <c r="AQ602" s="75"/>
      <c r="AR602" s="75"/>
    </row>
    <row r="603" spans="1:44" x14ac:dyDescent="0.25">
      <c r="A603" s="75"/>
      <c r="B603" s="75"/>
      <c r="C603" s="75"/>
      <c r="D603" s="75"/>
      <c r="E603" s="84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6"/>
      <c r="AJ603" s="75"/>
      <c r="AK603" s="75"/>
      <c r="AL603" s="75"/>
      <c r="AM603" s="75"/>
      <c r="AN603" s="75"/>
      <c r="AO603" s="75"/>
      <c r="AP603" s="75"/>
      <c r="AQ603" s="75"/>
      <c r="AR603" s="75"/>
    </row>
    <row r="604" spans="1:44" x14ac:dyDescent="0.25">
      <c r="A604" s="75"/>
      <c r="B604" s="75"/>
      <c r="C604" s="75"/>
      <c r="D604" s="75"/>
      <c r="E604" s="84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6"/>
      <c r="AJ604" s="75"/>
      <c r="AK604" s="75"/>
      <c r="AL604" s="75"/>
      <c r="AM604" s="75"/>
      <c r="AN604" s="75"/>
      <c r="AO604" s="75"/>
      <c r="AP604" s="75"/>
      <c r="AQ604" s="75"/>
      <c r="AR604" s="75"/>
    </row>
    <row r="605" spans="1:44" x14ac:dyDescent="0.25">
      <c r="A605" s="75"/>
      <c r="B605" s="75"/>
      <c r="C605" s="75"/>
      <c r="D605" s="75"/>
      <c r="E605" s="84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6"/>
      <c r="AJ605" s="75"/>
      <c r="AK605" s="75"/>
      <c r="AL605" s="75"/>
      <c r="AM605" s="75"/>
      <c r="AN605" s="75"/>
      <c r="AO605" s="75"/>
      <c r="AP605" s="75"/>
      <c r="AQ605" s="75"/>
      <c r="AR605" s="75"/>
    </row>
    <row r="606" spans="1:44" x14ac:dyDescent="0.25">
      <c r="A606" s="75"/>
      <c r="B606" s="75"/>
      <c r="C606" s="75"/>
      <c r="D606" s="75"/>
      <c r="E606" s="84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6"/>
      <c r="AJ606" s="75"/>
      <c r="AK606" s="75"/>
      <c r="AL606" s="75"/>
      <c r="AM606" s="75"/>
      <c r="AN606" s="75"/>
      <c r="AO606" s="75"/>
      <c r="AP606" s="75"/>
      <c r="AQ606" s="75"/>
      <c r="AR606" s="75"/>
    </row>
    <row r="607" spans="1:44" x14ac:dyDescent="0.25">
      <c r="A607" s="75"/>
      <c r="B607" s="75"/>
      <c r="C607" s="75"/>
      <c r="D607" s="75"/>
      <c r="E607" s="84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6"/>
      <c r="AJ607" s="75"/>
      <c r="AK607" s="75"/>
      <c r="AL607" s="75"/>
      <c r="AM607" s="75"/>
      <c r="AN607" s="75"/>
      <c r="AO607" s="75"/>
      <c r="AP607" s="75"/>
      <c r="AQ607" s="75"/>
      <c r="AR607" s="75"/>
    </row>
    <row r="608" spans="1:44" x14ac:dyDescent="0.25">
      <c r="A608" s="75"/>
      <c r="B608" s="75"/>
      <c r="C608" s="75"/>
      <c r="D608" s="75"/>
      <c r="E608" s="84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6"/>
      <c r="AJ608" s="75"/>
      <c r="AK608" s="75"/>
      <c r="AL608" s="75"/>
      <c r="AM608" s="75"/>
      <c r="AN608" s="75"/>
      <c r="AO608" s="75"/>
      <c r="AP608" s="75"/>
      <c r="AQ608" s="75"/>
      <c r="AR608" s="75"/>
    </row>
    <row r="609" spans="1:44" x14ac:dyDescent="0.25">
      <c r="A609" s="75"/>
      <c r="B609" s="75"/>
      <c r="C609" s="75"/>
      <c r="D609" s="75"/>
      <c r="E609" s="84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6"/>
      <c r="AJ609" s="75"/>
      <c r="AK609" s="75"/>
      <c r="AL609" s="75"/>
      <c r="AM609" s="75"/>
      <c r="AN609" s="75"/>
      <c r="AO609" s="75"/>
      <c r="AP609" s="75"/>
      <c r="AQ609" s="75"/>
      <c r="AR609" s="75"/>
    </row>
    <row r="610" spans="1:44" x14ac:dyDescent="0.25">
      <c r="A610" s="75"/>
      <c r="B610" s="75"/>
      <c r="C610" s="75"/>
      <c r="D610" s="75"/>
      <c r="E610" s="84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6"/>
      <c r="AJ610" s="75"/>
      <c r="AK610" s="75"/>
      <c r="AL610" s="75"/>
      <c r="AM610" s="75"/>
      <c r="AN610" s="75"/>
      <c r="AO610" s="75"/>
      <c r="AP610" s="75"/>
      <c r="AQ610" s="75"/>
      <c r="AR610" s="75"/>
    </row>
    <row r="611" spans="1:44" x14ac:dyDescent="0.25">
      <c r="A611" s="75"/>
      <c r="B611" s="75"/>
      <c r="C611" s="75"/>
      <c r="D611" s="75"/>
      <c r="E611" s="84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6"/>
      <c r="AJ611" s="75"/>
      <c r="AK611" s="75"/>
      <c r="AL611" s="75"/>
      <c r="AM611" s="75"/>
      <c r="AN611" s="75"/>
      <c r="AO611" s="75"/>
      <c r="AP611" s="75"/>
      <c r="AQ611" s="75"/>
      <c r="AR611" s="75"/>
    </row>
    <row r="612" spans="1:44" x14ac:dyDescent="0.25">
      <c r="A612" s="75"/>
      <c r="B612" s="75"/>
      <c r="C612" s="75"/>
      <c r="D612" s="75"/>
      <c r="E612" s="84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6"/>
      <c r="AJ612" s="75"/>
      <c r="AK612" s="75"/>
      <c r="AL612" s="75"/>
      <c r="AM612" s="75"/>
      <c r="AN612" s="75"/>
      <c r="AO612" s="75"/>
      <c r="AP612" s="75"/>
      <c r="AQ612" s="75"/>
      <c r="AR612" s="75"/>
    </row>
    <row r="613" spans="1:44" x14ac:dyDescent="0.25">
      <c r="A613" s="75"/>
      <c r="B613" s="75"/>
      <c r="C613" s="75"/>
      <c r="D613" s="75"/>
      <c r="E613" s="84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6"/>
      <c r="AJ613" s="75"/>
      <c r="AK613" s="75"/>
      <c r="AL613" s="75"/>
      <c r="AM613" s="75"/>
      <c r="AN613" s="75"/>
      <c r="AO613" s="75"/>
      <c r="AP613" s="75"/>
      <c r="AQ613" s="75"/>
      <c r="AR613" s="75"/>
    </row>
    <row r="614" spans="1:44" x14ac:dyDescent="0.25">
      <c r="A614" s="75"/>
      <c r="B614" s="75"/>
      <c r="C614" s="75"/>
      <c r="D614" s="75"/>
      <c r="E614" s="84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6"/>
      <c r="AJ614" s="75"/>
      <c r="AK614" s="75"/>
      <c r="AL614" s="75"/>
      <c r="AM614" s="75"/>
      <c r="AN614" s="75"/>
      <c r="AO614" s="75"/>
      <c r="AP614" s="75"/>
      <c r="AQ614" s="75"/>
      <c r="AR614" s="75"/>
    </row>
    <row r="615" spans="1:44" x14ac:dyDescent="0.25">
      <c r="A615" s="75"/>
      <c r="B615" s="75"/>
      <c r="C615" s="75"/>
      <c r="D615" s="75"/>
      <c r="E615" s="84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6"/>
      <c r="AJ615" s="75"/>
      <c r="AK615" s="75"/>
      <c r="AL615" s="75"/>
      <c r="AM615" s="75"/>
      <c r="AN615" s="75"/>
      <c r="AO615" s="75"/>
      <c r="AP615" s="75"/>
      <c r="AQ615" s="75"/>
      <c r="AR615" s="75"/>
    </row>
    <row r="616" spans="1:44" x14ac:dyDescent="0.25">
      <c r="A616" s="75"/>
      <c r="B616" s="75"/>
      <c r="C616" s="75"/>
      <c r="D616" s="75"/>
      <c r="E616" s="84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6"/>
      <c r="AJ616" s="75"/>
      <c r="AK616" s="75"/>
      <c r="AL616" s="75"/>
      <c r="AM616" s="75"/>
      <c r="AN616" s="75"/>
      <c r="AO616" s="75"/>
      <c r="AP616" s="75"/>
      <c r="AQ616" s="75"/>
      <c r="AR616" s="75"/>
    </row>
    <row r="617" spans="1:44" x14ac:dyDescent="0.25">
      <c r="A617" s="75"/>
      <c r="B617" s="75"/>
      <c r="C617" s="75"/>
      <c r="D617" s="75"/>
      <c r="E617" s="84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6"/>
      <c r="AJ617" s="75"/>
      <c r="AK617" s="75"/>
      <c r="AL617" s="75"/>
      <c r="AM617" s="75"/>
      <c r="AN617" s="75"/>
      <c r="AO617" s="75"/>
      <c r="AP617" s="75"/>
      <c r="AQ617" s="75"/>
      <c r="AR617" s="75"/>
    </row>
    <row r="618" spans="1:44" x14ac:dyDescent="0.25">
      <c r="A618" s="75"/>
      <c r="B618" s="75"/>
      <c r="C618" s="75"/>
      <c r="D618" s="75"/>
      <c r="E618" s="84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6"/>
      <c r="AJ618" s="75"/>
      <c r="AK618" s="75"/>
      <c r="AL618" s="75"/>
      <c r="AM618" s="75"/>
      <c r="AN618" s="75"/>
      <c r="AO618" s="75"/>
      <c r="AP618" s="75"/>
      <c r="AQ618" s="75"/>
      <c r="AR618" s="75"/>
    </row>
    <row r="619" spans="1:44" x14ac:dyDescent="0.25">
      <c r="A619" s="75"/>
      <c r="B619" s="75"/>
      <c r="C619" s="75"/>
      <c r="D619" s="75"/>
      <c r="E619" s="84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6"/>
      <c r="AJ619" s="75"/>
      <c r="AK619" s="75"/>
      <c r="AL619" s="75"/>
      <c r="AM619" s="75"/>
      <c r="AN619" s="75"/>
      <c r="AO619" s="75"/>
      <c r="AP619" s="75"/>
      <c r="AQ619" s="75"/>
      <c r="AR619" s="75"/>
    </row>
    <row r="620" spans="1:44" x14ac:dyDescent="0.25">
      <c r="A620" s="75"/>
      <c r="B620" s="75"/>
      <c r="C620" s="75"/>
      <c r="D620" s="75"/>
      <c r="E620" s="84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6"/>
      <c r="AJ620" s="75"/>
      <c r="AK620" s="75"/>
      <c r="AL620" s="75"/>
      <c r="AM620" s="75"/>
      <c r="AN620" s="75"/>
      <c r="AO620" s="75"/>
      <c r="AP620" s="75"/>
      <c r="AQ620" s="75"/>
      <c r="AR620" s="75"/>
    </row>
    <row r="621" spans="1:44" x14ac:dyDescent="0.25">
      <c r="A621" s="75"/>
      <c r="B621" s="75"/>
      <c r="C621" s="75"/>
      <c r="D621" s="75"/>
      <c r="E621" s="84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6"/>
      <c r="AJ621" s="75"/>
      <c r="AK621" s="75"/>
      <c r="AL621" s="75"/>
      <c r="AM621" s="75"/>
      <c r="AN621" s="75"/>
      <c r="AO621" s="75"/>
      <c r="AP621" s="75"/>
      <c r="AQ621" s="75"/>
      <c r="AR621" s="75"/>
    </row>
    <row r="622" spans="1:44" x14ac:dyDescent="0.25">
      <c r="A622" s="75"/>
      <c r="B622" s="75"/>
      <c r="C622" s="75"/>
      <c r="D622" s="75"/>
      <c r="E622" s="84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6"/>
      <c r="AJ622" s="75"/>
      <c r="AK622" s="75"/>
      <c r="AL622" s="75"/>
      <c r="AM622" s="75"/>
      <c r="AN622" s="75"/>
      <c r="AO622" s="75"/>
      <c r="AP622" s="75"/>
      <c r="AQ622" s="75"/>
      <c r="AR622" s="75"/>
    </row>
    <row r="623" spans="1:44" x14ac:dyDescent="0.25">
      <c r="A623" s="75"/>
      <c r="B623" s="75"/>
      <c r="C623" s="75"/>
      <c r="D623" s="75"/>
      <c r="E623" s="84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6"/>
      <c r="AJ623" s="75"/>
      <c r="AK623" s="75"/>
      <c r="AL623" s="75"/>
      <c r="AM623" s="75"/>
      <c r="AN623" s="75"/>
      <c r="AO623" s="75"/>
      <c r="AP623" s="75"/>
      <c r="AQ623" s="75"/>
      <c r="AR623" s="75"/>
    </row>
    <row r="624" spans="1:44" x14ac:dyDescent="0.25">
      <c r="A624" s="75"/>
      <c r="B624" s="75"/>
      <c r="C624" s="75"/>
      <c r="D624" s="75"/>
      <c r="E624" s="84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6"/>
      <c r="AJ624" s="75"/>
      <c r="AK624" s="75"/>
      <c r="AL624" s="75"/>
      <c r="AM624" s="75"/>
      <c r="AN624" s="75"/>
      <c r="AO624" s="75"/>
      <c r="AP624" s="75"/>
      <c r="AQ624" s="75"/>
      <c r="AR624" s="75"/>
    </row>
    <row r="625" spans="1:44" x14ac:dyDescent="0.25">
      <c r="A625" s="75"/>
      <c r="B625" s="75"/>
      <c r="C625" s="75"/>
      <c r="D625" s="75"/>
      <c r="E625" s="84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6"/>
      <c r="AJ625" s="75"/>
      <c r="AK625" s="75"/>
      <c r="AL625" s="75"/>
      <c r="AM625" s="75"/>
      <c r="AN625" s="75"/>
      <c r="AO625" s="75"/>
      <c r="AP625" s="75"/>
      <c r="AQ625" s="75"/>
      <c r="AR625" s="75"/>
    </row>
    <row r="626" spans="1:44" x14ac:dyDescent="0.25">
      <c r="A626" s="75"/>
      <c r="B626" s="75"/>
      <c r="C626" s="75"/>
      <c r="D626" s="75"/>
      <c r="E626" s="84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6"/>
      <c r="AJ626" s="75"/>
      <c r="AK626" s="75"/>
      <c r="AL626" s="75"/>
      <c r="AM626" s="75"/>
      <c r="AN626" s="75"/>
      <c r="AO626" s="75"/>
      <c r="AP626" s="75"/>
      <c r="AQ626" s="75"/>
      <c r="AR626" s="75"/>
    </row>
    <row r="627" spans="1:44" x14ac:dyDescent="0.25">
      <c r="A627" s="75"/>
      <c r="B627" s="75"/>
      <c r="C627" s="75"/>
      <c r="D627" s="75"/>
      <c r="E627" s="84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6"/>
      <c r="AJ627" s="75"/>
      <c r="AK627" s="75"/>
      <c r="AL627" s="75"/>
      <c r="AM627" s="75"/>
      <c r="AN627" s="75"/>
      <c r="AO627" s="75"/>
      <c r="AP627" s="75"/>
      <c r="AQ627" s="75"/>
      <c r="AR627" s="75"/>
    </row>
    <row r="628" spans="1:44" x14ac:dyDescent="0.25">
      <c r="A628" s="75"/>
      <c r="B628" s="75"/>
      <c r="C628" s="75"/>
      <c r="D628" s="75"/>
      <c r="E628" s="84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6"/>
      <c r="AJ628" s="75"/>
      <c r="AK628" s="75"/>
      <c r="AL628" s="75"/>
      <c r="AM628" s="75"/>
      <c r="AN628" s="75"/>
      <c r="AO628" s="75"/>
      <c r="AP628" s="75"/>
      <c r="AQ628" s="75"/>
      <c r="AR628" s="75"/>
    </row>
    <row r="629" spans="1:44" x14ac:dyDescent="0.25">
      <c r="A629" s="75"/>
      <c r="B629" s="75"/>
      <c r="C629" s="75"/>
      <c r="D629" s="75"/>
      <c r="E629" s="84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6"/>
      <c r="AJ629" s="75"/>
      <c r="AK629" s="75"/>
      <c r="AL629" s="75"/>
      <c r="AM629" s="75"/>
      <c r="AN629" s="75"/>
      <c r="AO629" s="75"/>
      <c r="AP629" s="75"/>
      <c r="AQ629" s="75"/>
      <c r="AR629" s="75"/>
    </row>
    <row r="630" spans="1:44" x14ac:dyDescent="0.25">
      <c r="A630" s="75"/>
      <c r="B630" s="75"/>
      <c r="C630" s="75"/>
      <c r="D630" s="75"/>
      <c r="E630" s="84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6"/>
      <c r="AJ630" s="75"/>
      <c r="AK630" s="75"/>
      <c r="AL630" s="75"/>
      <c r="AM630" s="75"/>
      <c r="AN630" s="75"/>
      <c r="AO630" s="75"/>
      <c r="AP630" s="75"/>
      <c r="AQ630" s="75"/>
      <c r="AR630" s="75"/>
    </row>
    <row r="631" spans="1:44" x14ac:dyDescent="0.25">
      <c r="A631" s="75"/>
      <c r="B631" s="75"/>
      <c r="C631" s="75"/>
      <c r="D631" s="75"/>
      <c r="E631" s="84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6"/>
      <c r="AJ631" s="75"/>
      <c r="AK631" s="75"/>
      <c r="AL631" s="75"/>
      <c r="AM631" s="75"/>
      <c r="AN631" s="75"/>
      <c r="AO631" s="75"/>
      <c r="AP631" s="75"/>
      <c r="AQ631" s="75"/>
      <c r="AR631" s="75"/>
    </row>
    <row r="632" spans="1:44" x14ac:dyDescent="0.25">
      <c r="A632" s="75"/>
      <c r="B632" s="75"/>
      <c r="C632" s="75"/>
      <c r="D632" s="75"/>
      <c r="E632" s="84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6"/>
      <c r="AJ632" s="75"/>
      <c r="AK632" s="75"/>
      <c r="AL632" s="75"/>
      <c r="AM632" s="75"/>
      <c r="AN632" s="75"/>
      <c r="AO632" s="75"/>
      <c r="AP632" s="75"/>
      <c r="AQ632" s="75"/>
      <c r="AR632" s="75"/>
    </row>
    <row r="633" spans="1:44" x14ac:dyDescent="0.25">
      <c r="A633" s="75"/>
      <c r="B633" s="75"/>
      <c r="C633" s="75"/>
      <c r="D633" s="75"/>
      <c r="E633" s="84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6"/>
      <c r="AJ633" s="75"/>
      <c r="AK633" s="75"/>
      <c r="AL633" s="75"/>
      <c r="AM633" s="75"/>
      <c r="AN633" s="75"/>
      <c r="AO633" s="75"/>
      <c r="AP633" s="75"/>
      <c r="AQ633" s="75"/>
      <c r="AR633" s="75"/>
    </row>
    <row r="634" spans="1:44" x14ac:dyDescent="0.25">
      <c r="A634" s="75"/>
      <c r="B634" s="75"/>
      <c r="C634" s="75"/>
      <c r="D634" s="75"/>
      <c r="E634" s="84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6"/>
      <c r="AJ634" s="75"/>
      <c r="AK634" s="75"/>
      <c r="AL634" s="75"/>
      <c r="AM634" s="75"/>
      <c r="AN634" s="75"/>
      <c r="AO634" s="75"/>
      <c r="AP634" s="75"/>
      <c r="AQ634" s="75"/>
      <c r="AR634" s="75"/>
    </row>
    <row r="635" spans="1:44" x14ac:dyDescent="0.25">
      <c r="A635" s="75"/>
      <c r="B635" s="75"/>
      <c r="C635" s="75"/>
      <c r="D635" s="75"/>
      <c r="E635" s="84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6"/>
      <c r="AJ635" s="75"/>
      <c r="AK635" s="75"/>
      <c r="AL635" s="75"/>
      <c r="AM635" s="75"/>
      <c r="AN635" s="75"/>
      <c r="AO635" s="75"/>
      <c r="AP635" s="75"/>
      <c r="AQ635" s="75"/>
      <c r="AR635" s="75"/>
    </row>
    <row r="636" spans="1:44" x14ac:dyDescent="0.25">
      <c r="A636" s="75"/>
      <c r="B636" s="75"/>
      <c r="C636" s="75"/>
      <c r="D636" s="75"/>
      <c r="E636" s="84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6"/>
      <c r="AJ636" s="75"/>
      <c r="AK636" s="75"/>
      <c r="AL636" s="75"/>
      <c r="AM636" s="75"/>
      <c r="AN636" s="75"/>
      <c r="AO636" s="75"/>
      <c r="AP636" s="75"/>
      <c r="AQ636" s="75"/>
      <c r="AR636" s="75"/>
    </row>
    <row r="637" spans="1:44" x14ac:dyDescent="0.25">
      <c r="A637" s="75"/>
      <c r="B637" s="75"/>
      <c r="C637" s="75"/>
      <c r="D637" s="75"/>
      <c r="E637" s="84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6"/>
      <c r="AJ637" s="75"/>
      <c r="AK637" s="75"/>
      <c r="AL637" s="75"/>
      <c r="AM637" s="75"/>
      <c r="AN637" s="75"/>
      <c r="AO637" s="75"/>
      <c r="AP637" s="75"/>
      <c r="AQ637" s="75"/>
      <c r="AR637" s="75"/>
    </row>
    <row r="638" spans="1:44" x14ac:dyDescent="0.25">
      <c r="A638" s="75"/>
      <c r="B638" s="75"/>
      <c r="C638" s="75"/>
      <c r="D638" s="75"/>
      <c r="E638" s="84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6"/>
      <c r="AJ638" s="75"/>
      <c r="AK638" s="75"/>
      <c r="AL638" s="75"/>
      <c r="AM638" s="75"/>
      <c r="AN638" s="75"/>
      <c r="AO638" s="75"/>
      <c r="AP638" s="75"/>
      <c r="AQ638" s="75"/>
      <c r="AR638" s="75"/>
    </row>
    <row r="639" spans="1:44" x14ac:dyDescent="0.25">
      <c r="A639" s="75"/>
      <c r="B639" s="75"/>
      <c r="C639" s="75"/>
      <c r="D639" s="75"/>
      <c r="E639" s="84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6"/>
      <c r="AJ639" s="75"/>
      <c r="AK639" s="75"/>
      <c r="AL639" s="75"/>
      <c r="AM639" s="75"/>
      <c r="AN639" s="75"/>
      <c r="AO639" s="75"/>
      <c r="AP639" s="75"/>
      <c r="AQ639" s="75"/>
      <c r="AR639" s="75"/>
    </row>
    <row r="640" spans="1:44" x14ac:dyDescent="0.25">
      <c r="A640" s="75"/>
      <c r="B640" s="75"/>
      <c r="C640" s="75"/>
      <c r="D640" s="75"/>
      <c r="E640" s="84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6"/>
      <c r="AJ640" s="75"/>
      <c r="AK640" s="75"/>
      <c r="AL640" s="75"/>
      <c r="AM640" s="75"/>
      <c r="AN640" s="75"/>
      <c r="AO640" s="75"/>
      <c r="AP640" s="75"/>
      <c r="AQ640" s="75"/>
      <c r="AR640" s="75"/>
    </row>
    <row r="641" spans="1:44" x14ac:dyDescent="0.25">
      <c r="A641" s="75"/>
      <c r="B641" s="75"/>
      <c r="C641" s="75"/>
      <c r="D641" s="75"/>
      <c r="E641" s="84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6"/>
      <c r="AJ641" s="75"/>
      <c r="AK641" s="75"/>
      <c r="AL641" s="75"/>
      <c r="AM641" s="75"/>
      <c r="AN641" s="75"/>
      <c r="AO641" s="75"/>
      <c r="AP641" s="75"/>
      <c r="AQ641" s="75"/>
      <c r="AR641" s="75"/>
    </row>
    <row r="642" spans="1:44" x14ac:dyDescent="0.25">
      <c r="A642" s="75"/>
      <c r="B642" s="75"/>
      <c r="C642" s="75"/>
      <c r="D642" s="75"/>
      <c r="E642" s="84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6"/>
      <c r="AJ642" s="75"/>
      <c r="AK642" s="75"/>
      <c r="AL642" s="75"/>
      <c r="AM642" s="75"/>
      <c r="AN642" s="75"/>
      <c r="AO642" s="75"/>
      <c r="AP642" s="75"/>
      <c r="AQ642" s="75"/>
      <c r="AR642" s="75"/>
    </row>
    <row r="643" spans="1:44" x14ac:dyDescent="0.25">
      <c r="A643" s="75"/>
      <c r="B643" s="75"/>
      <c r="C643" s="75"/>
      <c r="D643" s="75"/>
      <c r="E643" s="84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6"/>
      <c r="AJ643" s="75"/>
      <c r="AK643" s="75"/>
      <c r="AL643" s="75"/>
      <c r="AM643" s="75"/>
      <c r="AN643" s="75"/>
      <c r="AO643" s="75"/>
      <c r="AP643" s="75"/>
      <c r="AQ643" s="75"/>
      <c r="AR643" s="75"/>
    </row>
    <row r="644" spans="1:44" x14ac:dyDescent="0.25">
      <c r="A644" s="75"/>
      <c r="B644" s="75"/>
      <c r="C644" s="75"/>
      <c r="D644" s="75"/>
      <c r="E644" s="84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6"/>
      <c r="AJ644" s="75"/>
      <c r="AK644" s="75"/>
      <c r="AL644" s="75"/>
      <c r="AM644" s="75"/>
      <c r="AN644" s="75"/>
      <c r="AO644" s="75"/>
      <c r="AP644" s="75"/>
      <c r="AQ644" s="75"/>
      <c r="AR644" s="75"/>
    </row>
    <row r="645" spans="1:44" x14ac:dyDescent="0.25">
      <c r="A645" s="75"/>
      <c r="B645" s="75"/>
      <c r="C645" s="75"/>
      <c r="D645" s="75"/>
      <c r="E645" s="84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6"/>
      <c r="AJ645" s="75"/>
      <c r="AK645" s="75"/>
      <c r="AL645" s="75"/>
      <c r="AM645" s="75"/>
      <c r="AN645" s="75"/>
      <c r="AO645" s="75"/>
      <c r="AP645" s="75"/>
      <c r="AQ645" s="75"/>
      <c r="AR645" s="75"/>
    </row>
    <row r="646" spans="1:44" x14ac:dyDescent="0.25">
      <c r="A646" s="75"/>
      <c r="B646" s="75"/>
      <c r="C646" s="75"/>
      <c r="D646" s="75"/>
      <c r="E646" s="84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6"/>
      <c r="AJ646" s="75"/>
      <c r="AK646" s="75"/>
      <c r="AL646" s="75"/>
      <c r="AM646" s="75"/>
      <c r="AN646" s="75"/>
      <c r="AO646" s="75"/>
      <c r="AP646" s="75"/>
      <c r="AQ646" s="75"/>
      <c r="AR646" s="75"/>
    </row>
    <row r="647" spans="1:44" x14ac:dyDescent="0.25">
      <c r="A647" s="75"/>
      <c r="B647" s="75"/>
      <c r="C647" s="75"/>
      <c r="D647" s="75"/>
      <c r="E647" s="84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6"/>
      <c r="AJ647" s="75"/>
      <c r="AK647" s="75"/>
      <c r="AL647" s="75"/>
      <c r="AM647" s="75"/>
      <c r="AN647" s="75"/>
      <c r="AO647" s="75"/>
      <c r="AP647" s="75"/>
      <c r="AQ647" s="75"/>
      <c r="AR647" s="75"/>
    </row>
    <row r="648" spans="1:44" x14ac:dyDescent="0.25">
      <c r="A648" s="75"/>
      <c r="B648" s="75"/>
      <c r="C648" s="75"/>
      <c r="D648" s="75"/>
      <c r="E648" s="84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6"/>
      <c r="AJ648" s="75"/>
      <c r="AK648" s="75"/>
      <c r="AL648" s="75"/>
      <c r="AM648" s="75"/>
      <c r="AN648" s="75"/>
      <c r="AO648" s="75"/>
      <c r="AP648" s="75"/>
      <c r="AQ648" s="75"/>
      <c r="AR648" s="75"/>
    </row>
    <row r="649" spans="1:44" x14ac:dyDescent="0.25">
      <c r="A649" s="75"/>
      <c r="B649" s="75"/>
      <c r="C649" s="75"/>
      <c r="D649" s="75"/>
      <c r="E649" s="84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6"/>
      <c r="AJ649" s="75"/>
      <c r="AK649" s="75"/>
      <c r="AL649" s="75"/>
      <c r="AM649" s="75"/>
      <c r="AN649" s="75"/>
      <c r="AO649" s="75"/>
      <c r="AP649" s="75"/>
      <c r="AQ649" s="75"/>
      <c r="AR649" s="75"/>
    </row>
    <row r="650" spans="1:44" x14ac:dyDescent="0.25">
      <c r="A650" s="75"/>
      <c r="B650" s="75"/>
      <c r="C650" s="75"/>
      <c r="D650" s="75"/>
      <c r="E650" s="84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6"/>
      <c r="AJ650" s="75"/>
      <c r="AK650" s="75"/>
      <c r="AL650" s="75"/>
      <c r="AM650" s="75"/>
      <c r="AN650" s="75"/>
      <c r="AO650" s="75"/>
      <c r="AP650" s="75"/>
      <c r="AQ650" s="75"/>
      <c r="AR650" s="75"/>
    </row>
    <row r="651" spans="1:44" x14ac:dyDescent="0.25">
      <c r="A651" s="75"/>
      <c r="B651" s="75"/>
      <c r="C651" s="75"/>
      <c r="D651" s="75"/>
      <c r="E651" s="84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6"/>
      <c r="AJ651" s="75"/>
      <c r="AK651" s="75"/>
      <c r="AL651" s="75"/>
      <c r="AM651" s="75"/>
      <c r="AN651" s="75"/>
      <c r="AO651" s="75"/>
      <c r="AP651" s="75"/>
      <c r="AQ651" s="75"/>
      <c r="AR651" s="75"/>
    </row>
    <row r="652" spans="1:44" x14ac:dyDescent="0.25">
      <c r="A652" s="75"/>
      <c r="B652" s="75"/>
      <c r="C652" s="75"/>
      <c r="D652" s="75"/>
      <c r="E652" s="84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6"/>
      <c r="AJ652" s="75"/>
      <c r="AK652" s="75"/>
      <c r="AL652" s="75"/>
      <c r="AM652" s="75"/>
      <c r="AN652" s="75"/>
      <c r="AO652" s="75"/>
      <c r="AP652" s="75"/>
      <c r="AQ652" s="75"/>
      <c r="AR652" s="75"/>
    </row>
    <row r="653" spans="1:44" x14ac:dyDescent="0.25">
      <c r="A653" s="75"/>
      <c r="B653" s="75"/>
      <c r="C653" s="75"/>
      <c r="D653" s="75"/>
      <c r="E653" s="84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6"/>
      <c r="AJ653" s="75"/>
      <c r="AK653" s="75"/>
      <c r="AL653" s="75"/>
      <c r="AM653" s="75"/>
      <c r="AN653" s="75"/>
      <c r="AO653" s="75"/>
      <c r="AP653" s="75"/>
      <c r="AQ653" s="75"/>
      <c r="AR653" s="75"/>
    </row>
    <row r="654" spans="1:44" x14ac:dyDescent="0.25">
      <c r="A654" s="75"/>
      <c r="B654" s="75"/>
      <c r="C654" s="75"/>
      <c r="D654" s="75"/>
      <c r="E654" s="84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6"/>
      <c r="AJ654" s="75"/>
      <c r="AK654" s="75"/>
      <c r="AL654" s="75"/>
      <c r="AM654" s="75"/>
      <c r="AN654" s="75"/>
      <c r="AO654" s="75"/>
      <c r="AP654" s="75"/>
      <c r="AQ654" s="75"/>
      <c r="AR654" s="75"/>
    </row>
    <row r="655" spans="1:44" x14ac:dyDescent="0.25">
      <c r="A655" s="75"/>
      <c r="B655" s="75"/>
      <c r="C655" s="75"/>
      <c r="D655" s="75"/>
      <c r="E655" s="84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6"/>
      <c r="AJ655" s="75"/>
      <c r="AK655" s="75"/>
      <c r="AL655" s="75"/>
      <c r="AM655" s="75"/>
      <c r="AN655" s="75"/>
      <c r="AO655" s="75"/>
      <c r="AP655" s="75"/>
      <c r="AQ655" s="75"/>
      <c r="AR655" s="75"/>
    </row>
    <row r="656" spans="1:44" x14ac:dyDescent="0.25">
      <c r="A656" s="75"/>
      <c r="B656" s="75"/>
      <c r="C656" s="75"/>
      <c r="D656" s="75"/>
      <c r="E656" s="84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6"/>
      <c r="AJ656" s="75"/>
      <c r="AK656" s="75"/>
      <c r="AL656" s="75"/>
      <c r="AM656" s="75"/>
      <c r="AN656" s="75"/>
      <c r="AO656" s="75"/>
      <c r="AP656" s="75"/>
      <c r="AQ656" s="75"/>
      <c r="AR656" s="75"/>
    </row>
    <row r="657" spans="1:44" x14ac:dyDescent="0.25">
      <c r="A657" s="75"/>
      <c r="B657" s="75"/>
      <c r="C657" s="75"/>
      <c r="D657" s="75"/>
      <c r="E657" s="84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6"/>
      <c r="AJ657" s="75"/>
      <c r="AK657" s="75"/>
      <c r="AL657" s="75"/>
      <c r="AM657" s="75"/>
      <c r="AN657" s="75"/>
      <c r="AO657" s="75"/>
      <c r="AP657" s="75"/>
      <c r="AQ657" s="75"/>
      <c r="AR657" s="75"/>
    </row>
    <row r="658" spans="1:44" x14ac:dyDescent="0.25">
      <c r="A658" s="75"/>
      <c r="B658" s="75"/>
      <c r="C658" s="75"/>
      <c r="D658" s="75"/>
      <c r="E658" s="84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6"/>
      <c r="AJ658" s="75"/>
      <c r="AK658" s="75"/>
      <c r="AL658" s="75"/>
      <c r="AM658" s="75"/>
      <c r="AN658" s="75"/>
      <c r="AO658" s="75"/>
      <c r="AP658" s="75"/>
      <c r="AQ658" s="75"/>
      <c r="AR658" s="75"/>
    </row>
    <row r="659" spans="1:44" x14ac:dyDescent="0.25">
      <c r="A659" s="75"/>
      <c r="B659" s="75"/>
      <c r="C659" s="75"/>
      <c r="D659" s="75"/>
      <c r="E659" s="84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6"/>
      <c r="AJ659" s="75"/>
      <c r="AK659" s="75"/>
      <c r="AL659" s="75"/>
      <c r="AM659" s="75"/>
      <c r="AN659" s="75"/>
      <c r="AO659" s="75"/>
      <c r="AP659" s="75"/>
      <c r="AQ659" s="75"/>
      <c r="AR659" s="75"/>
    </row>
    <row r="660" spans="1:44" x14ac:dyDescent="0.25">
      <c r="A660" s="75"/>
      <c r="B660" s="75"/>
      <c r="C660" s="75"/>
      <c r="D660" s="75"/>
      <c r="E660" s="84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6"/>
      <c r="AJ660" s="75"/>
      <c r="AK660" s="75"/>
      <c r="AL660" s="75"/>
      <c r="AM660" s="75"/>
      <c r="AN660" s="75"/>
      <c r="AO660" s="75"/>
      <c r="AP660" s="75"/>
      <c r="AQ660" s="75"/>
      <c r="AR660" s="75"/>
    </row>
    <row r="661" spans="1:44" x14ac:dyDescent="0.25">
      <c r="A661" s="75"/>
      <c r="B661" s="75"/>
      <c r="C661" s="75"/>
      <c r="D661" s="75"/>
      <c r="E661" s="84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6"/>
      <c r="AJ661" s="75"/>
      <c r="AK661" s="75"/>
      <c r="AL661" s="75"/>
      <c r="AM661" s="75"/>
      <c r="AN661" s="75"/>
      <c r="AO661" s="75"/>
      <c r="AP661" s="75"/>
      <c r="AQ661" s="75"/>
      <c r="AR661" s="75"/>
    </row>
    <row r="662" spans="1:44" x14ac:dyDescent="0.25">
      <c r="A662" s="75"/>
      <c r="B662" s="75"/>
      <c r="C662" s="75"/>
      <c r="D662" s="75"/>
      <c r="E662" s="84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6"/>
      <c r="AJ662" s="75"/>
      <c r="AK662" s="75"/>
      <c r="AL662" s="75"/>
      <c r="AM662" s="75"/>
      <c r="AN662" s="75"/>
      <c r="AO662" s="75"/>
      <c r="AP662" s="75"/>
      <c r="AQ662" s="75"/>
      <c r="AR662" s="75"/>
    </row>
    <row r="663" spans="1:44" x14ac:dyDescent="0.25">
      <c r="A663" s="75"/>
      <c r="B663" s="75"/>
      <c r="C663" s="75"/>
      <c r="D663" s="75"/>
      <c r="E663" s="84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6"/>
      <c r="AJ663" s="75"/>
      <c r="AK663" s="75"/>
      <c r="AL663" s="75"/>
      <c r="AM663" s="75"/>
      <c r="AN663" s="75"/>
      <c r="AO663" s="75"/>
      <c r="AP663" s="75"/>
      <c r="AQ663" s="75"/>
      <c r="AR663" s="75"/>
    </row>
    <row r="664" spans="1:44" x14ac:dyDescent="0.25">
      <c r="A664" s="75"/>
      <c r="B664" s="75"/>
      <c r="C664" s="75"/>
      <c r="D664" s="75"/>
      <c r="E664" s="84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6"/>
      <c r="AJ664" s="75"/>
      <c r="AK664" s="75"/>
      <c r="AL664" s="75"/>
      <c r="AM664" s="75"/>
      <c r="AN664" s="75"/>
      <c r="AO664" s="75"/>
      <c r="AP664" s="75"/>
      <c r="AQ664" s="75"/>
      <c r="AR664" s="75"/>
    </row>
    <row r="665" spans="1:44" x14ac:dyDescent="0.25">
      <c r="A665" s="75"/>
      <c r="B665" s="75"/>
      <c r="C665" s="75"/>
      <c r="D665" s="75"/>
      <c r="E665" s="84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6"/>
      <c r="AJ665" s="75"/>
      <c r="AK665" s="75"/>
      <c r="AL665" s="75"/>
      <c r="AM665" s="75"/>
      <c r="AN665" s="75"/>
      <c r="AO665" s="75"/>
      <c r="AP665" s="75"/>
      <c r="AQ665" s="75"/>
      <c r="AR665" s="75"/>
    </row>
    <row r="666" spans="1:44" x14ac:dyDescent="0.25">
      <c r="A666" s="75"/>
      <c r="B666" s="75"/>
      <c r="C666" s="75"/>
      <c r="D666" s="75"/>
      <c r="E666" s="84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6"/>
      <c r="AJ666" s="75"/>
      <c r="AK666" s="75"/>
      <c r="AL666" s="75"/>
      <c r="AM666" s="75"/>
      <c r="AN666" s="75"/>
      <c r="AO666" s="75"/>
      <c r="AP666" s="75"/>
      <c r="AQ666" s="75"/>
      <c r="AR666" s="75"/>
    </row>
    <row r="667" spans="1:44" x14ac:dyDescent="0.25">
      <c r="A667" s="75"/>
      <c r="B667" s="75"/>
      <c r="C667" s="75"/>
      <c r="D667" s="75"/>
      <c r="E667" s="84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6"/>
      <c r="AJ667" s="75"/>
      <c r="AK667" s="75"/>
      <c r="AL667" s="75"/>
      <c r="AM667" s="75"/>
      <c r="AN667" s="75"/>
      <c r="AO667" s="75"/>
      <c r="AP667" s="75"/>
      <c r="AQ667" s="75"/>
      <c r="AR667" s="75"/>
    </row>
    <row r="668" spans="1:44" x14ac:dyDescent="0.25">
      <c r="A668" s="75"/>
      <c r="B668" s="75"/>
      <c r="C668" s="75"/>
      <c r="D668" s="75"/>
      <c r="E668" s="84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6"/>
      <c r="AJ668" s="75"/>
      <c r="AK668" s="75"/>
      <c r="AL668" s="75"/>
      <c r="AM668" s="75"/>
      <c r="AN668" s="75"/>
      <c r="AO668" s="75"/>
      <c r="AP668" s="75"/>
      <c r="AQ668" s="75"/>
      <c r="AR668" s="75"/>
    </row>
    <row r="669" spans="1:44" x14ac:dyDescent="0.25">
      <c r="A669" s="75"/>
      <c r="B669" s="75"/>
      <c r="C669" s="75"/>
      <c r="D669" s="75"/>
      <c r="E669" s="84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6"/>
      <c r="AJ669" s="75"/>
      <c r="AK669" s="75"/>
      <c r="AL669" s="75"/>
      <c r="AM669" s="75"/>
      <c r="AN669" s="75"/>
      <c r="AO669" s="75"/>
      <c r="AP669" s="75"/>
      <c r="AQ669" s="75"/>
      <c r="AR669" s="75"/>
    </row>
    <row r="670" spans="1:44" x14ac:dyDescent="0.25">
      <c r="A670" s="75"/>
      <c r="B670" s="75"/>
      <c r="C670" s="75"/>
      <c r="D670" s="75"/>
      <c r="E670" s="84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6"/>
      <c r="AJ670" s="75"/>
      <c r="AK670" s="75"/>
      <c r="AL670" s="75"/>
      <c r="AM670" s="75"/>
      <c r="AN670" s="75"/>
      <c r="AO670" s="75"/>
      <c r="AP670" s="75"/>
      <c r="AQ670" s="75"/>
      <c r="AR670" s="75"/>
    </row>
    <row r="671" spans="1:44" x14ac:dyDescent="0.25">
      <c r="A671" s="75"/>
      <c r="B671" s="75"/>
      <c r="C671" s="75"/>
      <c r="D671" s="75"/>
      <c r="E671" s="84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6"/>
      <c r="AJ671" s="75"/>
      <c r="AK671" s="75"/>
      <c r="AL671" s="75"/>
      <c r="AM671" s="75"/>
      <c r="AN671" s="75"/>
      <c r="AO671" s="75"/>
      <c r="AP671" s="75"/>
      <c r="AQ671" s="75"/>
      <c r="AR671" s="75"/>
    </row>
    <row r="672" spans="1:44" x14ac:dyDescent="0.25">
      <c r="A672" s="75"/>
      <c r="B672" s="75"/>
      <c r="C672" s="75"/>
      <c r="D672" s="75"/>
      <c r="E672" s="84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6"/>
      <c r="AJ672" s="75"/>
      <c r="AK672" s="75"/>
      <c r="AL672" s="75"/>
      <c r="AM672" s="75"/>
      <c r="AN672" s="75"/>
      <c r="AO672" s="75"/>
      <c r="AP672" s="75"/>
      <c r="AQ672" s="75"/>
      <c r="AR672" s="75"/>
    </row>
    <row r="673" spans="1:44" x14ac:dyDescent="0.25">
      <c r="A673" s="75"/>
      <c r="B673" s="75"/>
      <c r="C673" s="75"/>
      <c r="D673" s="75"/>
      <c r="E673" s="84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6"/>
      <c r="AJ673" s="75"/>
      <c r="AK673" s="75"/>
      <c r="AL673" s="75"/>
      <c r="AM673" s="75"/>
      <c r="AN673" s="75"/>
      <c r="AO673" s="75"/>
      <c r="AP673" s="75"/>
      <c r="AQ673" s="75"/>
      <c r="AR673" s="75"/>
    </row>
    <row r="674" spans="1:44" x14ac:dyDescent="0.25">
      <c r="A674" s="75"/>
      <c r="B674" s="75"/>
      <c r="C674" s="75"/>
      <c r="D674" s="75"/>
      <c r="E674" s="84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6"/>
      <c r="AJ674" s="75"/>
      <c r="AK674" s="75"/>
      <c r="AL674" s="75"/>
      <c r="AM674" s="75"/>
      <c r="AN674" s="75"/>
      <c r="AO674" s="75"/>
      <c r="AP674" s="75"/>
      <c r="AQ674" s="75"/>
      <c r="AR674" s="75"/>
    </row>
    <row r="675" spans="1:44" x14ac:dyDescent="0.25">
      <c r="A675" s="75"/>
      <c r="B675" s="75"/>
      <c r="C675" s="75"/>
      <c r="D675" s="75"/>
      <c r="E675" s="84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6"/>
      <c r="AJ675" s="75"/>
      <c r="AK675" s="75"/>
      <c r="AL675" s="75"/>
      <c r="AM675" s="75"/>
      <c r="AN675" s="75"/>
      <c r="AO675" s="75"/>
      <c r="AP675" s="75"/>
      <c r="AQ675" s="75"/>
      <c r="AR675" s="75"/>
    </row>
    <row r="676" spans="1:44" x14ac:dyDescent="0.25">
      <c r="A676" s="75"/>
      <c r="B676" s="75"/>
      <c r="C676" s="75"/>
      <c r="D676" s="75"/>
      <c r="E676" s="84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6"/>
      <c r="AJ676" s="75"/>
      <c r="AK676" s="75"/>
      <c r="AL676" s="75"/>
      <c r="AM676" s="75"/>
      <c r="AN676" s="75"/>
      <c r="AO676" s="75"/>
      <c r="AP676" s="75"/>
      <c r="AQ676" s="75"/>
      <c r="AR676" s="75"/>
    </row>
    <row r="677" spans="1:44" x14ac:dyDescent="0.25">
      <c r="A677" s="75"/>
      <c r="B677" s="75"/>
      <c r="C677" s="75"/>
      <c r="D677" s="75"/>
      <c r="E677" s="84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6"/>
      <c r="AJ677" s="75"/>
      <c r="AK677" s="75"/>
      <c r="AL677" s="75"/>
      <c r="AM677" s="75"/>
      <c r="AN677" s="75"/>
      <c r="AO677" s="75"/>
      <c r="AP677" s="75"/>
      <c r="AQ677" s="75"/>
      <c r="AR677" s="75"/>
    </row>
    <row r="678" spans="1:44" x14ac:dyDescent="0.25">
      <c r="A678" s="75"/>
      <c r="B678" s="75"/>
      <c r="C678" s="75"/>
      <c r="D678" s="75"/>
      <c r="E678" s="84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6"/>
      <c r="AJ678" s="75"/>
      <c r="AK678" s="75"/>
      <c r="AL678" s="75"/>
      <c r="AM678" s="75"/>
      <c r="AN678" s="75"/>
      <c r="AO678" s="75"/>
      <c r="AP678" s="75"/>
      <c r="AQ678" s="75"/>
      <c r="AR678" s="75"/>
    </row>
    <row r="679" spans="1:44" x14ac:dyDescent="0.25">
      <c r="A679" s="75"/>
      <c r="B679" s="75"/>
      <c r="C679" s="75"/>
      <c r="D679" s="75"/>
      <c r="E679" s="84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6"/>
      <c r="AJ679" s="75"/>
      <c r="AK679" s="75"/>
      <c r="AL679" s="75"/>
      <c r="AM679" s="75"/>
      <c r="AN679" s="75"/>
      <c r="AO679" s="75"/>
      <c r="AP679" s="75"/>
      <c r="AQ679" s="75"/>
      <c r="AR679" s="75"/>
    </row>
    <row r="680" spans="1:44" x14ac:dyDescent="0.25">
      <c r="A680" s="75"/>
      <c r="B680" s="75"/>
      <c r="C680" s="75"/>
      <c r="D680" s="75"/>
      <c r="E680" s="84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6"/>
      <c r="AJ680" s="75"/>
      <c r="AK680" s="75"/>
      <c r="AL680" s="75"/>
      <c r="AM680" s="75"/>
      <c r="AN680" s="75"/>
      <c r="AO680" s="75"/>
      <c r="AP680" s="75"/>
      <c r="AQ680" s="75"/>
      <c r="AR680" s="75"/>
    </row>
    <row r="681" spans="1:44" x14ac:dyDescent="0.25">
      <c r="A681" s="75"/>
      <c r="B681" s="75"/>
      <c r="C681" s="75"/>
      <c r="D681" s="75"/>
      <c r="E681" s="84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6"/>
      <c r="AJ681" s="75"/>
      <c r="AK681" s="75"/>
      <c r="AL681" s="75"/>
      <c r="AM681" s="75"/>
      <c r="AN681" s="75"/>
      <c r="AO681" s="75"/>
      <c r="AP681" s="75"/>
      <c r="AQ681" s="75"/>
      <c r="AR681" s="75"/>
    </row>
    <row r="682" spans="1:44" x14ac:dyDescent="0.25">
      <c r="A682" s="75"/>
      <c r="B682" s="75"/>
      <c r="C682" s="75"/>
      <c r="D682" s="75"/>
      <c r="E682" s="84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6"/>
      <c r="AJ682" s="75"/>
      <c r="AK682" s="75"/>
      <c r="AL682" s="75"/>
      <c r="AM682" s="75"/>
      <c r="AN682" s="75"/>
      <c r="AO682" s="75"/>
      <c r="AP682" s="75"/>
      <c r="AQ682" s="75"/>
      <c r="AR682" s="75"/>
    </row>
    <row r="683" spans="1:44" x14ac:dyDescent="0.25">
      <c r="A683" s="75"/>
      <c r="B683" s="75"/>
      <c r="C683" s="75"/>
      <c r="D683" s="75"/>
      <c r="E683" s="84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6"/>
      <c r="AJ683" s="75"/>
      <c r="AK683" s="75"/>
      <c r="AL683" s="75"/>
      <c r="AM683" s="75"/>
      <c r="AN683" s="75"/>
      <c r="AO683" s="75"/>
      <c r="AP683" s="75"/>
      <c r="AQ683" s="75"/>
      <c r="AR683" s="75"/>
    </row>
    <row r="684" spans="1:44" x14ac:dyDescent="0.25">
      <c r="A684" s="75"/>
      <c r="B684" s="75"/>
      <c r="C684" s="75"/>
      <c r="D684" s="75"/>
      <c r="E684" s="84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6"/>
      <c r="AJ684" s="75"/>
      <c r="AK684" s="75"/>
      <c r="AL684" s="75"/>
      <c r="AM684" s="75"/>
      <c r="AN684" s="75"/>
      <c r="AO684" s="75"/>
      <c r="AP684" s="75"/>
      <c r="AQ684" s="75"/>
      <c r="AR684" s="75"/>
    </row>
    <row r="685" spans="1:44" x14ac:dyDescent="0.25">
      <c r="A685" s="75"/>
      <c r="B685" s="75"/>
      <c r="C685" s="75"/>
      <c r="D685" s="75"/>
      <c r="E685" s="84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6"/>
      <c r="AJ685" s="75"/>
      <c r="AK685" s="75"/>
      <c r="AL685" s="75"/>
      <c r="AM685" s="75"/>
      <c r="AN685" s="75"/>
      <c r="AO685" s="75"/>
      <c r="AP685" s="75"/>
      <c r="AQ685" s="75"/>
      <c r="AR685" s="75"/>
    </row>
    <row r="686" spans="1:44" x14ac:dyDescent="0.25">
      <c r="A686" s="75"/>
      <c r="B686" s="75"/>
      <c r="C686" s="75"/>
      <c r="D686" s="75"/>
      <c r="E686" s="84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6"/>
      <c r="AJ686" s="75"/>
      <c r="AK686" s="75"/>
      <c r="AL686" s="75"/>
      <c r="AM686" s="75"/>
      <c r="AN686" s="75"/>
      <c r="AO686" s="75"/>
      <c r="AP686" s="75"/>
      <c r="AQ686" s="75"/>
      <c r="AR686" s="75"/>
    </row>
    <row r="687" spans="1:44" x14ac:dyDescent="0.25">
      <c r="A687" s="75"/>
      <c r="B687" s="75"/>
      <c r="C687" s="75"/>
      <c r="D687" s="75"/>
      <c r="E687" s="84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6"/>
      <c r="AJ687" s="75"/>
      <c r="AK687" s="75"/>
      <c r="AL687" s="75"/>
      <c r="AM687" s="75"/>
      <c r="AN687" s="75"/>
      <c r="AO687" s="75"/>
      <c r="AP687" s="75"/>
      <c r="AQ687" s="75"/>
      <c r="AR687" s="75"/>
    </row>
    <row r="688" spans="1:44" x14ac:dyDescent="0.25">
      <c r="A688" s="75"/>
      <c r="B688" s="75"/>
      <c r="C688" s="75"/>
      <c r="D688" s="75"/>
      <c r="E688" s="84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6"/>
      <c r="AJ688" s="75"/>
      <c r="AK688" s="75"/>
      <c r="AL688" s="75"/>
      <c r="AM688" s="75"/>
      <c r="AN688" s="75"/>
      <c r="AO688" s="75"/>
      <c r="AP688" s="75"/>
      <c r="AQ688" s="75"/>
      <c r="AR688" s="75"/>
    </row>
    <row r="689" spans="1:44" x14ac:dyDescent="0.25">
      <c r="A689" s="75"/>
      <c r="B689" s="75"/>
      <c r="C689" s="75"/>
      <c r="D689" s="75"/>
      <c r="E689" s="84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6"/>
      <c r="AJ689" s="75"/>
      <c r="AK689" s="75"/>
      <c r="AL689" s="75"/>
      <c r="AM689" s="75"/>
      <c r="AN689" s="75"/>
      <c r="AO689" s="75"/>
      <c r="AP689" s="75"/>
      <c r="AQ689" s="75"/>
      <c r="AR689" s="75"/>
    </row>
    <row r="690" spans="1:44" x14ac:dyDescent="0.25">
      <c r="A690" s="75"/>
      <c r="B690" s="75"/>
      <c r="C690" s="75"/>
      <c r="D690" s="75"/>
      <c r="E690" s="84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6"/>
      <c r="AJ690" s="75"/>
      <c r="AK690" s="75"/>
      <c r="AL690" s="75"/>
      <c r="AM690" s="75"/>
      <c r="AN690" s="75"/>
      <c r="AO690" s="75"/>
      <c r="AP690" s="75"/>
      <c r="AQ690" s="75"/>
      <c r="AR690" s="75"/>
    </row>
    <row r="691" spans="1:44" x14ac:dyDescent="0.25">
      <c r="A691" s="75"/>
      <c r="B691" s="75"/>
      <c r="C691" s="75"/>
      <c r="D691" s="75"/>
      <c r="E691" s="84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6"/>
      <c r="AJ691" s="75"/>
      <c r="AK691" s="75"/>
      <c r="AL691" s="75"/>
      <c r="AM691" s="75"/>
      <c r="AN691" s="75"/>
      <c r="AO691" s="75"/>
      <c r="AP691" s="75"/>
      <c r="AQ691" s="75"/>
      <c r="AR691" s="75"/>
    </row>
    <row r="692" spans="1:44" x14ac:dyDescent="0.25">
      <c r="A692" s="75"/>
      <c r="B692" s="75"/>
      <c r="C692" s="75"/>
      <c r="D692" s="75"/>
      <c r="E692" s="84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6"/>
      <c r="AJ692" s="75"/>
      <c r="AK692" s="75"/>
      <c r="AL692" s="75"/>
      <c r="AM692" s="75"/>
      <c r="AN692" s="75"/>
      <c r="AO692" s="75"/>
      <c r="AP692" s="75"/>
      <c r="AQ692" s="75"/>
      <c r="AR692" s="75"/>
    </row>
    <row r="693" spans="1:44" x14ac:dyDescent="0.25">
      <c r="A693" s="75"/>
      <c r="B693" s="75"/>
      <c r="C693" s="75"/>
      <c r="D693" s="75"/>
      <c r="E693" s="84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6"/>
      <c r="AJ693" s="75"/>
      <c r="AK693" s="75"/>
      <c r="AL693" s="75"/>
      <c r="AM693" s="75"/>
      <c r="AN693" s="75"/>
      <c r="AO693" s="75"/>
      <c r="AP693" s="75"/>
      <c r="AQ693" s="75"/>
      <c r="AR693" s="75"/>
    </row>
    <row r="694" spans="1:44" x14ac:dyDescent="0.25">
      <c r="A694" s="75"/>
      <c r="B694" s="75"/>
      <c r="C694" s="75"/>
      <c r="D694" s="75"/>
      <c r="E694" s="84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6"/>
      <c r="AJ694" s="75"/>
      <c r="AK694" s="75"/>
      <c r="AL694" s="75"/>
      <c r="AM694" s="75"/>
      <c r="AN694" s="75"/>
      <c r="AO694" s="75"/>
      <c r="AP694" s="75"/>
      <c r="AQ694" s="75"/>
      <c r="AR694" s="75"/>
    </row>
    <row r="695" spans="1:44" x14ac:dyDescent="0.25">
      <c r="A695" s="75"/>
      <c r="B695" s="75"/>
      <c r="C695" s="75"/>
      <c r="D695" s="75"/>
      <c r="E695" s="84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6"/>
      <c r="AJ695" s="75"/>
      <c r="AK695" s="75"/>
      <c r="AL695" s="75"/>
      <c r="AM695" s="75"/>
      <c r="AN695" s="75"/>
      <c r="AO695" s="75"/>
      <c r="AP695" s="75"/>
      <c r="AQ695" s="75"/>
      <c r="AR695" s="75"/>
    </row>
    <row r="696" spans="1:44" x14ac:dyDescent="0.25">
      <c r="A696" s="75"/>
      <c r="B696" s="75"/>
      <c r="C696" s="75"/>
      <c r="D696" s="75"/>
      <c r="E696" s="84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6"/>
      <c r="AJ696" s="75"/>
      <c r="AK696" s="75"/>
      <c r="AL696" s="75"/>
      <c r="AM696" s="75"/>
      <c r="AN696" s="75"/>
      <c r="AO696" s="75"/>
      <c r="AP696" s="75"/>
      <c r="AQ696" s="75"/>
      <c r="AR696" s="75"/>
    </row>
    <row r="697" spans="1:44" x14ac:dyDescent="0.25">
      <c r="A697" s="75"/>
      <c r="B697" s="75"/>
      <c r="C697" s="75"/>
      <c r="D697" s="75"/>
      <c r="E697" s="84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6"/>
      <c r="AJ697" s="75"/>
      <c r="AK697" s="75"/>
      <c r="AL697" s="75"/>
      <c r="AM697" s="75"/>
      <c r="AN697" s="75"/>
      <c r="AO697" s="75"/>
      <c r="AP697" s="75"/>
      <c r="AQ697" s="75"/>
      <c r="AR697" s="75"/>
    </row>
    <row r="698" spans="1:44" x14ac:dyDescent="0.25">
      <c r="A698" s="75"/>
      <c r="B698" s="75"/>
      <c r="C698" s="75"/>
      <c r="D698" s="75"/>
      <c r="E698" s="84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6"/>
      <c r="AJ698" s="75"/>
      <c r="AK698" s="75"/>
      <c r="AL698" s="75"/>
      <c r="AM698" s="75"/>
      <c r="AN698" s="75"/>
      <c r="AO698" s="75"/>
      <c r="AP698" s="75"/>
      <c r="AQ698" s="75"/>
      <c r="AR698" s="75"/>
    </row>
    <row r="699" spans="1:44" x14ac:dyDescent="0.25">
      <c r="A699" s="75"/>
      <c r="B699" s="75"/>
      <c r="C699" s="75"/>
      <c r="D699" s="75"/>
      <c r="E699" s="84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6"/>
      <c r="AJ699" s="75"/>
      <c r="AK699" s="75"/>
      <c r="AL699" s="75"/>
      <c r="AM699" s="75"/>
      <c r="AN699" s="75"/>
      <c r="AO699" s="75"/>
      <c r="AP699" s="75"/>
      <c r="AQ699" s="75"/>
      <c r="AR699" s="75"/>
    </row>
    <row r="700" spans="1:44" x14ac:dyDescent="0.25">
      <c r="A700" s="75"/>
      <c r="B700" s="75"/>
      <c r="C700" s="75"/>
      <c r="D700" s="75"/>
      <c r="E700" s="84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6"/>
      <c r="AJ700" s="75"/>
      <c r="AK700" s="75"/>
      <c r="AL700" s="75"/>
      <c r="AM700" s="75"/>
      <c r="AN700" s="75"/>
      <c r="AO700" s="75"/>
      <c r="AP700" s="75"/>
      <c r="AQ700" s="75"/>
      <c r="AR700" s="75"/>
    </row>
    <row r="701" spans="1:44" x14ac:dyDescent="0.25">
      <c r="A701" s="75"/>
      <c r="B701" s="75"/>
      <c r="C701" s="75"/>
      <c r="D701" s="75"/>
      <c r="E701" s="84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6"/>
      <c r="AJ701" s="75"/>
      <c r="AK701" s="75"/>
      <c r="AL701" s="75"/>
      <c r="AM701" s="75"/>
      <c r="AN701" s="75"/>
      <c r="AO701" s="75"/>
      <c r="AP701" s="75"/>
      <c r="AQ701" s="75"/>
      <c r="AR701" s="75"/>
    </row>
    <row r="702" spans="1:44" x14ac:dyDescent="0.25">
      <c r="A702" s="75"/>
      <c r="B702" s="75"/>
      <c r="C702" s="75"/>
      <c r="D702" s="75"/>
      <c r="E702" s="84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6"/>
      <c r="AJ702" s="75"/>
      <c r="AK702" s="75"/>
      <c r="AL702" s="75"/>
      <c r="AM702" s="75"/>
      <c r="AN702" s="75"/>
      <c r="AO702" s="75"/>
      <c r="AP702" s="75"/>
      <c r="AQ702" s="75"/>
      <c r="AR702" s="75"/>
    </row>
    <row r="703" spans="1:44" x14ac:dyDescent="0.25">
      <c r="A703" s="75"/>
      <c r="B703" s="75"/>
      <c r="C703" s="75"/>
      <c r="D703" s="75"/>
      <c r="E703" s="84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6"/>
      <c r="AJ703" s="75"/>
      <c r="AK703" s="75"/>
      <c r="AL703" s="75"/>
      <c r="AM703" s="75"/>
      <c r="AN703" s="75"/>
      <c r="AO703" s="75"/>
      <c r="AP703" s="75"/>
      <c r="AQ703" s="75"/>
      <c r="AR703" s="75"/>
    </row>
    <row r="704" spans="1:44" x14ac:dyDescent="0.25">
      <c r="A704" s="75"/>
      <c r="B704" s="75"/>
      <c r="C704" s="75"/>
      <c r="D704" s="75"/>
      <c r="E704" s="84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6"/>
      <c r="AJ704" s="75"/>
      <c r="AK704" s="75"/>
      <c r="AL704" s="75"/>
      <c r="AM704" s="75"/>
      <c r="AN704" s="75"/>
      <c r="AO704" s="75"/>
      <c r="AP704" s="75"/>
      <c r="AQ704" s="75"/>
      <c r="AR704" s="75"/>
    </row>
    <row r="705" spans="1:44" x14ac:dyDescent="0.25">
      <c r="A705" s="75"/>
      <c r="B705" s="75"/>
      <c r="C705" s="75"/>
      <c r="D705" s="75"/>
      <c r="E705" s="84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6"/>
      <c r="AJ705" s="75"/>
      <c r="AK705" s="75"/>
      <c r="AL705" s="75"/>
      <c r="AM705" s="75"/>
      <c r="AN705" s="75"/>
      <c r="AO705" s="75"/>
      <c r="AP705" s="75"/>
      <c r="AQ705" s="75"/>
      <c r="AR705" s="75"/>
    </row>
    <row r="706" spans="1:44" x14ac:dyDescent="0.25">
      <c r="A706" s="75"/>
      <c r="B706" s="75"/>
      <c r="C706" s="75"/>
      <c r="D706" s="75"/>
      <c r="E706" s="84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6"/>
      <c r="AJ706" s="75"/>
      <c r="AK706" s="75"/>
      <c r="AL706" s="75"/>
      <c r="AM706" s="75"/>
      <c r="AN706" s="75"/>
      <c r="AO706" s="75"/>
      <c r="AP706" s="75"/>
      <c r="AQ706" s="75"/>
      <c r="AR706" s="75"/>
    </row>
    <row r="707" spans="1:44" x14ac:dyDescent="0.25">
      <c r="A707" s="75"/>
      <c r="B707" s="75"/>
      <c r="C707" s="75"/>
      <c r="D707" s="75"/>
      <c r="E707" s="84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6"/>
      <c r="AJ707" s="75"/>
      <c r="AK707" s="75"/>
      <c r="AL707" s="75"/>
      <c r="AM707" s="75"/>
      <c r="AN707" s="75"/>
      <c r="AO707" s="75"/>
      <c r="AP707" s="75"/>
      <c r="AQ707" s="75"/>
      <c r="AR707" s="75"/>
    </row>
    <row r="708" spans="1:44" x14ac:dyDescent="0.25">
      <c r="A708" s="75"/>
      <c r="B708" s="75"/>
      <c r="C708" s="75"/>
      <c r="D708" s="75"/>
      <c r="E708" s="84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6"/>
      <c r="AJ708" s="75"/>
      <c r="AK708" s="75"/>
      <c r="AL708" s="75"/>
      <c r="AM708" s="75"/>
      <c r="AN708" s="75"/>
      <c r="AO708" s="75"/>
      <c r="AP708" s="75"/>
      <c r="AQ708" s="75"/>
      <c r="AR708" s="75"/>
    </row>
    <row r="709" spans="1:44" x14ac:dyDescent="0.25">
      <c r="A709" s="75"/>
      <c r="B709" s="75"/>
      <c r="C709" s="75"/>
      <c r="D709" s="75"/>
      <c r="E709" s="84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6"/>
      <c r="AJ709" s="75"/>
      <c r="AK709" s="75"/>
      <c r="AL709" s="75"/>
      <c r="AM709" s="75"/>
      <c r="AN709" s="75"/>
      <c r="AO709" s="75"/>
      <c r="AP709" s="75"/>
      <c r="AQ709" s="75"/>
      <c r="AR709" s="75"/>
    </row>
    <row r="710" spans="1:44" x14ac:dyDescent="0.25">
      <c r="A710" s="75"/>
      <c r="B710" s="75"/>
      <c r="C710" s="75"/>
      <c r="D710" s="75"/>
      <c r="E710" s="84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6"/>
      <c r="AJ710" s="75"/>
      <c r="AK710" s="75"/>
      <c r="AL710" s="75"/>
      <c r="AM710" s="75"/>
      <c r="AN710" s="75"/>
      <c r="AO710" s="75"/>
      <c r="AP710" s="75"/>
      <c r="AQ710" s="75"/>
      <c r="AR710" s="75"/>
    </row>
    <row r="711" spans="1:44" x14ac:dyDescent="0.25">
      <c r="A711" s="75"/>
      <c r="B711" s="75"/>
      <c r="C711" s="75"/>
      <c r="D711" s="75"/>
      <c r="E711" s="84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6"/>
      <c r="AJ711" s="75"/>
      <c r="AK711" s="75"/>
      <c r="AL711" s="75"/>
      <c r="AM711" s="75"/>
      <c r="AN711" s="75"/>
      <c r="AO711" s="75"/>
      <c r="AP711" s="75"/>
      <c r="AQ711" s="75"/>
      <c r="AR711" s="75"/>
    </row>
    <row r="712" spans="1:44" x14ac:dyDescent="0.25">
      <c r="A712" s="75"/>
      <c r="B712" s="75"/>
      <c r="C712" s="75"/>
      <c r="D712" s="75"/>
      <c r="E712" s="84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6"/>
      <c r="AJ712" s="75"/>
      <c r="AK712" s="75"/>
      <c r="AL712" s="75"/>
      <c r="AM712" s="75"/>
      <c r="AN712" s="75"/>
      <c r="AO712" s="75"/>
      <c r="AP712" s="75"/>
      <c r="AQ712" s="75"/>
      <c r="AR712" s="75"/>
    </row>
    <row r="713" spans="1:44" x14ac:dyDescent="0.25">
      <c r="A713" s="75"/>
      <c r="B713" s="75"/>
      <c r="C713" s="75"/>
      <c r="D713" s="75"/>
      <c r="E713" s="84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6"/>
      <c r="AJ713" s="75"/>
      <c r="AK713" s="75"/>
      <c r="AL713" s="75"/>
      <c r="AM713" s="75"/>
      <c r="AN713" s="75"/>
      <c r="AO713" s="75"/>
      <c r="AP713" s="75"/>
      <c r="AQ713" s="75"/>
      <c r="AR713" s="75"/>
    </row>
    <row r="714" spans="1:44" x14ac:dyDescent="0.25">
      <c r="A714" s="75"/>
      <c r="B714" s="75"/>
      <c r="C714" s="75"/>
      <c r="D714" s="75"/>
      <c r="E714" s="84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6"/>
      <c r="AJ714" s="75"/>
      <c r="AK714" s="75"/>
      <c r="AL714" s="75"/>
      <c r="AM714" s="75"/>
      <c r="AN714" s="75"/>
      <c r="AO714" s="75"/>
      <c r="AP714" s="75"/>
      <c r="AQ714" s="75"/>
      <c r="AR714" s="75"/>
    </row>
    <row r="715" spans="1:44" x14ac:dyDescent="0.25">
      <c r="A715" s="75"/>
      <c r="B715" s="75"/>
      <c r="C715" s="75"/>
      <c r="D715" s="75"/>
      <c r="E715" s="84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6"/>
      <c r="AJ715" s="75"/>
      <c r="AK715" s="75"/>
      <c r="AL715" s="75"/>
      <c r="AM715" s="75"/>
      <c r="AN715" s="75"/>
      <c r="AO715" s="75"/>
      <c r="AP715" s="75"/>
      <c r="AQ715" s="75"/>
      <c r="AR715" s="75"/>
    </row>
    <row r="716" spans="1:44" x14ac:dyDescent="0.25">
      <c r="A716" s="75"/>
      <c r="B716" s="75"/>
      <c r="C716" s="75"/>
      <c r="D716" s="75"/>
      <c r="E716" s="84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6"/>
      <c r="AJ716" s="75"/>
      <c r="AK716" s="75"/>
      <c r="AL716" s="75"/>
      <c r="AM716" s="75"/>
      <c r="AN716" s="75"/>
      <c r="AO716" s="75"/>
      <c r="AP716" s="75"/>
      <c r="AQ716" s="75"/>
      <c r="AR716" s="75"/>
    </row>
    <row r="717" spans="1:44" x14ac:dyDescent="0.25">
      <c r="A717" s="75"/>
      <c r="B717" s="75"/>
      <c r="C717" s="75"/>
      <c r="D717" s="75"/>
      <c r="E717" s="84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6"/>
      <c r="AJ717" s="75"/>
      <c r="AK717" s="75"/>
      <c r="AL717" s="75"/>
      <c r="AM717" s="75"/>
      <c r="AN717" s="75"/>
      <c r="AO717" s="75"/>
      <c r="AP717" s="75"/>
      <c r="AQ717" s="75"/>
      <c r="AR717" s="75"/>
    </row>
    <row r="718" spans="1:44" x14ac:dyDescent="0.25">
      <c r="A718" s="75"/>
      <c r="B718" s="75"/>
      <c r="C718" s="75"/>
      <c r="D718" s="75"/>
      <c r="E718" s="84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6"/>
      <c r="AJ718" s="75"/>
      <c r="AK718" s="75"/>
      <c r="AL718" s="75"/>
      <c r="AM718" s="75"/>
      <c r="AN718" s="75"/>
      <c r="AO718" s="75"/>
      <c r="AP718" s="75"/>
      <c r="AQ718" s="75"/>
      <c r="AR718" s="75"/>
    </row>
    <row r="719" spans="1:44" x14ac:dyDescent="0.25">
      <c r="A719" s="75"/>
      <c r="B719" s="75"/>
      <c r="C719" s="75"/>
      <c r="D719" s="75"/>
      <c r="E719" s="84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6"/>
      <c r="AJ719" s="75"/>
      <c r="AK719" s="75"/>
      <c r="AL719" s="75"/>
      <c r="AM719" s="75"/>
      <c r="AN719" s="75"/>
      <c r="AO719" s="75"/>
      <c r="AP719" s="75"/>
      <c r="AQ719" s="75"/>
      <c r="AR719" s="75"/>
    </row>
    <row r="720" spans="1:44" x14ac:dyDescent="0.25">
      <c r="A720" s="75"/>
      <c r="B720" s="75"/>
      <c r="C720" s="75"/>
      <c r="D720" s="75"/>
      <c r="E720" s="84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6"/>
      <c r="AJ720" s="75"/>
      <c r="AK720" s="75"/>
      <c r="AL720" s="75"/>
      <c r="AM720" s="75"/>
      <c r="AN720" s="75"/>
      <c r="AO720" s="75"/>
      <c r="AP720" s="75"/>
      <c r="AQ720" s="75"/>
      <c r="AR720" s="75"/>
    </row>
    <row r="721" spans="1:44" x14ac:dyDescent="0.25">
      <c r="A721" s="75"/>
      <c r="B721" s="75"/>
      <c r="C721" s="75"/>
      <c r="D721" s="75"/>
      <c r="E721" s="84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6"/>
      <c r="AJ721" s="75"/>
      <c r="AK721" s="75"/>
      <c r="AL721" s="75"/>
      <c r="AM721" s="75"/>
      <c r="AN721" s="75"/>
      <c r="AO721" s="75"/>
      <c r="AP721" s="75"/>
      <c r="AQ721" s="75"/>
      <c r="AR721" s="75"/>
    </row>
    <row r="722" spans="1:44" x14ac:dyDescent="0.25">
      <c r="A722" s="75"/>
      <c r="B722" s="75"/>
      <c r="C722" s="75"/>
      <c r="D722" s="75"/>
      <c r="E722" s="84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6"/>
      <c r="AJ722" s="75"/>
      <c r="AK722" s="75"/>
      <c r="AL722" s="75"/>
      <c r="AM722" s="75"/>
      <c r="AN722" s="75"/>
      <c r="AO722" s="75"/>
      <c r="AP722" s="75"/>
      <c r="AQ722" s="75"/>
      <c r="AR722" s="75"/>
    </row>
    <row r="723" spans="1:44" x14ac:dyDescent="0.25">
      <c r="A723" s="75"/>
      <c r="B723" s="75"/>
      <c r="C723" s="75"/>
      <c r="D723" s="75"/>
      <c r="E723" s="84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6"/>
      <c r="AJ723" s="75"/>
      <c r="AK723" s="75"/>
      <c r="AL723" s="75"/>
      <c r="AM723" s="75"/>
      <c r="AN723" s="75"/>
      <c r="AO723" s="75"/>
      <c r="AP723" s="75"/>
      <c r="AQ723" s="75"/>
      <c r="AR723" s="75"/>
    </row>
    <row r="724" spans="1:44" x14ac:dyDescent="0.25">
      <c r="A724" s="75"/>
      <c r="B724" s="75"/>
      <c r="C724" s="75"/>
      <c r="D724" s="75"/>
      <c r="E724" s="84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6"/>
      <c r="AJ724" s="75"/>
      <c r="AK724" s="75"/>
      <c r="AL724" s="75"/>
      <c r="AM724" s="75"/>
      <c r="AN724" s="75"/>
      <c r="AO724" s="75"/>
      <c r="AP724" s="75"/>
      <c r="AQ724" s="75"/>
      <c r="AR724" s="75"/>
    </row>
    <row r="725" spans="1:44" x14ac:dyDescent="0.25">
      <c r="A725" s="75"/>
      <c r="B725" s="75"/>
      <c r="C725" s="75"/>
      <c r="D725" s="75"/>
      <c r="E725" s="84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6"/>
      <c r="AJ725" s="75"/>
      <c r="AK725" s="75"/>
      <c r="AL725" s="75"/>
      <c r="AM725" s="75"/>
      <c r="AN725" s="75"/>
      <c r="AO725" s="75"/>
      <c r="AP725" s="75"/>
      <c r="AQ725" s="75"/>
      <c r="AR725" s="75"/>
    </row>
    <row r="726" spans="1:44" x14ac:dyDescent="0.25">
      <c r="A726" s="75"/>
      <c r="B726" s="75"/>
      <c r="C726" s="75"/>
      <c r="D726" s="75"/>
      <c r="E726" s="84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6"/>
      <c r="AJ726" s="75"/>
      <c r="AK726" s="75"/>
      <c r="AL726" s="75"/>
      <c r="AM726" s="75"/>
      <c r="AN726" s="75"/>
      <c r="AO726" s="75"/>
      <c r="AP726" s="75"/>
      <c r="AQ726" s="75"/>
      <c r="AR726" s="75"/>
    </row>
    <row r="727" spans="1:44" x14ac:dyDescent="0.25">
      <c r="A727" s="75"/>
      <c r="B727" s="75"/>
      <c r="C727" s="75"/>
      <c r="D727" s="75"/>
      <c r="E727" s="84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6"/>
      <c r="AJ727" s="75"/>
      <c r="AK727" s="75"/>
      <c r="AL727" s="75"/>
      <c r="AM727" s="75"/>
      <c r="AN727" s="75"/>
      <c r="AO727" s="75"/>
      <c r="AP727" s="75"/>
      <c r="AQ727" s="75"/>
      <c r="AR727" s="75"/>
    </row>
    <row r="728" spans="1:44" x14ac:dyDescent="0.25">
      <c r="A728" s="75"/>
      <c r="B728" s="75"/>
      <c r="C728" s="75"/>
      <c r="D728" s="75"/>
      <c r="E728" s="84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6"/>
      <c r="AJ728" s="75"/>
      <c r="AK728" s="75"/>
      <c r="AL728" s="75"/>
      <c r="AM728" s="75"/>
      <c r="AN728" s="75"/>
      <c r="AO728" s="75"/>
      <c r="AP728" s="75"/>
      <c r="AQ728" s="75"/>
      <c r="AR728" s="75"/>
    </row>
    <row r="729" spans="1:44" x14ac:dyDescent="0.25">
      <c r="A729" s="75"/>
      <c r="B729" s="75"/>
      <c r="C729" s="75"/>
      <c r="D729" s="75"/>
      <c r="E729" s="84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6"/>
      <c r="AJ729" s="75"/>
      <c r="AK729" s="75"/>
      <c r="AL729" s="75"/>
      <c r="AM729" s="75"/>
      <c r="AN729" s="75"/>
      <c r="AO729" s="75"/>
      <c r="AP729" s="75"/>
      <c r="AQ729" s="75"/>
      <c r="AR729" s="75"/>
    </row>
    <row r="730" spans="1:44" x14ac:dyDescent="0.25">
      <c r="A730" s="75"/>
      <c r="B730" s="75"/>
      <c r="C730" s="75"/>
      <c r="D730" s="75"/>
      <c r="E730" s="84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6"/>
      <c r="AJ730" s="75"/>
      <c r="AK730" s="75"/>
      <c r="AL730" s="75"/>
      <c r="AM730" s="75"/>
      <c r="AN730" s="75"/>
      <c r="AO730" s="75"/>
      <c r="AP730" s="75"/>
      <c r="AQ730" s="75"/>
      <c r="AR730" s="75"/>
    </row>
    <row r="731" spans="1:44" x14ac:dyDescent="0.25">
      <c r="A731" s="75"/>
      <c r="B731" s="75"/>
      <c r="C731" s="75"/>
      <c r="D731" s="75"/>
      <c r="E731" s="84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6"/>
      <c r="AJ731" s="75"/>
      <c r="AK731" s="75"/>
      <c r="AL731" s="75"/>
      <c r="AM731" s="75"/>
      <c r="AN731" s="75"/>
      <c r="AO731" s="75"/>
      <c r="AP731" s="75"/>
      <c r="AQ731" s="75"/>
      <c r="AR731" s="75"/>
    </row>
    <row r="732" spans="1:44" x14ac:dyDescent="0.25">
      <c r="A732" s="75"/>
      <c r="B732" s="75"/>
      <c r="C732" s="75"/>
      <c r="D732" s="75"/>
      <c r="E732" s="84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6"/>
      <c r="AJ732" s="75"/>
      <c r="AK732" s="75"/>
      <c r="AL732" s="75"/>
      <c r="AM732" s="75"/>
      <c r="AN732" s="75"/>
      <c r="AO732" s="75"/>
      <c r="AP732" s="75"/>
      <c r="AQ732" s="75"/>
      <c r="AR732" s="75"/>
    </row>
    <row r="733" spans="1:44" x14ac:dyDescent="0.25">
      <c r="A733" s="75"/>
      <c r="B733" s="75"/>
      <c r="C733" s="75"/>
      <c r="D733" s="75"/>
      <c r="E733" s="84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6"/>
      <c r="AJ733" s="75"/>
      <c r="AK733" s="75"/>
      <c r="AL733" s="75"/>
      <c r="AM733" s="75"/>
      <c r="AN733" s="75"/>
      <c r="AO733" s="75"/>
      <c r="AP733" s="75"/>
      <c r="AQ733" s="75"/>
      <c r="AR733" s="75"/>
    </row>
    <row r="734" spans="1:44" x14ac:dyDescent="0.25">
      <c r="A734" s="75"/>
      <c r="B734" s="75"/>
      <c r="C734" s="75"/>
      <c r="D734" s="75"/>
      <c r="E734" s="84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6"/>
      <c r="AJ734" s="75"/>
      <c r="AK734" s="75"/>
      <c r="AL734" s="75"/>
      <c r="AM734" s="75"/>
      <c r="AN734" s="75"/>
      <c r="AO734" s="75"/>
      <c r="AP734" s="75"/>
      <c r="AQ734" s="75"/>
      <c r="AR734" s="75"/>
    </row>
    <row r="735" spans="1:44" x14ac:dyDescent="0.25">
      <c r="A735" s="75"/>
      <c r="B735" s="75"/>
      <c r="C735" s="75"/>
      <c r="D735" s="75"/>
      <c r="E735" s="84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6"/>
      <c r="AJ735" s="75"/>
      <c r="AK735" s="75"/>
      <c r="AL735" s="75"/>
      <c r="AM735" s="75"/>
      <c r="AN735" s="75"/>
      <c r="AO735" s="75"/>
      <c r="AP735" s="75"/>
      <c r="AQ735" s="75"/>
      <c r="AR735" s="75"/>
    </row>
    <row r="736" spans="1:44" x14ac:dyDescent="0.25">
      <c r="A736" s="75"/>
      <c r="B736" s="75"/>
      <c r="C736" s="75"/>
      <c r="D736" s="75"/>
      <c r="E736" s="84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6"/>
      <c r="AJ736" s="75"/>
      <c r="AK736" s="75"/>
      <c r="AL736" s="75"/>
      <c r="AM736" s="75"/>
      <c r="AN736" s="75"/>
      <c r="AO736" s="75"/>
      <c r="AP736" s="75"/>
      <c r="AQ736" s="75"/>
      <c r="AR736" s="75"/>
    </row>
    <row r="737" spans="1:44" x14ac:dyDescent="0.25">
      <c r="A737" s="75"/>
      <c r="B737" s="75"/>
      <c r="C737" s="75"/>
      <c r="D737" s="75"/>
      <c r="E737" s="84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6"/>
      <c r="AJ737" s="75"/>
      <c r="AK737" s="75"/>
      <c r="AL737" s="75"/>
      <c r="AM737" s="75"/>
      <c r="AN737" s="75"/>
      <c r="AO737" s="75"/>
      <c r="AP737" s="75"/>
      <c r="AQ737" s="75"/>
      <c r="AR737" s="75"/>
    </row>
    <row r="738" spans="1:44" x14ac:dyDescent="0.25">
      <c r="A738" s="75"/>
      <c r="B738" s="75"/>
      <c r="C738" s="75"/>
      <c r="D738" s="75"/>
      <c r="E738" s="84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6"/>
      <c r="AJ738" s="75"/>
      <c r="AK738" s="75"/>
      <c r="AL738" s="75"/>
      <c r="AM738" s="75"/>
      <c r="AN738" s="75"/>
      <c r="AO738" s="75"/>
      <c r="AP738" s="75"/>
      <c r="AQ738" s="75"/>
      <c r="AR738" s="75"/>
    </row>
    <row r="739" spans="1:44" x14ac:dyDescent="0.25">
      <c r="A739" s="75"/>
      <c r="B739" s="75"/>
      <c r="C739" s="75"/>
      <c r="D739" s="75"/>
      <c r="E739" s="84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6"/>
      <c r="AJ739" s="75"/>
      <c r="AK739" s="75"/>
      <c r="AL739" s="75"/>
      <c r="AM739" s="75"/>
      <c r="AN739" s="75"/>
      <c r="AO739" s="75"/>
      <c r="AP739" s="75"/>
      <c r="AQ739" s="75"/>
      <c r="AR739" s="75"/>
    </row>
    <row r="740" spans="1:44" x14ac:dyDescent="0.25">
      <c r="A740" s="75"/>
      <c r="B740" s="75"/>
      <c r="C740" s="75"/>
      <c r="D740" s="75"/>
      <c r="E740" s="84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6"/>
      <c r="AJ740" s="75"/>
      <c r="AK740" s="75"/>
      <c r="AL740" s="75"/>
      <c r="AM740" s="75"/>
      <c r="AN740" s="75"/>
      <c r="AO740" s="75"/>
      <c r="AP740" s="75"/>
      <c r="AQ740" s="75"/>
      <c r="AR740" s="75"/>
    </row>
    <row r="741" spans="1:44" x14ac:dyDescent="0.25">
      <c r="A741" s="75"/>
      <c r="B741" s="75"/>
      <c r="C741" s="75"/>
      <c r="D741" s="75"/>
      <c r="E741" s="84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6"/>
      <c r="AJ741" s="75"/>
      <c r="AK741" s="75"/>
      <c r="AL741" s="75"/>
      <c r="AM741" s="75"/>
      <c r="AN741" s="75"/>
      <c r="AO741" s="75"/>
      <c r="AP741" s="75"/>
      <c r="AQ741" s="75"/>
      <c r="AR741" s="75"/>
    </row>
    <row r="742" spans="1:44" x14ac:dyDescent="0.25">
      <c r="A742" s="75"/>
      <c r="B742" s="75"/>
      <c r="C742" s="75"/>
      <c r="D742" s="75"/>
      <c r="E742" s="84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6"/>
      <c r="AJ742" s="75"/>
      <c r="AK742" s="75"/>
      <c r="AL742" s="75"/>
      <c r="AM742" s="75"/>
      <c r="AN742" s="75"/>
      <c r="AO742" s="75"/>
      <c r="AP742" s="75"/>
      <c r="AQ742" s="75"/>
      <c r="AR742" s="75"/>
    </row>
    <row r="743" spans="1:44" x14ac:dyDescent="0.25">
      <c r="A743" s="75"/>
      <c r="B743" s="75"/>
      <c r="C743" s="75"/>
      <c r="D743" s="75"/>
      <c r="E743" s="84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6"/>
      <c r="AJ743" s="75"/>
      <c r="AK743" s="75"/>
      <c r="AL743" s="75"/>
      <c r="AM743" s="75"/>
      <c r="AN743" s="75"/>
      <c r="AO743" s="75"/>
      <c r="AP743" s="75"/>
      <c r="AQ743" s="75"/>
      <c r="AR743" s="75"/>
    </row>
    <row r="744" spans="1:44" x14ac:dyDescent="0.25">
      <c r="A744" s="75"/>
      <c r="B744" s="75"/>
      <c r="C744" s="75"/>
      <c r="D744" s="75"/>
      <c r="E744" s="84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6"/>
      <c r="AJ744" s="75"/>
      <c r="AK744" s="75"/>
      <c r="AL744" s="75"/>
      <c r="AM744" s="75"/>
      <c r="AN744" s="75"/>
      <c r="AO744" s="75"/>
      <c r="AP744" s="75"/>
      <c r="AQ744" s="75"/>
      <c r="AR744" s="75"/>
    </row>
    <row r="745" spans="1:44" x14ac:dyDescent="0.25">
      <c r="A745" s="75"/>
      <c r="B745" s="75"/>
      <c r="C745" s="75"/>
      <c r="D745" s="75"/>
      <c r="E745" s="84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6"/>
      <c r="AJ745" s="75"/>
      <c r="AK745" s="75"/>
      <c r="AL745" s="75"/>
      <c r="AM745" s="75"/>
      <c r="AN745" s="75"/>
      <c r="AO745" s="75"/>
      <c r="AP745" s="75"/>
      <c r="AQ745" s="75"/>
      <c r="AR745" s="75"/>
    </row>
    <row r="746" spans="1:44" x14ac:dyDescent="0.25">
      <c r="A746" s="75"/>
      <c r="B746" s="75"/>
      <c r="C746" s="75"/>
      <c r="D746" s="75"/>
      <c r="E746" s="84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6"/>
      <c r="AJ746" s="75"/>
      <c r="AK746" s="75"/>
      <c r="AL746" s="75"/>
      <c r="AM746" s="75"/>
      <c r="AN746" s="75"/>
      <c r="AO746" s="75"/>
      <c r="AP746" s="75"/>
      <c r="AQ746" s="75"/>
      <c r="AR746" s="75"/>
    </row>
    <row r="747" spans="1:44" x14ac:dyDescent="0.25">
      <c r="A747" s="75"/>
      <c r="B747" s="75"/>
      <c r="C747" s="75"/>
      <c r="D747" s="75"/>
      <c r="E747" s="84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6"/>
      <c r="AJ747" s="75"/>
      <c r="AK747" s="75"/>
      <c r="AL747" s="75"/>
      <c r="AM747" s="75"/>
      <c r="AN747" s="75"/>
      <c r="AO747" s="75"/>
      <c r="AP747" s="75"/>
      <c r="AQ747" s="75"/>
      <c r="AR747" s="75"/>
    </row>
    <row r="748" spans="1:44" x14ac:dyDescent="0.25">
      <c r="A748" s="75"/>
      <c r="B748" s="75"/>
      <c r="C748" s="75"/>
      <c r="D748" s="75"/>
      <c r="E748" s="84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6"/>
      <c r="AJ748" s="75"/>
      <c r="AK748" s="75"/>
      <c r="AL748" s="75"/>
      <c r="AM748" s="75"/>
      <c r="AN748" s="75"/>
      <c r="AO748" s="75"/>
      <c r="AP748" s="75"/>
      <c r="AQ748" s="75"/>
      <c r="AR748" s="75"/>
    </row>
    <row r="749" spans="1:44" x14ac:dyDescent="0.25">
      <c r="A749" s="75"/>
      <c r="B749" s="75"/>
      <c r="C749" s="75"/>
      <c r="D749" s="75"/>
      <c r="E749" s="84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6"/>
      <c r="AJ749" s="75"/>
      <c r="AK749" s="75"/>
      <c r="AL749" s="75"/>
      <c r="AM749" s="75"/>
      <c r="AN749" s="75"/>
      <c r="AO749" s="75"/>
      <c r="AP749" s="75"/>
      <c r="AQ749" s="75"/>
      <c r="AR749" s="75"/>
    </row>
    <row r="750" spans="1:44" x14ac:dyDescent="0.25">
      <c r="A750" s="75"/>
      <c r="B750" s="75"/>
      <c r="C750" s="75"/>
      <c r="D750" s="75"/>
      <c r="E750" s="84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6"/>
      <c r="AJ750" s="75"/>
      <c r="AK750" s="75"/>
      <c r="AL750" s="75"/>
      <c r="AM750" s="75"/>
      <c r="AN750" s="75"/>
      <c r="AO750" s="75"/>
      <c r="AP750" s="75"/>
      <c r="AQ750" s="75"/>
      <c r="AR750" s="75"/>
    </row>
    <row r="751" spans="1:44" x14ac:dyDescent="0.25">
      <c r="A751" s="75"/>
      <c r="B751" s="75"/>
      <c r="C751" s="75"/>
      <c r="D751" s="75"/>
      <c r="E751" s="84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6"/>
      <c r="AJ751" s="75"/>
      <c r="AK751" s="75"/>
      <c r="AL751" s="75"/>
      <c r="AM751" s="75"/>
      <c r="AN751" s="75"/>
      <c r="AO751" s="75"/>
      <c r="AP751" s="75"/>
      <c r="AQ751" s="75"/>
      <c r="AR751" s="75"/>
    </row>
    <row r="752" spans="1:44" x14ac:dyDescent="0.25">
      <c r="A752" s="75"/>
      <c r="B752" s="75"/>
      <c r="C752" s="75"/>
      <c r="D752" s="75"/>
      <c r="E752" s="84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6"/>
      <c r="AJ752" s="75"/>
      <c r="AK752" s="75"/>
      <c r="AL752" s="75"/>
      <c r="AM752" s="75"/>
      <c r="AN752" s="75"/>
      <c r="AO752" s="75"/>
      <c r="AP752" s="75"/>
      <c r="AQ752" s="75"/>
      <c r="AR752" s="75"/>
    </row>
    <row r="753" spans="1:44" x14ac:dyDescent="0.25">
      <c r="A753" s="75"/>
      <c r="B753" s="75"/>
      <c r="C753" s="75"/>
      <c r="D753" s="75"/>
      <c r="E753" s="84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6"/>
      <c r="AJ753" s="75"/>
      <c r="AK753" s="75"/>
      <c r="AL753" s="75"/>
      <c r="AM753" s="75"/>
      <c r="AN753" s="75"/>
      <c r="AO753" s="75"/>
      <c r="AP753" s="75"/>
      <c r="AQ753" s="75"/>
      <c r="AR753" s="75"/>
    </row>
    <row r="754" spans="1:44" x14ac:dyDescent="0.25">
      <c r="A754" s="75"/>
      <c r="B754" s="75"/>
      <c r="C754" s="75"/>
      <c r="D754" s="75"/>
      <c r="E754" s="84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6"/>
      <c r="AJ754" s="75"/>
      <c r="AK754" s="75"/>
      <c r="AL754" s="75"/>
      <c r="AM754" s="75"/>
      <c r="AN754" s="75"/>
      <c r="AO754" s="75"/>
      <c r="AP754" s="75"/>
      <c r="AQ754" s="75"/>
      <c r="AR754" s="75"/>
    </row>
    <row r="755" spans="1:44" x14ac:dyDescent="0.25">
      <c r="A755" s="75"/>
      <c r="B755" s="75"/>
      <c r="C755" s="75"/>
      <c r="D755" s="75"/>
      <c r="E755" s="84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6"/>
      <c r="AJ755" s="75"/>
      <c r="AK755" s="75"/>
      <c r="AL755" s="75"/>
      <c r="AM755" s="75"/>
      <c r="AN755" s="75"/>
      <c r="AO755" s="75"/>
      <c r="AP755" s="75"/>
      <c r="AQ755" s="75"/>
      <c r="AR755" s="75"/>
    </row>
    <row r="756" spans="1:44" x14ac:dyDescent="0.25">
      <c r="A756" s="75"/>
      <c r="B756" s="75"/>
      <c r="C756" s="75"/>
      <c r="D756" s="75"/>
      <c r="E756" s="84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6"/>
      <c r="AJ756" s="75"/>
      <c r="AK756" s="75"/>
      <c r="AL756" s="75"/>
      <c r="AM756" s="75"/>
      <c r="AN756" s="75"/>
      <c r="AO756" s="75"/>
      <c r="AP756" s="75"/>
      <c r="AQ756" s="75"/>
      <c r="AR756" s="75"/>
    </row>
    <row r="757" spans="1:44" x14ac:dyDescent="0.25">
      <c r="A757" s="75"/>
      <c r="B757" s="75"/>
      <c r="C757" s="75"/>
      <c r="D757" s="75"/>
      <c r="E757" s="84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6"/>
      <c r="AJ757" s="75"/>
      <c r="AK757" s="75"/>
      <c r="AL757" s="75"/>
      <c r="AM757" s="75"/>
      <c r="AN757" s="75"/>
      <c r="AO757" s="75"/>
      <c r="AP757" s="75"/>
      <c r="AQ757" s="75"/>
      <c r="AR757" s="75"/>
    </row>
    <row r="758" spans="1:44" x14ac:dyDescent="0.25">
      <c r="A758" s="75"/>
      <c r="B758" s="75"/>
      <c r="C758" s="75"/>
      <c r="D758" s="75"/>
      <c r="E758" s="84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6"/>
      <c r="AJ758" s="75"/>
      <c r="AK758" s="75"/>
      <c r="AL758" s="75"/>
      <c r="AM758" s="75"/>
      <c r="AN758" s="75"/>
      <c r="AO758" s="75"/>
      <c r="AP758" s="75"/>
      <c r="AQ758" s="75"/>
      <c r="AR758" s="75"/>
    </row>
    <row r="759" spans="1:44" x14ac:dyDescent="0.25">
      <c r="A759" s="75"/>
      <c r="B759" s="75"/>
      <c r="C759" s="75"/>
      <c r="D759" s="75"/>
      <c r="E759" s="84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6"/>
      <c r="AJ759" s="75"/>
      <c r="AK759" s="75"/>
      <c r="AL759" s="75"/>
      <c r="AM759" s="75"/>
      <c r="AN759" s="75"/>
      <c r="AO759" s="75"/>
      <c r="AP759" s="75"/>
      <c r="AQ759" s="75"/>
      <c r="AR759" s="75"/>
    </row>
    <row r="760" spans="1:44" x14ac:dyDescent="0.25">
      <c r="A760" s="75"/>
      <c r="B760" s="75"/>
      <c r="C760" s="75"/>
      <c r="D760" s="75"/>
      <c r="E760" s="84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6"/>
      <c r="AJ760" s="75"/>
      <c r="AK760" s="75"/>
      <c r="AL760" s="75"/>
      <c r="AM760" s="75"/>
      <c r="AN760" s="75"/>
      <c r="AO760" s="75"/>
      <c r="AP760" s="75"/>
      <c r="AQ760" s="75"/>
      <c r="AR760" s="75"/>
    </row>
    <row r="761" spans="1:44" x14ac:dyDescent="0.25">
      <c r="A761" s="75"/>
      <c r="B761" s="75"/>
      <c r="C761" s="75"/>
      <c r="D761" s="75"/>
      <c r="E761" s="84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6"/>
      <c r="AJ761" s="75"/>
      <c r="AK761" s="75"/>
      <c r="AL761" s="75"/>
      <c r="AM761" s="75"/>
      <c r="AN761" s="75"/>
      <c r="AO761" s="75"/>
      <c r="AP761" s="75"/>
      <c r="AQ761" s="75"/>
      <c r="AR761" s="75"/>
    </row>
    <row r="762" spans="1:44" x14ac:dyDescent="0.25">
      <c r="A762" s="75"/>
      <c r="B762" s="75"/>
      <c r="C762" s="75"/>
      <c r="D762" s="75"/>
      <c r="E762" s="84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6"/>
      <c r="AJ762" s="75"/>
      <c r="AK762" s="75"/>
      <c r="AL762" s="75"/>
      <c r="AM762" s="75"/>
      <c r="AN762" s="75"/>
      <c r="AO762" s="75"/>
      <c r="AP762" s="75"/>
      <c r="AQ762" s="75"/>
      <c r="AR762" s="75"/>
    </row>
    <row r="763" spans="1:44" x14ac:dyDescent="0.25">
      <c r="A763" s="75"/>
      <c r="B763" s="75"/>
      <c r="C763" s="75"/>
      <c r="D763" s="75"/>
      <c r="E763" s="84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6"/>
      <c r="AJ763" s="75"/>
      <c r="AK763" s="75"/>
      <c r="AL763" s="75"/>
      <c r="AM763" s="75"/>
      <c r="AN763" s="75"/>
      <c r="AO763" s="75"/>
      <c r="AP763" s="75"/>
      <c r="AQ763" s="75"/>
      <c r="AR763" s="75"/>
    </row>
    <row r="764" spans="1:44" x14ac:dyDescent="0.25">
      <c r="A764" s="75"/>
      <c r="B764" s="75"/>
      <c r="C764" s="75"/>
      <c r="D764" s="75"/>
      <c r="E764" s="84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6"/>
      <c r="AJ764" s="75"/>
      <c r="AK764" s="75"/>
      <c r="AL764" s="75"/>
      <c r="AM764" s="75"/>
      <c r="AN764" s="75"/>
      <c r="AO764" s="75"/>
      <c r="AP764" s="75"/>
      <c r="AQ764" s="75"/>
      <c r="AR764" s="75"/>
    </row>
    <row r="765" spans="1:44" x14ac:dyDescent="0.25">
      <c r="A765" s="75"/>
      <c r="B765" s="75"/>
      <c r="C765" s="75"/>
      <c r="D765" s="75"/>
      <c r="E765" s="84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6"/>
      <c r="AJ765" s="75"/>
      <c r="AK765" s="75"/>
      <c r="AL765" s="75"/>
      <c r="AM765" s="75"/>
      <c r="AN765" s="75"/>
      <c r="AO765" s="75"/>
      <c r="AP765" s="75"/>
      <c r="AQ765" s="75"/>
      <c r="AR765" s="75"/>
    </row>
    <row r="766" spans="1:44" x14ac:dyDescent="0.25">
      <c r="A766" s="75"/>
      <c r="B766" s="75"/>
      <c r="C766" s="75"/>
      <c r="D766" s="75"/>
      <c r="E766" s="84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6"/>
      <c r="AJ766" s="75"/>
      <c r="AK766" s="75"/>
      <c r="AL766" s="75"/>
      <c r="AM766" s="75"/>
      <c r="AN766" s="75"/>
      <c r="AO766" s="75"/>
      <c r="AP766" s="75"/>
      <c r="AQ766" s="75"/>
      <c r="AR766" s="75"/>
    </row>
    <row r="767" spans="1:44" x14ac:dyDescent="0.25">
      <c r="A767" s="75"/>
      <c r="B767" s="75"/>
      <c r="C767" s="75"/>
      <c r="D767" s="75"/>
      <c r="E767" s="84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6"/>
      <c r="AJ767" s="75"/>
      <c r="AK767" s="75"/>
      <c r="AL767" s="75"/>
      <c r="AM767" s="75"/>
      <c r="AN767" s="75"/>
      <c r="AO767" s="75"/>
      <c r="AP767" s="75"/>
      <c r="AQ767" s="75"/>
      <c r="AR767" s="75"/>
    </row>
    <row r="768" spans="1:44" x14ac:dyDescent="0.25">
      <c r="A768" s="75"/>
      <c r="B768" s="75"/>
      <c r="C768" s="75"/>
      <c r="D768" s="75"/>
      <c r="E768" s="84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6"/>
      <c r="AJ768" s="75"/>
      <c r="AK768" s="75"/>
      <c r="AL768" s="75"/>
      <c r="AM768" s="75"/>
      <c r="AN768" s="75"/>
      <c r="AO768" s="75"/>
      <c r="AP768" s="75"/>
      <c r="AQ768" s="75"/>
      <c r="AR768" s="75"/>
    </row>
    <row r="769" spans="1:44" x14ac:dyDescent="0.25">
      <c r="A769" s="75"/>
      <c r="B769" s="75"/>
      <c r="C769" s="75"/>
      <c r="D769" s="75"/>
      <c r="E769" s="84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6"/>
      <c r="AJ769" s="75"/>
      <c r="AK769" s="75"/>
      <c r="AL769" s="75"/>
      <c r="AM769" s="75"/>
      <c r="AN769" s="75"/>
      <c r="AO769" s="75"/>
      <c r="AP769" s="75"/>
      <c r="AQ769" s="75"/>
      <c r="AR769" s="75"/>
    </row>
    <row r="770" spans="1:44" x14ac:dyDescent="0.25">
      <c r="A770" s="75"/>
      <c r="B770" s="75"/>
      <c r="C770" s="75"/>
      <c r="D770" s="75"/>
      <c r="E770" s="84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6"/>
      <c r="AJ770" s="75"/>
      <c r="AK770" s="75"/>
      <c r="AL770" s="75"/>
      <c r="AM770" s="75"/>
      <c r="AN770" s="75"/>
      <c r="AO770" s="75"/>
      <c r="AP770" s="75"/>
      <c r="AQ770" s="75"/>
      <c r="AR770" s="75"/>
    </row>
    <row r="771" spans="1:44" x14ac:dyDescent="0.25">
      <c r="A771" s="75"/>
      <c r="B771" s="75"/>
      <c r="C771" s="75"/>
      <c r="D771" s="75"/>
      <c r="E771" s="84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6"/>
      <c r="AJ771" s="75"/>
      <c r="AK771" s="75"/>
      <c r="AL771" s="75"/>
      <c r="AM771" s="75"/>
      <c r="AN771" s="75"/>
      <c r="AO771" s="75"/>
      <c r="AP771" s="75"/>
      <c r="AQ771" s="75"/>
      <c r="AR771" s="75"/>
    </row>
    <row r="772" spans="1:44" x14ac:dyDescent="0.25">
      <c r="A772" s="75"/>
      <c r="B772" s="75"/>
      <c r="C772" s="75"/>
      <c r="D772" s="75"/>
      <c r="E772" s="84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6"/>
      <c r="AJ772" s="75"/>
      <c r="AK772" s="75"/>
      <c r="AL772" s="75"/>
      <c r="AM772" s="75"/>
      <c r="AN772" s="75"/>
      <c r="AO772" s="75"/>
      <c r="AP772" s="75"/>
      <c r="AQ772" s="75"/>
      <c r="AR772" s="75"/>
    </row>
    <row r="773" spans="1:44" x14ac:dyDescent="0.25">
      <c r="A773" s="75"/>
      <c r="B773" s="75"/>
      <c r="C773" s="75"/>
      <c r="D773" s="75"/>
      <c r="E773" s="84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6"/>
      <c r="AJ773" s="75"/>
      <c r="AK773" s="75"/>
      <c r="AL773" s="75"/>
      <c r="AM773" s="75"/>
      <c r="AN773" s="75"/>
      <c r="AO773" s="75"/>
      <c r="AP773" s="75"/>
      <c r="AQ773" s="75"/>
      <c r="AR773" s="75"/>
    </row>
    <row r="774" spans="1:44" x14ac:dyDescent="0.25">
      <c r="A774" s="75"/>
      <c r="B774" s="75"/>
      <c r="C774" s="75"/>
      <c r="D774" s="75"/>
      <c r="E774" s="84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6"/>
      <c r="AJ774" s="75"/>
      <c r="AK774" s="75"/>
      <c r="AL774" s="75"/>
      <c r="AM774" s="75"/>
      <c r="AN774" s="75"/>
      <c r="AO774" s="75"/>
      <c r="AP774" s="75"/>
      <c r="AQ774" s="75"/>
      <c r="AR774" s="75"/>
    </row>
    <row r="775" spans="1:44" x14ac:dyDescent="0.25">
      <c r="A775" s="75"/>
      <c r="B775" s="75"/>
      <c r="C775" s="75"/>
      <c r="D775" s="75"/>
      <c r="E775" s="84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6"/>
      <c r="AJ775" s="75"/>
      <c r="AK775" s="75"/>
      <c r="AL775" s="75"/>
      <c r="AM775" s="75"/>
      <c r="AN775" s="75"/>
      <c r="AO775" s="75"/>
      <c r="AP775" s="75"/>
      <c r="AQ775" s="75"/>
      <c r="AR775" s="75"/>
    </row>
    <row r="776" spans="1:44" x14ac:dyDescent="0.25">
      <c r="A776" s="75"/>
      <c r="B776" s="75"/>
      <c r="C776" s="75"/>
      <c r="D776" s="75"/>
      <c r="E776" s="84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6"/>
      <c r="AJ776" s="75"/>
      <c r="AK776" s="75"/>
      <c r="AL776" s="75"/>
      <c r="AM776" s="75"/>
      <c r="AN776" s="75"/>
      <c r="AO776" s="75"/>
      <c r="AP776" s="75"/>
      <c r="AQ776" s="75"/>
      <c r="AR776" s="75"/>
    </row>
    <row r="777" spans="1:44" x14ac:dyDescent="0.25">
      <c r="A777" s="75"/>
      <c r="B777" s="75"/>
      <c r="C777" s="75"/>
      <c r="D777" s="75"/>
      <c r="E777" s="84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6"/>
      <c r="AJ777" s="75"/>
      <c r="AK777" s="75"/>
      <c r="AL777" s="75"/>
      <c r="AM777" s="75"/>
      <c r="AN777" s="75"/>
      <c r="AO777" s="75"/>
      <c r="AP777" s="75"/>
      <c r="AQ777" s="75"/>
      <c r="AR777" s="75"/>
    </row>
    <row r="778" spans="1:44" x14ac:dyDescent="0.25">
      <c r="A778" s="75"/>
      <c r="B778" s="75"/>
      <c r="C778" s="75"/>
      <c r="D778" s="75"/>
      <c r="E778" s="84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6"/>
      <c r="AJ778" s="75"/>
      <c r="AK778" s="75"/>
      <c r="AL778" s="75"/>
      <c r="AM778" s="75"/>
      <c r="AN778" s="75"/>
      <c r="AO778" s="75"/>
      <c r="AP778" s="75"/>
      <c r="AQ778" s="75"/>
      <c r="AR778" s="75"/>
    </row>
    <row r="779" spans="1:44" x14ac:dyDescent="0.25">
      <c r="A779" s="75"/>
      <c r="B779" s="75"/>
      <c r="C779" s="75"/>
      <c r="D779" s="75"/>
      <c r="E779" s="84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6"/>
      <c r="AJ779" s="75"/>
      <c r="AK779" s="75"/>
      <c r="AL779" s="75"/>
      <c r="AM779" s="75"/>
      <c r="AN779" s="75"/>
      <c r="AO779" s="75"/>
      <c r="AP779" s="75"/>
      <c r="AQ779" s="75"/>
      <c r="AR779" s="75"/>
    </row>
    <row r="780" spans="1:44" x14ac:dyDescent="0.25">
      <c r="A780" s="75"/>
      <c r="B780" s="75"/>
      <c r="C780" s="75"/>
      <c r="D780" s="75"/>
      <c r="E780" s="84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6"/>
      <c r="AJ780" s="75"/>
      <c r="AK780" s="75"/>
      <c r="AL780" s="75"/>
      <c r="AM780" s="75"/>
      <c r="AN780" s="75"/>
      <c r="AO780" s="75"/>
      <c r="AP780" s="75"/>
      <c r="AQ780" s="75"/>
      <c r="AR780" s="75"/>
    </row>
    <row r="781" spans="1:44" x14ac:dyDescent="0.25">
      <c r="A781" s="75"/>
      <c r="B781" s="75"/>
      <c r="C781" s="75"/>
      <c r="D781" s="75"/>
      <c r="E781" s="84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6"/>
      <c r="AJ781" s="75"/>
      <c r="AK781" s="75"/>
      <c r="AL781" s="75"/>
      <c r="AM781" s="75"/>
      <c r="AN781" s="75"/>
      <c r="AO781" s="75"/>
      <c r="AP781" s="75"/>
      <c r="AQ781" s="75"/>
      <c r="AR781" s="75"/>
    </row>
    <row r="782" spans="1:44" x14ac:dyDescent="0.25">
      <c r="A782" s="75"/>
      <c r="B782" s="75"/>
      <c r="C782" s="75"/>
      <c r="D782" s="75"/>
      <c r="E782" s="84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6"/>
      <c r="AJ782" s="75"/>
      <c r="AK782" s="75"/>
      <c r="AL782" s="75"/>
      <c r="AM782" s="75"/>
      <c r="AN782" s="75"/>
      <c r="AO782" s="75"/>
      <c r="AP782" s="75"/>
      <c r="AQ782" s="75"/>
      <c r="AR782" s="75"/>
    </row>
    <row r="783" spans="1:44" x14ac:dyDescent="0.25">
      <c r="A783" s="75"/>
      <c r="B783" s="75"/>
      <c r="C783" s="75"/>
      <c r="D783" s="75"/>
      <c r="E783" s="84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6"/>
      <c r="AJ783" s="75"/>
      <c r="AK783" s="75"/>
      <c r="AL783" s="75"/>
      <c r="AM783" s="75"/>
      <c r="AN783" s="75"/>
      <c r="AO783" s="75"/>
      <c r="AP783" s="75"/>
      <c r="AQ783" s="75"/>
      <c r="AR783" s="75"/>
    </row>
    <row r="784" spans="1:44" x14ac:dyDescent="0.25">
      <c r="A784" s="75"/>
      <c r="B784" s="75"/>
      <c r="C784" s="75"/>
      <c r="D784" s="75"/>
      <c r="E784" s="84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6"/>
      <c r="AJ784" s="75"/>
      <c r="AK784" s="75"/>
      <c r="AL784" s="75"/>
      <c r="AM784" s="75"/>
      <c r="AN784" s="75"/>
      <c r="AO784" s="75"/>
      <c r="AP784" s="75"/>
      <c r="AQ784" s="75"/>
      <c r="AR784" s="75"/>
    </row>
    <row r="785" spans="1:44" x14ac:dyDescent="0.25">
      <c r="A785" s="75"/>
      <c r="B785" s="75"/>
      <c r="C785" s="75"/>
      <c r="D785" s="75"/>
      <c r="E785" s="84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6"/>
      <c r="AJ785" s="75"/>
      <c r="AK785" s="75"/>
      <c r="AL785" s="75"/>
      <c r="AM785" s="75"/>
      <c r="AN785" s="75"/>
      <c r="AO785" s="75"/>
      <c r="AP785" s="75"/>
      <c r="AQ785" s="75"/>
      <c r="AR785" s="75"/>
    </row>
    <row r="786" spans="1:44" x14ac:dyDescent="0.25">
      <c r="A786" s="75"/>
      <c r="B786" s="75"/>
      <c r="C786" s="75"/>
      <c r="D786" s="75"/>
      <c r="E786" s="84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6"/>
      <c r="AJ786" s="75"/>
      <c r="AK786" s="75"/>
      <c r="AL786" s="75"/>
      <c r="AM786" s="75"/>
      <c r="AN786" s="75"/>
      <c r="AO786" s="75"/>
      <c r="AP786" s="75"/>
      <c r="AQ786" s="75"/>
      <c r="AR786" s="75"/>
    </row>
    <row r="787" spans="1:44" x14ac:dyDescent="0.25">
      <c r="A787" s="75"/>
      <c r="B787" s="75"/>
      <c r="C787" s="75"/>
      <c r="D787" s="75"/>
      <c r="E787" s="84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6"/>
      <c r="AJ787" s="75"/>
      <c r="AK787" s="75"/>
      <c r="AL787" s="75"/>
      <c r="AM787" s="75"/>
      <c r="AN787" s="75"/>
      <c r="AO787" s="75"/>
      <c r="AP787" s="75"/>
      <c r="AQ787" s="75"/>
      <c r="AR787" s="75"/>
    </row>
    <row r="788" spans="1:44" x14ac:dyDescent="0.25">
      <c r="A788" s="75"/>
      <c r="B788" s="75"/>
      <c r="C788" s="75"/>
      <c r="D788" s="75"/>
      <c r="E788" s="84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6"/>
      <c r="AJ788" s="75"/>
      <c r="AK788" s="75"/>
      <c r="AL788" s="75"/>
      <c r="AM788" s="75"/>
      <c r="AN788" s="75"/>
      <c r="AO788" s="75"/>
      <c r="AP788" s="75"/>
      <c r="AQ788" s="75"/>
      <c r="AR788" s="75"/>
    </row>
    <row r="789" spans="1:44" x14ac:dyDescent="0.25">
      <c r="A789" s="75"/>
      <c r="B789" s="75"/>
      <c r="C789" s="75"/>
      <c r="D789" s="75"/>
      <c r="E789" s="84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6"/>
      <c r="AJ789" s="75"/>
      <c r="AK789" s="75"/>
      <c r="AL789" s="75"/>
      <c r="AM789" s="75"/>
      <c r="AN789" s="75"/>
      <c r="AO789" s="75"/>
      <c r="AP789" s="75"/>
      <c r="AQ789" s="75"/>
      <c r="AR789" s="75"/>
    </row>
    <row r="790" spans="1:44" x14ac:dyDescent="0.25">
      <c r="A790" s="75"/>
      <c r="B790" s="75"/>
      <c r="C790" s="75"/>
      <c r="D790" s="75"/>
      <c r="E790" s="84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6"/>
      <c r="AJ790" s="75"/>
      <c r="AK790" s="75"/>
      <c r="AL790" s="75"/>
      <c r="AM790" s="75"/>
      <c r="AN790" s="75"/>
      <c r="AO790" s="75"/>
      <c r="AP790" s="75"/>
      <c r="AQ790" s="75"/>
      <c r="AR790" s="75"/>
    </row>
    <row r="791" spans="1:44" x14ac:dyDescent="0.25">
      <c r="A791" s="75"/>
      <c r="B791" s="75"/>
      <c r="C791" s="75"/>
      <c r="D791" s="75"/>
      <c r="E791" s="84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6"/>
      <c r="AJ791" s="75"/>
      <c r="AK791" s="75"/>
      <c r="AL791" s="75"/>
      <c r="AM791" s="75"/>
      <c r="AN791" s="75"/>
      <c r="AO791" s="75"/>
      <c r="AP791" s="75"/>
      <c r="AQ791" s="75"/>
      <c r="AR791" s="75"/>
    </row>
    <row r="792" spans="1:44" x14ac:dyDescent="0.25">
      <c r="A792" s="75"/>
      <c r="B792" s="75"/>
      <c r="C792" s="75"/>
      <c r="D792" s="75"/>
      <c r="E792" s="84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6"/>
      <c r="AJ792" s="75"/>
      <c r="AK792" s="75"/>
      <c r="AL792" s="75"/>
      <c r="AM792" s="75"/>
      <c r="AN792" s="75"/>
      <c r="AO792" s="75"/>
      <c r="AP792" s="75"/>
      <c r="AQ792" s="75"/>
      <c r="AR792" s="75"/>
    </row>
    <row r="793" spans="1:44" x14ac:dyDescent="0.25">
      <c r="A793" s="75"/>
      <c r="B793" s="75"/>
      <c r="C793" s="75"/>
      <c r="D793" s="75"/>
      <c r="E793" s="84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6"/>
      <c r="AJ793" s="75"/>
      <c r="AK793" s="75"/>
      <c r="AL793" s="75"/>
      <c r="AM793" s="75"/>
      <c r="AN793" s="75"/>
      <c r="AO793" s="75"/>
      <c r="AP793" s="75"/>
      <c r="AQ793" s="75"/>
      <c r="AR793" s="75"/>
    </row>
    <row r="794" spans="1:44" x14ac:dyDescent="0.25">
      <c r="A794" s="75"/>
      <c r="B794" s="75"/>
      <c r="C794" s="75"/>
      <c r="D794" s="75"/>
      <c r="E794" s="84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6"/>
      <c r="AJ794" s="75"/>
      <c r="AK794" s="75"/>
      <c r="AL794" s="75"/>
      <c r="AM794" s="75"/>
      <c r="AN794" s="75"/>
      <c r="AO794" s="75"/>
      <c r="AP794" s="75"/>
      <c r="AQ794" s="75"/>
      <c r="AR794" s="75"/>
    </row>
    <row r="795" spans="1:44" x14ac:dyDescent="0.25">
      <c r="A795" s="75"/>
      <c r="B795" s="75"/>
      <c r="C795" s="75"/>
      <c r="D795" s="75"/>
      <c r="E795" s="84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6"/>
      <c r="AJ795" s="75"/>
      <c r="AK795" s="75"/>
      <c r="AL795" s="75"/>
      <c r="AM795" s="75"/>
      <c r="AN795" s="75"/>
      <c r="AO795" s="75"/>
      <c r="AP795" s="75"/>
      <c r="AQ795" s="75"/>
      <c r="AR795" s="75"/>
    </row>
    <row r="796" spans="1:44" x14ac:dyDescent="0.25">
      <c r="A796" s="75"/>
      <c r="B796" s="75"/>
      <c r="C796" s="75"/>
      <c r="D796" s="75"/>
      <c r="E796" s="84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6"/>
      <c r="AJ796" s="75"/>
      <c r="AK796" s="75"/>
      <c r="AL796" s="75"/>
      <c r="AM796" s="75"/>
      <c r="AN796" s="75"/>
      <c r="AO796" s="75"/>
      <c r="AP796" s="75"/>
      <c r="AQ796" s="75"/>
      <c r="AR796" s="75"/>
    </row>
    <row r="797" spans="1:44" x14ac:dyDescent="0.25">
      <c r="A797" s="75"/>
      <c r="B797" s="75"/>
      <c r="C797" s="75"/>
      <c r="D797" s="75"/>
      <c r="E797" s="84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6"/>
      <c r="AJ797" s="75"/>
      <c r="AK797" s="75"/>
      <c r="AL797" s="75"/>
      <c r="AM797" s="75"/>
      <c r="AN797" s="75"/>
      <c r="AO797" s="75"/>
      <c r="AP797" s="75"/>
      <c r="AQ797" s="75"/>
      <c r="AR797" s="75"/>
    </row>
    <row r="798" spans="1:44" x14ac:dyDescent="0.25">
      <c r="A798" s="75"/>
      <c r="B798" s="75"/>
      <c r="C798" s="75"/>
      <c r="D798" s="75"/>
      <c r="E798" s="84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6"/>
      <c r="AJ798" s="75"/>
      <c r="AK798" s="75"/>
      <c r="AL798" s="75"/>
      <c r="AM798" s="75"/>
      <c r="AN798" s="75"/>
      <c r="AO798" s="75"/>
      <c r="AP798" s="75"/>
      <c r="AQ798" s="75"/>
      <c r="AR798" s="75"/>
    </row>
    <row r="799" spans="1:44" x14ac:dyDescent="0.25">
      <c r="A799" s="75"/>
      <c r="B799" s="75"/>
      <c r="C799" s="75"/>
      <c r="D799" s="75"/>
      <c r="E799" s="84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6"/>
      <c r="AJ799" s="75"/>
      <c r="AK799" s="75"/>
      <c r="AL799" s="75"/>
      <c r="AM799" s="75"/>
      <c r="AN799" s="75"/>
      <c r="AO799" s="75"/>
      <c r="AP799" s="75"/>
      <c r="AQ799" s="75"/>
      <c r="AR799" s="75"/>
    </row>
    <row r="800" spans="1:44" x14ac:dyDescent="0.25">
      <c r="A800" s="75"/>
      <c r="B800" s="75"/>
      <c r="C800" s="75"/>
      <c r="D800" s="75"/>
      <c r="E800" s="84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6"/>
      <c r="AJ800" s="75"/>
      <c r="AK800" s="75"/>
      <c r="AL800" s="75"/>
      <c r="AM800" s="75"/>
      <c r="AN800" s="75"/>
      <c r="AO800" s="75"/>
      <c r="AP800" s="75"/>
      <c r="AQ800" s="75"/>
      <c r="AR800" s="75"/>
    </row>
    <row r="801" spans="1:44" x14ac:dyDescent="0.25">
      <c r="A801" s="75"/>
      <c r="B801" s="75"/>
      <c r="C801" s="75"/>
      <c r="D801" s="75"/>
      <c r="E801" s="84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6"/>
      <c r="AJ801" s="75"/>
      <c r="AK801" s="75"/>
      <c r="AL801" s="75"/>
      <c r="AM801" s="75"/>
      <c r="AN801" s="75"/>
      <c r="AO801" s="75"/>
      <c r="AP801" s="75"/>
      <c r="AQ801" s="75"/>
      <c r="AR801" s="75"/>
    </row>
    <row r="802" spans="1:44" x14ac:dyDescent="0.25">
      <c r="A802" s="75"/>
      <c r="B802" s="75"/>
      <c r="C802" s="75"/>
      <c r="D802" s="75"/>
      <c r="E802" s="84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6"/>
      <c r="AJ802" s="75"/>
      <c r="AK802" s="75"/>
      <c r="AL802" s="75"/>
      <c r="AM802" s="75"/>
      <c r="AN802" s="75"/>
      <c r="AO802" s="75"/>
      <c r="AP802" s="75"/>
      <c r="AQ802" s="75"/>
      <c r="AR802" s="75"/>
    </row>
    <row r="803" spans="1:44" x14ac:dyDescent="0.25">
      <c r="A803" s="75"/>
      <c r="B803" s="75"/>
      <c r="C803" s="75"/>
      <c r="D803" s="75"/>
      <c r="E803" s="84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6"/>
      <c r="AJ803" s="75"/>
      <c r="AK803" s="75"/>
      <c r="AL803" s="75"/>
      <c r="AM803" s="75"/>
      <c r="AN803" s="75"/>
      <c r="AO803" s="75"/>
      <c r="AP803" s="75"/>
      <c r="AQ803" s="75"/>
      <c r="AR803" s="75"/>
    </row>
    <row r="804" spans="1:44" x14ac:dyDescent="0.25">
      <c r="A804" s="75"/>
      <c r="B804" s="75"/>
      <c r="C804" s="75"/>
      <c r="D804" s="75"/>
      <c r="E804" s="84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6"/>
      <c r="AJ804" s="75"/>
      <c r="AK804" s="75"/>
      <c r="AL804" s="75"/>
      <c r="AM804" s="75"/>
      <c r="AN804" s="75"/>
      <c r="AO804" s="75"/>
      <c r="AP804" s="75"/>
      <c r="AQ804" s="75"/>
      <c r="AR804" s="75"/>
    </row>
    <row r="805" spans="1:44" x14ac:dyDescent="0.25">
      <c r="A805" s="75"/>
      <c r="B805" s="75"/>
      <c r="C805" s="75"/>
      <c r="D805" s="75"/>
      <c r="E805" s="84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6"/>
      <c r="AJ805" s="75"/>
      <c r="AK805" s="75"/>
      <c r="AL805" s="75"/>
      <c r="AM805" s="75"/>
      <c r="AN805" s="75"/>
      <c r="AO805" s="75"/>
      <c r="AP805" s="75"/>
      <c r="AQ805" s="75"/>
      <c r="AR805" s="75"/>
    </row>
    <row r="806" spans="1:44" x14ac:dyDescent="0.25">
      <c r="A806" s="75"/>
      <c r="B806" s="75"/>
      <c r="C806" s="75"/>
      <c r="D806" s="75"/>
      <c r="E806" s="84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6"/>
      <c r="AJ806" s="75"/>
      <c r="AK806" s="75"/>
      <c r="AL806" s="75"/>
      <c r="AM806" s="75"/>
      <c r="AN806" s="75"/>
      <c r="AO806" s="75"/>
      <c r="AP806" s="75"/>
      <c r="AQ806" s="75"/>
      <c r="AR806" s="75"/>
    </row>
    <row r="807" spans="1:44" x14ac:dyDescent="0.25">
      <c r="A807" s="75"/>
      <c r="B807" s="75"/>
      <c r="C807" s="75"/>
      <c r="D807" s="75"/>
      <c r="E807" s="84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6"/>
      <c r="AJ807" s="75"/>
      <c r="AK807" s="75"/>
      <c r="AL807" s="75"/>
      <c r="AM807" s="75"/>
      <c r="AN807" s="75"/>
      <c r="AO807" s="75"/>
      <c r="AP807" s="75"/>
      <c r="AQ807" s="75"/>
      <c r="AR807" s="75"/>
    </row>
    <row r="808" spans="1:44" x14ac:dyDescent="0.25">
      <c r="A808" s="75"/>
      <c r="B808" s="75"/>
      <c r="C808" s="75"/>
      <c r="D808" s="75"/>
      <c r="E808" s="84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6"/>
      <c r="AJ808" s="75"/>
      <c r="AK808" s="75"/>
      <c r="AL808" s="75"/>
      <c r="AM808" s="75"/>
      <c r="AN808" s="75"/>
      <c r="AO808" s="75"/>
      <c r="AP808" s="75"/>
      <c r="AQ808" s="75"/>
      <c r="AR808" s="75"/>
    </row>
    <row r="809" spans="1:44" x14ac:dyDescent="0.25">
      <c r="A809" s="75"/>
      <c r="B809" s="75"/>
      <c r="C809" s="75"/>
      <c r="D809" s="75"/>
      <c r="E809" s="84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6"/>
      <c r="AJ809" s="75"/>
      <c r="AK809" s="75"/>
      <c r="AL809" s="75"/>
      <c r="AM809" s="75"/>
      <c r="AN809" s="75"/>
      <c r="AO809" s="75"/>
      <c r="AP809" s="75"/>
      <c r="AQ809" s="75"/>
      <c r="AR809" s="75"/>
    </row>
    <row r="810" spans="1:44" x14ac:dyDescent="0.25">
      <c r="A810" s="75"/>
      <c r="B810" s="75"/>
      <c r="C810" s="75"/>
      <c r="D810" s="75"/>
      <c r="E810" s="84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6"/>
      <c r="AJ810" s="75"/>
      <c r="AK810" s="75"/>
      <c r="AL810" s="75"/>
      <c r="AM810" s="75"/>
      <c r="AN810" s="75"/>
      <c r="AO810" s="75"/>
      <c r="AP810" s="75"/>
      <c r="AQ810" s="75"/>
      <c r="AR810" s="75"/>
    </row>
    <row r="811" spans="1:44" x14ac:dyDescent="0.25">
      <c r="A811" s="75"/>
      <c r="B811" s="75"/>
      <c r="C811" s="75"/>
      <c r="D811" s="75"/>
      <c r="E811" s="84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6"/>
      <c r="AJ811" s="75"/>
      <c r="AK811" s="75"/>
      <c r="AL811" s="75"/>
      <c r="AM811" s="75"/>
      <c r="AN811" s="75"/>
      <c r="AO811" s="75"/>
      <c r="AP811" s="75"/>
      <c r="AQ811" s="75"/>
      <c r="AR811" s="75"/>
    </row>
    <row r="812" spans="1:44" x14ac:dyDescent="0.25">
      <c r="A812" s="75"/>
      <c r="B812" s="75"/>
      <c r="C812" s="75"/>
      <c r="D812" s="75"/>
      <c r="E812" s="84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6"/>
      <c r="AJ812" s="75"/>
      <c r="AK812" s="75"/>
      <c r="AL812" s="75"/>
      <c r="AM812" s="75"/>
      <c r="AN812" s="75"/>
      <c r="AO812" s="75"/>
      <c r="AP812" s="75"/>
      <c r="AQ812" s="75"/>
      <c r="AR812" s="75"/>
    </row>
    <row r="813" spans="1:44" x14ac:dyDescent="0.25">
      <c r="A813" s="75"/>
      <c r="B813" s="75"/>
      <c r="C813" s="75"/>
      <c r="D813" s="75"/>
      <c r="E813" s="84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6"/>
      <c r="AJ813" s="75"/>
      <c r="AK813" s="75"/>
      <c r="AL813" s="75"/>
      <c r="AM813" s="75"/>
      <c r="AN813" s="75"/>
      <c r="AO813" s="75"/>
      <c r="AP813" s="75"/>
      <c r="AQ813" s="75"/>
      <c r="AR813" s="75"/>
    </row>
    <row r="814" spans="1:44" x14ac:dyDescent="0.25">
      <c r="A814" s="75"/>
      <c r="B814" s="75"/>
      <c r="C814" s="75"/>
      <c r="D814" s="75"/>
      <c r="E814" s="84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6"/>
      <c r="AJ814" s="75"/>
      <c r="AK814" s="75"/>
      <c r="AL814" s="75"/>
      <c r="AM814" s="75"/>
      <c r="AN814" s="75"/>
      <c r="AO814" s="75"/>
      <c r="AP814" s="75"/>
      <c r="AQ814" s="75"/>
      <c r="AR814" s="75"/>
    </row>
    <row r="815" spans="1:44" x14ac:dyDescent="0.25">
      <c r="A815" s="75"/>
      <c r="B815" s="75"/>
      <c r="C815" s="75"/>
      <c r="D815" s="75"/>
      <c r="E815" s="84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6"/>
      <c r="AJ815" s="75"/>
      <c r="AK815" s="75"/>
      <c r="AL815" s="75"/>
      <c r="AM815" s="75"/>
      <c r="AN815" s="75"/>
      <c r="AO815" s="75"/>
      <c r="AP815" s="75"/>
      <c r="AQ815" s="75"/>
      <c r="AR815" s="75"/>
    </row>
    <row r="816" spans="1:44" x14ac:dyDescent="0.25">
      <c r="A816" s="75"/>
      <c r="B816" s="75"/>
      <c r="C816" s="75"/>
      <c r="D816" s="75"/>
      <c r="E816" s="84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6"/>
      <c r="AJ816" s="75"/>
      <c r="AK816" s="75"/>
      <c r="AL816" s="75"/>
      <c r="AM816" s="75"/>
      <c r="AN816" s="75"/>
      <c r="AO816" s="75"/>
      <c r="AP816" s="75"/>
      <c r="AQ816" s="75"/>
      <c r="AR816" s="75"/>
    </row>
    <row r="817" spans="1:44" x14ac:dyDescent="0.25">
      <c r="A817" s="75"/>
      <c r="B817" s="75"/>
      <c r="C817" s="75"/>
      <c r="D817" s="75"/>
      <c r="E817" s="84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6"/>
      <c r="AJ817" s="75"/>
      <c r="AK817" s="75"/>
      <c r="AL817" s="75"/>
      <c r="AM817" s="75"/>
      <c r="AN817" s="75"/>
      <c r="AO817" s="75"/>
      <c r="AP817" s="75"/>
      <c r="AQ817" s="75"/>
      <c r="AR817" s="75"/>
    </row>
    <row r="818" spans="1:44" x14ac:dyDescent="0.25">
      <c r="A818" s="75"/>
      <c r="B818" s="75"/>
      <c r="C818" s="75"/>
      <c r="D818" s="75"/>
      <c r="E818" s="84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6"/>
      <c r="AJ818" s="75"/>
      <c r="AK818" s="75"/>
      <c r="AL818" s="75"/>
      <c r="AM818" s="75"/>
      <c r="AN818" s="75"/>
      <c r="AO818" s="75"/>
      <c r="AP818" s="75"/>
      <c r="AQ818" s="75"/>
      <c r="AR818" s="75"/>
    </row>
    <row r="819" spans="1:44" x14ac:dyDescent="0.25">
      <c r="A819" s="75"/>
      <c r="B819" s="75"/>
      <c r="C819" s="75"/>
      <c r="D819" s="75"/>
      <c r="E819" s="84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6"/>
      <c r="AJ819" s="75"/>
      <c r="AK819" s="75"/>
      <c r="AL819" s="75"/>
      <c r="AM819" s="75"/>
      <c r="AN819" s="75"/>
      <c r="AO819" s="75"/>
      <c r="AP819" s="75"/>
      <c r="AQ819" s="75"/>
      <c r="AR819" s="75"/>
    </row>
    <row r="820" spans="1:44" x14ac:dyDescent="0.25">
      <c r="A820" s="75"/>
      <c r="B820" s="75"/>
      <c r="C820" s="75"/>
      <c r="D820" s="75"/>
      <c r="E820" s="84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6"/>
      <c r="AJ820" s="75"/>
      <c r="AK820" s="75"/>
      <c r="AL820" s="75"/>
      <c r="AM820" s="75"/>
      <c r="AN820" s="75"/>
      <c r="AO820" s="75"/>
      <c r="AP820" s="75"/>
      <c r="AQ820" s="75"/>
      <c r="AR820" s="75"/>
    </row>
    <row r="821" spans="1:44" x14ac:dyDescent="0.25">
      <c r="A821" s="75"/>
      <c r="B821" s="75"/>
      <c r="C821" s="75"/>
      <c r="D821" s="75"/>
      <c r="E821" s="84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6"/>
      <c r="AJ821" s="75"/>
      <c r="AK821" s="75"/>
      <c r="AL821" s="75"/>
      <c r="AM821" s="75"/>
      <c r="AN821" s="75"/>
      <c r="AO821" s="75"/>
      <c r="AP821" s="75"/>
      <c r="AQ821" s="75"/>
      <c r="AR821" s="75"/>
    </row>
    <row r="822" spans="1:44" x14ac:dyDescent="0.25">
      <c r="A822" s="75"/>
      <c r="B822" s="75"/>
      <c r="C822" s="75"/>
      <c r="D822" s="75"/>
      <c r="E822" s="84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6"/>
      <c r="AJ822" s="75"/>
      <c r="AK822" s="75"/>
      <c r="AL822" s="75"/>
      <c r="AM822" s="75"/>
      <c r="AN822" s="75"/>
      <c r="AO822" s="75"/>
      <c r="AP822" s="75"/>
      <c r="AQ822" s="75"/>
      <c r="AR822" s="75"/>
    </row>
    <row r="823" spans="1:44" x14ac:dyDescent="0.25">
      <c r="A823" s="75"/>
      <c r="B823" s="75"/>
      <c r="C823" s="75"/>
      <c r="D823" s="75"/>
      <c r="E823" s="84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6"/>
      <c r="AJ823" s="75"/>
      <c r="AK823" s="75"/>
      <c r="AL823" s="75"/>
      <c r="AM823" s="75"/>
      <c r="AN823" s="75"/>
      <c r="AO823" s="75"/>
      <c r="AP823" s="75"/>
      <c r="AQ823" s="75"/>
      <c r="AR823" s="75"/>
    </row>
    <row r="824" spans="1:44" x14ac:dyDescent="0.25">
      <c r="A824" s="75"/>
      <c r="B824" s="75"/>
      <c r="C824" s="75"/>
      <c r="D824" s="75"/>
      <c r="E824" s="84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6"/>
      <c r="AJ824" s="75"/>
      <c r="AK824" s="75"/>
      <c r="AL824" s="75"/>
      <c r="AM824" s="75"/>
      <c r="AN824" s="75"/>
      <c r="AO824" s="75"/>
      <c r="AP824" s="75"/>
      <c r="AQ824" s="75"/>
      <c r="AR824" s="75"/>
    </row>
    <row r="825" spans="1:44" x14ac:dyDescent="0.25">
      <c r="A825" s="75"/>
      <c r="B825" s="75"/>
      <c r="C825" s="75"/>
      <c r="D825" s="75"/>
      <c r="E825" s="84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6"/>
      <c r="AJ825" s="75"/>
      <c r="AK825" s="75"/>
      <c r="AL825" s="75"/>
      <c r="AM825" s="75"/>
      <c r="AN825" s="75"/>
      <c r="AO825" s="75"/>
      <c r="AP825" s="75"/>
      <c r="AQ825" s="75"/>
      <c r="AR825" s="75"/>
    </row>
    <row r="826" spans="1:44" x14ac:dyDescent="0.25">
      <c r="A826" s="75"/>
      <c r="B826" s="75"/>
      <c r="C826" s="75"/>
      <c r="D826" s="75"/>
      <c r="E826" s="84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6"/>
      <c r="AJ826" s="75"/>
      <c r="AK826" s="75"/>
      <c r="AL826" s="75"/>
      <c r="AM826" s="75"/>
      <c r="AN826" s="75"/>
      <c r="AO826" s="75"/>
      <c r="AP826" s="75"/>
      <c r="AQ826" s="75"/>
      <c r="AR826" s="75"/>
    </row>
    <row r="827" spans="1:44" x14ac:dyDescent="0.25">
      <c r="A827" s="75"/>
      <c r="B827" s="75"/>
      <c r="C827" s="75"/>
      <c r="D827" s="75"/>
      <c r="E827" s="84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6"/>
      <c r="AJ827" s="75"/>
      <c r="AK827" s="75"/>
      <c r="AL827" s="75"/>
      <c r="AM827" s="75"/>
      <c r="AN827" s="75"/>
      <c r="AO827" s="75"/>
      <c r="AP827" s="75"/>
      <c r="AQ827" s="75"/>
      <c r="AR827" s="75"/>
    </row>
    <row r="828" spans="1:44" x14ac:dyDescent="0.25">
      <c r="A828" s="75"/>
      <c r="B828" s="75"/>
      <c r="C828" s="75"/>
      <c r="D828" s="75"/>
      <c r="E828" s="84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6"/>
      <c r="AJ828" s="75"/>
      <c r="AK828" s="75"/>
      <c r="AL828" s="75"/>
      <c r="AM828" s="75"/>
      <c r="AN828" s="75"/>
      <c r="AO828" s="75"/>
      <c r="AP828" s="75"/>
      <c r="AQ828" s="75"/>
      <c r="AR828" s="75"/>
    </row>
    <row r="829" spans="1:44" x14ac:dyDescent="0.25">
      <c r="A829" s="75"/>
      <c r="B829" s="75"/>
      <c r="C829" s="75"/>
      <c r="D829" s="75"/>
      <c r="E829" s="84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6"/>
      <c r="AJ829" s="75"/>
      <c r="AK829" s="75"/>
      <c r="AL829" s="75"/>
      <c r="AM829" s="75"/>
      <c r="AN829" s="75"/>
      <c r="AO829" s="75"/>
      <c r="AP829" s="75"/>
      <c r="AQ829" s="75"/>
      <c r="AR829" s="75"/>
    </row>
    <row r="830" spans="1:44" x14ac:dyDescent="0.25">
      <c r="A830" s="75"/>
      <c r="B830" s="75"/>
      <c r="C830" s="75"/>
      <c r="D830" s="75"/>
      <c r="E830" s="84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6"/>
      <c r="AJ830" s="75"/>
      <c r="AK830" s="75"/>
      <c r="AL830" s="75"/>
      <c r="AM830" s="75"/>
      <c r="AN830" s="75"/>
      <c r="AO830" s="75"/>
      <c r="AP830" s="75"/>
      <c r="AQ830" s="75"/>
      <c r="AR830" s="75"/>
    </row>
    <row r="831" spans="1:44" x14ac:dyDescent="0.25">
      <c r="A831" s="75"/>
      <c r="B831" s="75"/>
      <c r="C831" s="75"/>
      <c r="D831" s="75"/>
      <c r="E831" s="84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6"/>
      <c r="AJ831" s="75"/>
      <c r="AK831" s="75"/>
      <c r="AL831" s="75"/>
      <c r="AM831" s="75"/>
      <c r="AN831" s="75"/>
      <c r="AO831" s="75"/>
      <c r="AP831" s="75"/>
      <c r="AQ831" s="75"/>
      <c r="AR831" s="75"/>
    </row>
    <row r="832" spans="1:44" x14ac:dyDescent="0.25">
      <c r="A832" s="75"/>
      <c r="B832" s="75"/>
      <c r="C832" s="75"/>
      <c r="D832" s="75"/>
      <c r="E832" s="84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6"/>
      <c r="AJ832" s="75"/>
      <c r="AK832" s="75"/>
      <c r="AL832" s="75"/>
      <c r="AM832" s="75"/>
      <c r="AN832" s="75"/>
      <c r="AO832" s="75"/>
      <c r="AP832" s="75"/>
      <c r="AQ832" s="75"/>
      <c r="AR832" s="75"/>
    </row>
    <row r="833" spans="1:44" x14ac:dyDescent="0.25">
      <c r="A833" s="75"/>
      <c r="B833" s="75"/>
      <c r="C833" s="75"/>
      <c r="D833" s="75"/>
      <c r="E833" s="84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6"/>
      <c r="AJ833" s="75"/>
      <c r="AK833" s="75"/>
      <c r="AL833" s="75"/>
      <c r="AM833" s="75"/>
      <c r="AN833" s="75"/>
      <c r="AO833" s="75"/>
      <c r="AP833" s="75"/>
      <c r="AQ833" s="75"/>
      <c r="AR833" s="75"/>
    </row>
    <row r="834" spans="1:44" x14ac:dyDescent="0.25">
      <c r="A834" s="75"/>
      <c r="B834" s="75"/>
      <c r="C834" s="75"/>
      <c r="D834" s="75"/>
      <c r="E834" s="84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6"/>
      <c r="AJ834" s="75"/>
      <c r="AK834" s="75"/>
      <c r="AL834" s="75"/>
      <c r="AM834" s="75"/>
      <c r="AN834" s="75"/>
      <c r="AO834" s="75"/>
      <c r="AP834" s="75"/>
      <c r="AQ834" s="75"/>
      <c r="AR834" s="75"/>
    </row>
    <row r="835" spans="1:44" x14ac:dyDescent="0.25">
      <c r="A835" s="75"/>
      <c r="B835" s="75"/>
      <c r="C835" s="75"/>
      <c r="D835" s="75"/>
      <c r="E835" s="84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6"/>
      <c r="AJ835" s="75"/>
      <c r="AK835" s="75"/>
      <c r="AL835" s="75"/>
      <c r="AM835" s="75"/>
      <c r="AN835" s="75"/>
      <c r="AO835" s="75"/>
      <c r="AP835" s="75"/>
      <c r="AQ835" s="75"/>
      <c r="AR835" s="75"/>
    </row>
    <row r="836" spans="1:44" x14ac:dyDescent="0.25">
      <c r="A836" s="75"/>
      <c r="B836" s="75"/>
      <c r="C836" s="75"/>
      <c r="D836" s="75"/>
      <c r="E836" s="84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6"/>
      <c r="AJ836" s="75"/>
      <c r="AK836" s="75"/>
      <c r="AL836" s="75"/>
      <c r="AM836" s="75"/>
      <c r="AN836" s="75"/>
      <c r="AO836" s="75"/>
      <c r="AP836" s="75"/>
      <c r="AQ836" s="75"/>
      <c r="AR836" s="75"/>
    </row>
    <row r="837" spans="1:44" x14ac:dyDescent="0.25">
      <c r="A837" s="75"/>
      <c r="B837" s="75"/>
      <c r="C837" s="75"/>
      <c r="D837" s="75"/>
      <c r="E837" s="84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6"/>
      <c r="AJ837" s="75"/>
      <c r="AK837" s="75"/>
      <c r="AL837" s="75"/>
      <c r="AM837" s="75"/>
      <c r="AN837" s="75"/>
      <c r="AO837" s="75"/>
      <c r="AP837" s="75"/>
      <c r="AQ837" s="75"/>
      <c r="AR837" s="75"/>
    </row>
    <row r="838" spans="1:44" x14ac:dyDescent="0.25">
      <c r="A838" s="75"/>
      <c r="B838" s="75"/>
      <c r="C838" s="75"/>
      <c r="D838" s="75"/>
      <c r="E838" s="84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6"/>
      <c r="AJ838" s="75"/>
      <c r="AK838" s="75"/>
      <c r="AL838" s="75"/>
      <c r="AM838" s="75"/>
      <c r="AN838" s="75"/>
      <c r="AO838" s="75"/>
      <c r="AP838" s="75"/>
      <c r="AQ838" s="75"/>
      <c r="AR838" s="75"/>
    </row>
    <row r="839" spans="1:44" x14ac:dyDescent="0.25">
      <c r="A839" s="75"/>
      <c r="B839" s="75"/>
      <c r="C839" s="75"/>
      <c r="D839" s="75"/>
      <c r="E839" s="84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6"/>
      <c r="AJ839" s="75"/>
      <c r="AK839" s="75"/>
      <c r="AL839" s="75"/>
      <c r="AM839" s="75"/>
      <c r="AN839" s="75"/>
      <c r="AO839" s="75"/>
      <c r="AP839" s="75"/>
      <c r="AQ839" s="75"/>
      <c r="AR839" s="75"/>
    </row>
    <row r="840" spans="1:44" x14ac:dyDescent="0.25">
      <c r="A840" s="75"/>
      <c r="B840" s="75"/>
      <c r="C840" s="75"/>
      <c r="D840" s="75"/>
      <c r="E840" s="84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6"/>
      <c r="AJ840" s="75"/>
      <c r="AK840" s="75"/>
      <c r="AL840" s="75"/>
      <c r="AM840" s="75"/>
      <c r="AN840" s="75"/>
      <c r="AO840" s="75"/>
      <c r="AP840" s="75"/>
      <c r="AQ840" s="75"/>
      <c r="AR840" s="75"/>
    </row>
    <row r="841" spans="1:44" x14ac:dyDescent="0.25">
      <c r="A841" s="75"/>
      <c r="B841" s="75"/>
      <c r="C841" s="75"/>
      <c r="D841" s="75"/>
      <c r="E841" s="84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6"/>
      <c r="AJ841" s="75"/>
      <c r="AK841" s="75"/>
      <c r="AL841" s="75"/>
      <c r="AM841" s="75"/>
      <c r="AN841" s="75"/>
      <c r="AO841" s="75"/>
      <c r="AP841" s="75"/>
      <c r="AQ841" s="75"/>
      <c r="AR841" s="75"/>
    </row>
    <row r="842" spans="1:44" x14ac:dyDescent="0.25">
      <c r="A842" s="75"/>
      <c r="B842" s="75"/>
      <c r="C842" s="75"/>
      <c r="D842" s="75"/>
      <c r="E842" s="84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6"/>
      <c r="AJ842" s="75"/>
      <c r="AK842" s="75"/>
      <c r="AL842" s="75"/>
      <c r="AM842" s="75"/>
      <c r="AN842" s="75"/>
      <c r="AO842" s="75"/>
      <c r="AP842" s="75"/>
      <c r="AQ842" s="75"/>
      <c r="AR842" s="75"/>
    </row>
    <row r="843" spans="1:44" x14ac:dyDescent="0.25">
      <c r="A843" s="75"/>
      <c r="B843" s="75"/>
      <c r="C843" s="75"/>
      <c r="D843" s="75"/>
      <c r="E843" s="84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6"/>
      <c r="AJ843" s="75"/>
      <c r="AK843" s="75"/>
      <c r="AL843" s="75"/>
      <c r="AM843" s="75"/>
      <c r="AN843" s="75"/>
      <c r="AO843" s="75"/>
      <c r="AP843" s="75"/>
      <c r="AQ843" s="75"/>
      <c r="AR843" s="75"/>
    </row>
    <row r="844" spans="1:44" x14ac:dyDescent="0.25">
      <c r="A844" s="75"/>
      <c r="B844" s="75"/>
      <c r="C844" s="75"/>
      <c r="D844" s="75"/>
      <c r="E844" s="84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6"/>
      <c r="AJ844" s="75"/>
      <c r="AK844" s="75"/>
      <c r="AL844" s="75"/>
      <c r="AM844" s="75"/>
      <c r="AN844" s="75"/>
      <c r="AO844" s="75"/>
      <c r="AP844" s="75"/>
      <c r="AQ844" s="75"/>
      <c r="AR844" s="75"/>
    </row>
    <row r="845" spans="1:44" x14ac:dyDescent="0.25">
      <c r="A845" s="75"/>
      <c r="B845" s="75"/>
      <c r="C845" s="75"/>
      <c r="D845" s="75"/>
      <c r="E845" s="84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6"/>
      <c r="AJ845" s="75"/>
      <c r="AK845" s="75"/>
      <c r="AL845" s="75"/>
      <c r="AM845" s="75"/>
      <c r="AN845" s="75"/>
      <c r="AO845" s="75"/>
      <c r="AP845" s="75"/>
      <c r="AQ845" s="75"/>
      <c r="AR845" s="75"/>
    </row>
    <row r="846" spans="1:44" x14ac:dyDescent="0.25">
      <c r="A846" s="75"/>
      <c r="B846" s="75"/>
      <c r="C846" s="75"/>
      <c r="D846" s="75"/>
      <c r="E846" s="84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6"/>
      <c r="AJ846" s="75"/>
      <c r="AK846" s="75"/>
      <c r="AL846" s="75"/>
      <c r="AM846" s="75"/>
      <c r="AN846" s="75"/>
      <c r="AO846" s="75"/>
      <c r="AP846" s="75"/>
      <c r="AQ846" s="75"/>
      <c r="AR846" s="75"/>
    </row>
    <row r="847" spans="1:44" x14ac:dyDescent="0.25">
      <c r="A847" s="75"/>
      <c r="B847" s="75"/>
      <c r="C847" s="75"/>
      <c r="D847" s="75"/>
      <c r="E847" s="84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6"/>
      <c r="AJ847" s="75"/>
      <c r="AK847" s="75"/>
      <c r="AL847" s="75"/>
      <c r="AM847" s="75"/>
      <c r="AN847" s="75"/>
      <c r="AO847" s="75"/>
      <c r="AP847" s="75"/>
      <c r="AQ847" s="75"/>
      <c r="AR847" s="75"/>
    </row>
    <row r="848" spans="1:44" x14ac:dyDescent="0.25">
      <c r="A848" s="75"/>
      <c r="B848" s="75"/>
      <c r="C848" s="75"/>
      <c r="D848" s="75"/>
      <c r="E848" s="84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6"/>
      <c r="AJ848" s="75"/>
      <c r="AK848" s="75"/>
      <c r="AL848" s="75"/>
      <c r="AM848" s="75"/>
      <c r="AN848" s="75"/>
      <c r="AO848" s="75"/>
      <c r="AP848" s="75"/>
      <c r="AQ848" s="75"/>
      <c r="AR848" s="75"/>
    </row>
    <row r="849" spans="1:44" x14ac:dyDescent="0.25">
      <c r="A849" s="75"/>
      <c r="B849" s="75"/>
      <c r="C849" s="75"/>
      <c r="D849" s="75"/>
      <c r="E849" s="84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6"/>
      <c r="AJ849" s="75"/>
      <c r="AK849" s="75"/>
      <c r="AL849" s="75"/>
      <c r="AM849" s="75"/>
      <c r="AN849" s="75"/>
      <c r="AO849" s="75"/>
      <c r="AP849" s="75"/>
      <c r="AQ849" s="75"/>
      <c r="AR849" s="75"/>
    </row>
    <row r="850" spans="1:44" x14ac:dyDescent="0.25">
      <c r="A850" s="75"/>
      <c r="B850" s="75"/>
      <c r="C850" s="75"/>
      <c r="D850" s="75"/>
      <c r="E850" s="84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6"/>
      <c r="AJ850" s="75"/>
      <c r="AK850" s="75"/>
      <c r="AL850" s="75"/>
      <c r="AM850" s="75"/>
      <c r="AN850" s="75"/>
      <c r="AO850" s="75"/>
      <c r="AP850" s="75"/>
      <c r="AQ850" s="75"/>
      <c r="AR850" s="75"/>
    </row>
    <row r="851" spans="1:44" x14ac:dyDescent="0.25">
      <c r="A851" s="75"/>
      <c r="B851" s="75"/>
      <c r="C851" s="75"/>
      <c r="D851" s="75"/>
      <c r="E851" s="84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6"/>
      <c r="AJ851" s="75"/>
      <c r="AK851" s="75"/>
      <c r="AL851" s="75"/>
      <c r="AM851" s="75"/>
      <c r="AN851" s="75"/>
      <c r="AO851" s="75"/>
      <c r="AP851" s="75"/>
      <c r="AQ851" s="75"/>
      <c r="AR851" s="75"/>
    </row>
    <row r="852" spans="1:44" x14ac:dyDescent="0.25">
      <c r="A852" s="75"/>
      <c r="B852" s="75"/>
      <c r="C852" s="75"/>
      <c r="D852" s="75"/>
      <c r="E852" s="84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6"/>
      <c r="AJ852" s="75"/>
      <c r="AK852" s="75"/>
      <c r="AL852" s="75"/>
      <c r="AM852" s="75"/>
      <c r="AN852" s="75"/>
      <c r="AO852" s="75"/>
      <c r="AP852" s="75"/>
      <c r="AQ852" s="75"/>
      <c r="AR852" s="75"/>
    </row>
    <row r="853" spans="1:44" x14ac:dyDescent="0.25">
      <c r="A853" s="75"/>
      <c r="B853" s="75"/>
      <c r="C853" s="75"/>
      <c r="D853" s="75"/>
      <c r="E853" s="84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6"/>
      <c r="AJ853" s="75"/>
      <c r="AK853" s="75"/>
      <c r="AL853" s="75"/>
      <c r="AM853" s="75"/>
      <c r="AN853" s="75"/>
      <c r="AO853" s="75"/>
      <c r="AP853" s="75"/>
      <c r="AQ853" s="75"/>
      <c r="AR853" s="75"/>
    </row>
    <row r="854" spans="1:44" x14ac:dyDescent="0.25">
      <c r="A854" s="75"/>
      <c r="B854" s="75"/>
      <c r="C854" s="75"/>
      <c r="D854" s="75"/>
      <c r="E854" s="84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6"/>
      <c r="AJ854" s="75"/>
      <c r="AK854" s="75"/>
      <c r="AL854" s="75"/>
      <c r="AM854" s="75"/>
      <c r="AN854" s="75"/>
      <c r="AO854" s="75"/>
      <c r="AP854" s="75"/>
      <c r="AQ854" s="75"/>
      <c r="AR854" s="75"/>
    </row>
    <row r="855" spans="1:44" x14ac:dyDescent="0.25">
      <c r="A855" s="75"/>
      <c r="B855" s="75"/>
      <c r="C855" s="75"/>
      <c r="D855" s="75"/>
      <c r="E855" s="84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6"/>
      <c r="AJ855" s="75"/>
      <c r="AK855" s="75"/>
      <c r="AL855" s="75"/>
      <c r="AM855" s="75"/>
      <c r="AN855" s="75"/>
      <c r="AO855" s="75"/>
      <c r="AP855" s="75"/>
      <c r="AQ855" s="75"/>
      <c r="AR855" s="75"/>
    </row>
    <row r="856" spans="1:44" x14ac:dyDescent="0.25">
      <c r="A856" s="75"/>
      <c r="B856" s="75"/>
      <c r="C856" s="75"/>
      <c r="D856" s="75"/>
      <c r="E856" s="84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6"/>
      <c r="AJ856" s="75"/>
      <c r="AK856" s="75"/>
      <c r="AL856" s="75"/>
      <c r="AM856" s="75"/>
      <c r="AN856" s="75"/>
      <c r="AO856" s="75"/>
      <c r="AP856" s="75"/>
      <c r="AQ856" s="75"/>
      <c r="AR856" s="75"/>
    </row>
    <row r="857" spans="1:44" x14ac:dyDescent="0.25">
      <c r="A857" s="75"/>
      <c r="B857" s="75"/>
      <c r="C857" s="75"/>
      <c r="D857" s="75"/>
      <c r="E857" s="84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6"/>
      <c r="AJ857" s="75"/>
      <c r="AK857" s="75"/>
      <c r="AL857" s="75"/>
      <c r="AM857" s="75"/>
      <c r="AN857" s="75"/>
      <c r="AO857" s="75"/>
      <c r="AP857" s="75"/>
      <c r="AQ857" s="75"/>
      <c r="AR857" s="75"/>
    </row>
    <row r="858" spans="1:44" x14ac:dyDescent="0.25">
      <c r="A858" s="75"/>
      <c r="B858" s="75"/>
      <c r="C858" s="75"/>
      <c r="D858" s="75"/>
      <c r="E858" s="84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6"/>
      <c r="AJ858" s="75"/>
      <c r="AK858" s="75"/>
      <c r="AL858" s="75"/>
      <c r="AM858" s="75"/>
      <c r="AN858" s="75"/>
      <c r="AO858" s="75"/>
      <c r="AP858" s="75"/>
      <c r="AQ858" s="75"/>
      <c r="AR858" s="75"/>
    </row>
    <row r="859" spans="1:44" x14ac:dyDescent="0.25">
      <c r="A859" s="75"/>
      <c r="B859" s="75"/>
      <c r="C859" s="75"/>
      <c r="D859" s="75"/>
      <c r="E859" s="84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6"/>
      <c r="AJ859" s="75"/>
      <c r="AK859" s="75"/>
      <c r="AL859" s="75"/>
      <c r="AM859" s="75"/>
      <c r="AN859" s="75"/>
      <c r="AO859" s="75"/>
      <c r="AP859" s="75"/>
      <c r="AQ859" s="75"/>
      <c r="AR859" s="75"/>
    </row>
    <row r="860" spans="1:44" x14ac:dyDescent="0.25">
      <c r="A860" s="75"/>
      <c r="B860" s="75"/>
      <c r="C860" s="75"/>
      <c r="D860" s="75"/>
      <c r="E860" s="84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6"/>
      <c r="AJ860" s="75"/>
      <c r="AK860" s="75"/>
      <c r="AL860" s="75"/>
      <c r="AM860" s="75"/>
      <c r="AN860" s="75"/>
      <c r="AO860" s="75"/>
      <c r="AP860" s="75"/>
      <c r="AQ860" s="75"/>
      <c r="AR860" s="75"/>
    </row>
    <row r="861" spans="1:44" x14ac:dyDescent="0.25">
      <c r="A861" s="75"/>
      <c r="B861" s="75"/>
      <c r="C861" s="75"/>
      <c r="D861" s="75"/>
      <c r="E861" s="84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6"/>
      <c r="AJ861" s="75"/>
      <c r="AK861" s="75"/>
      <c r="AL861" s="75"/>
      <c r="AM861" s="75"/>
      <c r="AN861" s="75"/>
      <c r="AO861" s="75"/>
      <c r="AP861" s="75"/>
      <c r="AQ861" s="75"/>
      <c r="AR861" s="75"/>
    </row>
    <row r="862" spans="1:44" x14ac:dyDescent="0.25">
      <c r="A862" s="75"/>
      <c r="B862" s="75"/>
      <c r="C862" s="75"/>
      <c r="D862" s="75"/>
      <c r="E862" s="84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6"/>
      <c r="AJ862" s="75"/>
      <c r="AK862" s="75"/>
      <c r="AL862" s="75"/>
      <c r="AM862" s="75"/>
      <c r="AN862" s="75"/>
      <c r="AO862" s="75"/>
      <c r="AP862" s="75"/>
      <c r="AQ862" s="75"/>
      <c r="AR862" s="75"/>
    </row>
    <row r="863" spans="1:44" x14ac:dyDescent="0.25">
      <c r="A863" s="75"/>
      <c r="B863" s="75"/>
      <c r="C863" s="75"/>
      <c r="D863" s="75"/>
      <c r="E863" s="84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6"/>
      <c r="AJ863" s="75"/>
      <c r="AK863" s="75"/>
      <c r="AL863" s="75"/>
      <c r="AM863" s="75"/>
      <c r="AN863" s="75"/>
      <c r="AO863" s="75"/>
      <c r="AP863" s="75"/>
      <c r="AQ863" s="75"/>
      <c r="AR863" s="75"/>
    </row>
    <row r="864" spans="1:44" x14ac:dyDescent="0.25">
      <c r="A864" s="75"/>
      <c r="B864" s="75"/>
      <c r="C864" s="75"/>
      <c r="D864" s="75"/>
      <c r="E864" s="84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6"/>
      <c r="AJ864" s="75"/>
      <c r="AK864" s="75"/>
      <c r="AL864" s="75"/>
      <c r="AM864" s="75"/>
      <c r="AN864" s="75"/>
      <c r="AO864" s="75"/>
      <c r="AP864" s="75"/>
      <c r="AQ864" s="75"/>
      <c r="AR864" s="75"/>
    </row>
    <row r="865" spans="1:44" x14ac:dyDescent="0.25">
      <c r="A865" s="75"/>
      <c r="B865" s="75"/>
      <c r="C865" s="75"/>
      <c r="D865" s="75"/>
      <c r="E865" s="84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6"/>
      <c r="AJ865" s="75"/>
      <c r="AK865" s="75"/>
      <c r="AL865" s="75"/>
      <c r="AM865" s="75"/>
      <c r="AN865" s="75"/>
      <c r="AO865" s="75"/>
      <c r="AP865" s="75"/>
      <c r="AQ865" s="75"/>
      <c r="AR865" s="75"/>
    </row>
    <row r="866" spans="1:44" x14ac:dyDescent="0.25">
      <c r="A866" s="75"/>
      <c r="B866" s="75"/>
      <c r="C866" s="75"/>
      <c r="D866" s="75"/>
      <c r="E866" s="84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6"/>
      <c r="AJ866" s="75"/>
      <c r="AK866" s="75"/>
      <c r="AL866" s="75"/>
      <c r="AM866" s="75"/>
      <c r="AN866" s="75"/>
      <c r="AO866" s="75"/>
      <c r="AP866" s="75"/>
      <c r="AQ866" s="75"/>
      <c r="AR866" s="75"/>
    </row>
    <row r="867" spans="1:44" x14ac:dyDescent="0.25">
      <c r="A867" s="75"/>
      <c r="B867" s="75"/>
      <c r="C867" s="75"/>
      <c r="D867" s="75"/>
      <c r="E867" s="84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6"/>
      <c r="AJ867" s="75"/>
      <c r="AK867" s="75"/>
      <c r="AL867" s="75"/>
      <c r="AM867" s="75"/>
      <c r="AN867" s="75"/>
      <c r="AO867" s="75"/>
      <c r="AP867" s="75"/>
      <c r="AQ867" s="75"/>
      <c r="AR867" s="75"/>
    </row>
    <row r="868" spans="1:44" x14ac:dyDescent="0.25">
      <c r="A868" s="75"/>
      <c r="B868" s="75"/>
      <c r="C868" s="75"/>
      <c r="D868" s="75"/>
      <c r="E868" s="84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6"/>
      <c r="AJ868" s="75"/>
      <c r="AK868" s="75"/>
      <c r="AL868" s="75"/>
      <c r="AM868" s="75"/>
      <c r="AN868" s="75"/>
      <c r="AO868" s="75"/>
      <c r="AP868" s="75"/>
      <c r="AQ868" s="75"/>
      <c r="AR868" s="75"/>
    </row>
    <row r="869" spans="1:44" x14ac:dyDescent="0.25">
      <c r="A869" s="75"/>
      <c r="B869" s="75"/>
      <c r="C869" s="75"/>
      <c r="D869" s="75"/>
      <c r="E869" s="84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6"/>
      <c r="AJ869" s="75"/>
      <c r="AK869" s="75"/>
      <c r="AL869" s="75"/>
      <c r="AM869" s="75"/>
      <c r="AN869" s="75"/>
      <c r="AO869" s="75"/>
      <c r="AP869" s="75"/>
      <c r="AQ869" s="75"/>
      <c r="AR869" s="75"/>
    </row>
    <row r="870" spans="1:44" x14ac:dyDescent="0.25">
      <c r="A870" s="75"/>
      <c r="B870" s="75"/>
      <c r="C870" s="75"/>
      <c r="D870" s="75"/>
      <c r="E870" s="84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6"/>
      <c r="AJ870" s="75"/>
      <c r="AK870" s="75"/>
      <c r="AL870" s="75"/>
      <c r="AM870" s="75"/>
      <c r="AN870" s="75"/>
      <c r="AO870" s="75"/>
      <c r="AP870" s="75"/>
      <c r="AQ870" s="75"/>
      <c r="AR870" s="75"/>
    </row>
    <row r="871" spans="1:44" x14ac:dyDescent="0.25">
      <c r="A871" s="75"/>
      <c r="B871" s="75"/>
      <c r="C871" s="75"/>
      <c r="D871" s="75"/>
      <c r="E871" s="84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6"/>
      <c r="AJ871" s="75"/>
      <c r="AK871" s="75"/>
      <c r="AL871" s="75"/>
      <c r="AM871" s="75"/>
      <c r="AN871" s="75"/>
      <c r="AO871" s="75"/>
      <c r="AP871" s="75"/>
      <c r="AQ871" s="75"/>
      <c r="AR871" s="75"/>
    </row>
    <row r="872" spans="1:44" x14ac:dyDescent="0.25">
      <c r="A872" s="75"/>
      <c r="B872" s="75"/>
      <c r="C872" s="75"/>
      <c r="D872" s="75"/>
      <c r="E872" s="84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6"/>
      <c r="AJ872" s="75"/>
      <c r="AK872" s="75"/>
      <c r="AL872" s="75"/>
      <c r="AM872" s="75"/>
      <c r="AN872" s="75"/>
      <c r="AO872" s="75"/>
      <c r="AP872" s="75"/>
      <c r="AQ872" s="75"/>
      <c r="AR872" s="75"/>
    </row>
    <row r="873" spans="1:44" x14ac:dyDescent="0.25">
      <c r="A873" s="75"/>
      <c r="B873" s="75"/>
      <c r="C873" s="75"/>
      <c r="D873" s="75"/>
      <c r="E873" s="84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6"/>
      <c r="AJ873" s="75"/>
      <c r="AK873" s="75"/>
      <c r="AL873" s="75"/>
      <c r="AM873" s="75"/>
      <c r="AN873" s="75"/>
      <c r="AO873" s="75"/>
      <c r="AP873" s="75"/>
      <c r="AQ873" s="75"/>
      <c r="AR873" s="75"/>
    </row>
    <row r="874" spans="1:44" x14ac:dyDescent="0.25">
      <c r="A874" s="75"/>
      <c r="B874" s="75"/>
      <c r="C874" s="75"/>
      <c r="D874" s="75"/>
      <c r="E874" s="84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6"/>
      <c r="AJ874" s="75"/>
      <c r="AK874" s="75"/>
      <c r="AL874" s="75"/>
      <c r="AM874" s="75"/>
      <c r="AN874" s="75"/>
      <c r="AO874" s="75"/>
      <c r="AP874" s="75"/>
      <c r="AQ874" s="75"/>
      <c r="AR874" s="75"/>
    </row>
    <row r="875" spans="1:44" x14ac:dyDescent="0.25">
      <c r="A875" s="75"/>
      <c r="B875" s="75"/>
      <c r="C875" s="75"/>
      <c r="D875" s="75"/>
      <c r="E875" s="84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6"/>
      <c r="AJ875" s="75"/>
      <c r="AK875" s="75"/>
      <c r="AL875" s="75"/>
      <c r="AM875" s="75"/>
      <c r="AN875" s="75"/>
      <c r="AO875" s="75"/>
      <c r="AP875" s="75"/>
      <c r="AQ875" s="75"/>
      <c r="AR875" s="75"/>
    </row>
    <row r="876" spans="1:44" x14ac:dyDescent="0.25">
      <c r="A876" s="75"/>
      <c r="B876" s="75"/>
      <c r="C876" s="75"/>
      <c r="D876" s="75"/>
      <c r="E876" s="84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6"/>
      <c r="AJ876" s="75"/>
      <c r="AK876" s="75"/>
      <c r="AL876" s="75"/>
      <c r="AM876" s="75"/>
      <c r="AN876" s="75"/>
      <c r="AO876" s="75"/>
      <c r="AP876" s="75"/>
      <c r="AQ876" s="75"/>
      <c r="AR876" s="75"/>
    </row>
    <row r="877" spans="1:44" x14ac:dyDescent="0.25">
      <c r="A877" s="75"/>
      <c r="B877" s="75"/>
      <c r="C877" s="75"/>
      <c r="D877" s="75"/>
      <c r="E877" s="84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6"/>
      <c r="AJ877" s="75"/>
      <c r="AK877" s="75"/>
      <c r="AL877" s="75"/>
      <c r="AM877" s="75"/>
      <c r="AN877" s="75"/>
      <c r="AO877" s="75"/>
      <c r="AP877" s="75"/>
      <c r="AQ877" s="75"/>
      <c r="AR877" s="75"/>
    </row>
    <row r="878" spans="1:44" x14ac:dyDescent="0.25">
      <c r="A878" s="75"/>
      <c r="B878" s="75"/>
      <c r="C878" s="75"/>
      <c r="D878" s="75"/>
      <c r="E878" s="84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6"/>
      <c r="AJ878" s="75"/>
      <c r="AK878" s="75"/>
      <c r="AL878" s="75"/>
      <c r="AM878" s="75"/>
      <c r="AN878" s="75"/>
      <c r="AO878" s="75"/>
      <c r="AP878" s="75"/>
      <c r="AQ878" s="75"/>
      <c r="AR878" s="75"/>
    </row>
    <row r="879" spans="1:44" x14ac:dyDescent="0.25">
      <c r="A879" s="75"/>
      <c r="B879" s="75"/>
      <c r="C879" s="75"/>
      <c r="D879" s="75"/>
      <c r="E879" s="84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6"/>
      <c r="AJ879" s="75"/>
      <c r="AK879" s="75"/>
      <c r="AL879" s="75"/>
      <c r="AM879" s="75"/>
      <c r="AN879" s="75"/>
      <c r="AO879" s="75"/>
      <c r="AP879" s="75"/>
      <c r="AQ879" s="75"/>
      <c r="AR879" s="75"/>
    </row>
    <row r="880" spans="1:44" x14ac:dyDescent="0.25">
      <c r="A880" s="75"/>
      <c r="B880" s="75"/>
      <c r="C880" s="75"/>
      <c r="D880" s="75"/>
      <c r="E880" s="84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6"/>
      <c r="AJ880" s="75"/>
      <c r="AK880" s="75"/>
      <c r="AL880" s="75"/>
      <c r="AM880" s="75"/>
      <c r="AN880" s="75"/>
      <c r="AO880" s="75"/>
      <c r="AP880" s="75"/>
      <c r="AQ880" s="75"/>
      <c r="AR880" s="75"/>
    </row>
    <row r="881" spans="1:44" x14ac:dyDescent="0.25">
      <c r="A881" s="75"/>
      <c r="B881" s="75"/>
      <c r="C881" s="75"/>
      <c r="D881" s="75"/>
      <c r="E881" s="84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6"/>
      <c r="AJ881" s="75"/>
      <c r="AK881" s="75"/>
      <c r="AL881" s="75"/>
      <c r="AM881" s="75"/>
      <c r="AN881" s="75"/>
      <c r="AO881" s="75"/>
      <c r="AP881" s="75"/>
      <c r="AQ881" s="75"/>
      <c r="AR881" s="75"/>
    </row>
    <row r="882" spans="1:44" x14ac:dyDescent="0.25">
      <c r="A882" s="75"/>
      <c r="B882" s="75"/>
      <c r="C882" s="75"/>
      <c r="D882" s="75"/>
      <c r="E882" s="84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6"/>
      <c r="AJ882" s="75"/>
      <c r="AK882" s="75"/>
      <c r="AL882" s="75"/>
      <c r="AM882" s="75"/>
      <c r="AN882" s="75"/>
      <c r="AO882" s="75"/>
      <c r="AP882" s="75"/>
      <c r="AQ882" s="75"/>
      <c r="AR882" s="75"/>
    </row>
    <row r="883" spans="1:44" x14ac:dyDescent="0.25">
      <c r="A883" s="75"/>
      <c r="B883" s="75"/>
      <c r="C883" s="75"/>
      <c r="D883" s="75"/>
      <c r="E883" s="84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6"/>
      <c r="AJ883" s="75"/>
      <c r="AK883" s="75"/>
      <c r="AL883" s="75"/>
      <c r="AM883" s="75"/>
      <c r="AN883" s="75"/>
      <c r="AO883" s="75"/>
      <c r="AP883" s="75"/>
      <c r="AQ883" s="75"/>
      <c r="AR883" s="75"/>
    </row>
    <row r="884" spans="1:44" x14ac:dyDescent="0.25">
      <c r="A884" s="75"/>
      <c r="B884" s="75"/>
      <c r="C884" s="75"/>
      <c r="D884" s="75"/>
      <c r="E884" s="84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6"/>
      <c r="AJ884" s="75"/>
      <c r="AK884" s="75"/>
      <c r="AL884" s="75"/>
      <c r="AM884" s="75"/>
      <c r="AN884" s="75"/>
      <c r="AO884" s="75"/>
      <c r="AP884" s="75"/>
      <c r="AQ884" s="75"/>
      <c r="AR884" s="75"/>
    </row>
    <row r="885" spans="1:44" x14ac:dyDescent="0.25">
      <c r="A885" s="75"/>
      <c r="B885" s="75"/>
      <c r="C885" s="75"/>
      <c r="D885" s="75"/>
      <c r="E885" s="84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6"/>
      <c r="AJ885" s="75"/>
      <c r="AK885" s="75"/>
      <c r="AL885" s="75"/>
      <c r="AM885" s="75"/>
      <c r="AN885" s="75"/>
      <c r="AO885" s="75"/>
      <c r="AP885" s="75"/>
      <c r="AQ885" s="75"/>
      <c r="AR885" s="75"/>
    </row>
    <row r="886" spans="1:44" x14ac:dyDescent="0.25">
      <c r="A886" s="75"/>
      <c r="B886" s="75"/>
      <c r="C886" s="75"/>
      <c r="D886" s="75"/>
      <c r="E886" s="84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6"/>
      <c r="AJ886" s="75"/>
      <c r="AK886" s="75"/>
      <c r="AL886" s="75"/>
      <c r="AM886" s="75"/>
      <c r="AN886" s="75"/>
      <c r="AO886" s="75"/>
      <c r="AP886" s="75"/>
      <c r="AQ886" s="75"/>
      <c r="AR886" s="75"/>
    </row>
    <row r="887" spans="1:44" x14ac:dyDescent="0.25">
      <c r="A887" s="75"/>
      <c r="B887" s="75"/>
      <c r="C887" s="75"/>
      <c r="D887" s="75"/>
      <c r="E887" s="84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6"/>
      <c r="AJ887" s="75"/>
      <c r="AK887" s="75"/>
      <c r="AL887" s="75"/>
      <c r="AM887" s="75"/>
      <c r="AN887" s="75"/>
      <c r="AO887" s="75"/>
      <c r="AP887" s="75"/>
      <c r="AQ887" s="75"/>
      <c r="AR887" s="75"/>
    </row>
    <row r="888" spans="1:44" x14ac:dyDescent="0.25">
      <c r="A888" s="75"/>
      <c r="B888" s="75"/>
      <c r="C888" s="75"/>
      <c r="D888" s="75"/>
      <c r="E888" s="84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6"/>
      <c r="AJ888" s="75"/>
      <c r="AK888" s="75"/>
      <c r="AL888" s="75"/>
      <c r="AM888" s="75"/>
      <c r="AN888" s="75"/>
      <c r="AO888" s="75"/>
      <c r="AP888" s="75"/>
      <c r="AQ888" s="75"/>
      <c r="AR888" s="75"/>
    </row>
    <row r="889" spans="1:44" x14ac:dyDescent="0.25">
      <c r="A889" s="75"/>
      <c r="B889" s="75"/>
      <c r="C889" s="75"/>
      <c r="D889" s="75"/>
      <c r="E889" s="84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6"/>
      <c r="AJ889" s="75"/>
      <c r="AK889" s="75"/>
      <c r="AL889" s="75"/>
      <c r="AM889" s="75"/>
      <c r="AN889" s="75"/>
      <c r="AO889" s="75"/>
      <c r="AP889" s="75"/>
      <c r="AQ889" s="75"/>
      <c r="AR889" s="75"/>
    </row>
    <row r="890" spans="1:44" x14ac:dyDescent="0.25">
      <c r="A890" s="75"/>
      <c r="B890" s="75"/>
      <c r="C890" s="75"/>
      <c r="D890" s="75"/>
      <c r="E890" s="84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6"/>
      <c r="AJ890" s="75"/>
      <c r="AK890" s="75"/>
      <c r="AL890" s="75"/>
      <c r="AM890" s="75"/>
      <c r="AN890" s="75"/>
      <c r="AO890" s="75"/>
      <c r="AP890" s="75"/>
      <c r="AQ890" s="75"/>
      <c r="AR890" s="75"/>
    </row>
    <row r="891" spans="1:44" x14ac:dyDescent="0.25">
      <c r="A891" s="75"/>
      <c r="B891" s="75"/>
      <c r="C891" s="75"/>
      <c r="D891" s="75"/>
      <c r="E891" s="84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6"/>
      <c r="AJ891" s="75"/>
      <c r="AK891" s="75"/>
      <c r="AL891" s="75"/>
      <c r="AM891" s="75"/>
      <c r="AN891" s="75"/>
      <c r="AO891" s="75"/>
      <c r="AP891" s="75"/>
      <c r="AQ891" s="75"/>
      <c r="AR891" s="75"/>
    </row>
    <row r="892" spans="1:44" x14ac:dyDescent="0.25">
      <c r="A892" s="75"/>
      <c r="B892" s="75"/>
      <c r="C892" s="75"/>
      <c r="D892" s="75"/>
      <c r="E892" s="84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6"/>
      <c r="AJ892" s="75"/>
      <c r="AK892" s="75"/>
      <c r="AL892" s="75"/>
      <c r="AM892" s="75"/>
      <c r="AN892" s="75"/>
      <c r="AO892" s="75"/>
      <c r="AP892" s="75"/>
      <c r="AQ892" s="75"/>
      <c r="AR892" s="75"/>
    </row>
    <row r="893" spans="1:44" x14ac:dyDescent="0.25">
      <c r="A893" s="75"/>
      <c r="B893" s="75"/>
      <c r="C893" s="75"/>
      <c r="D893" s="75"/>
      <c r="E893" s="84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6"/>
      <c r="AJ893" s="75"/>
      <c r="AK893" s="75"/>
      <c r="AL893" s="75"/>
      <c r="AM893" s="75"/>
      <c r="AN893" s="75"/>
      <c r="AO893" s="75"/>
      <c r="AP893" s="75"/>
      <c r="AQ893" s="75"/>
      <c r="AR893" s="75"/>
    </row>
    <row r="894" spans="1:44" x14ac:dyDescent="0.25">
      <c r="A894" s="75"/>
      <c r="B894" s="75"/>
      <c r="C894" s="75"/>
      <c r="D894" s="75"/>
      <c r="E894" s="84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6"/>
      <c r="AJ894" s="75"/>
      <c r="AK894" s="75"/>
      <c r="AL894" s="75"/>
      <c r="AM894" s="75"/>
      <c r="AN894" s="75"/>
      <c r="AO894" s="75"/>
      <c r="AP894" s="75"/>
      <c r="AQ894" s="75"/>
      <c r="AR894" s="75"/>
    </row>
    <row r="895" spans="1:44" x14ac:dyDescent="0.25">
      <c r="A895" s="75"/>
      <c r="B895" s="75"/>
      <c r="C895" s="75"/>
      <c r="D895" s="75"/>
      <c r="E895" s="84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6"/>
      <c r="AJ895" s="75"/>
      <c r="AK895" s="75"/>
      <c r="AL895" s="75"/>
      <c r="AM895" s="75"/>
      <c r="AN895" s="75"/>
      <c r="AO895" s="75"/>
      <c r="AP895" s="75"/>
      <c r="AQ895" s="75"/>
      <c r="AR895" s="75"/>
    </row>
    <row r="896" spans="1:44" x14ac:dyDescent="0.25">
      <c r="A896" s="75"/>
      <c r="B896" s="75"/>
      <c r="C896" s="75"/>
      <c r="D896" s="75"/>
      <c r="E896" s="84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6"/>
      <c r="AJ896" s="75"/>
      <c r="AK896" s="75"/>
      <c r="AL896" s="75"/>
      <c r="AM896" s="75"/>
      <c r="AN896" s="75"/>
      <c r="AO896" s="75"/>
      <c r="AP896" s="75"/>
      <c r="AQ896" s="75"/>
      <c r="AR896" s="75"/>
    </row>
    <row r="897" spans="1:44" x14ac:dyDescent="0.25">
      <c r="A897" s="75"/>
      <c r="B897" s="75"/>
      <c r="C897" s="75"/>
      <c r="D897" s="75"/>
      <c r="E897" s="84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6"/>
      <c r="AJ897" s="75"/>
      <c r="AK897" s="75"/>
      <c r="AL897" s="75"/>
      <c r="AM897" s="75"/>
      <c r="AN897" s="75"/>
      <c r="AO897" s="75"/>
      <c r="AP897" s="75"/>
      <c r="AQ897" s="75"/>
      <c r="AR897" s="75"/>
    </row>
    <row r="898" spans="1:44" x14ac:dyDescent="0.25">
      <c r="A898" s="75"/>
      <c r="B898" s="75"/>
      <c r="C898" s="75"/>
      <c r="D898" s="75"/>
      <c r="E898" s="84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6"/>
      <c r="AJ898" s="75"/>
      <c r="AK898" s="75"/>
      <c r="AL898" s="75"/>
      <c r="AM898" s="75"/>
      <c r="AN898" s="75"/>
      <c r="AO898" s="75"/>
      <c r="AP898" s="75"/>
      <c r="AQ898" s="75"/>
      <c r="AR898" s="75"/>
    </row>
    <row r="899" spans="1:44" x14ac:dyDescent="0.25">
      <c r="A899" s="75"/>
      <c r="B899" s="75"/>
      <c r="C899" s="75"/>
      <c r="D899" s="75"/>
      <c r="E899" s="84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6"/>
      <c r="AJ899" s="75"/>
      <c r="AK899" s="75"/>
      <c r="AL899" s="75"/>
      <c r="AM899" s="75"/>
      <c r="AN899" s="75"/>
      <c r="AO899" s="75"/>
      <c r="AP899" s="75"/>
      <c r="AQ899" s="75"/>
      <c r="AR899" s="75"/>
    </row>
    <row r="900" spans="1:44" x14ac:dyDescent="0.25">
      <c r="A900" s="75"/>
      <c r="B900" s="75"/>
      <c r="C900" s="75"/>
      <c r="D900" s="75"/>
      <c r="E900" s="84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6"/>
      <c r="AJ900" s="75"/>
      <c r="AK900" s="75"/>
      <c r="AL900" s="75"/>
      <c r="AM900" s="75"/>
      <c r="AN900" s="75"/>
      <c r="AO900" s="75"/>
      <c r="AP900" s="75"/>
      <c r="AQ900" s="75"/>
      <c r="AR900" s="75"/>
    </row>
    <row r="901" spans="1:44" x14ac:dyDescent="0.25">
      <c r="A901" s="75"/>
      <c r="B901" s="75"/>
      <c r="C901" s="75"/>
      <c r="D901" s="75"/>
      <c r="E901" s="84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6"/>
      <c r="AJ901" s="75"/>
      <c r="AK901" s="75"/>
      <c r="AL901" s="75"/>
      <c r="AM901" s="75"/>
      <c r="AN901" s="75"/>
      <c r="AO901" s="75"/>
      <c r="AP901" s="75"/>
      <c r="AQ901" s="75"/>
      <c r="AR901" s="75"/>
    </row>
    <row r="902" spans="1:44" x14ac:dyDescent="0.25">
      <c r="A902" s="75"/>
      <c r="B902" s="75"/>
      <c r="C902" s="75"/>
      <c r="D902" s="75"/>
      <c r="E902" s="84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6"/>
      <c r="AJ902" s="75"/>
      <c r="AK902" s="75"/>
      <c r="AL902" s="75"/>
      <c r="AM902" s="75"/>
      <c r="AN902" s="75"/>
      <c r="AO902" s="75"/>
      <c r="AP902" s="75"/>
      <c r="AQ902" s="75"/>
      <c r="AR902" s="75"/>
    </row>
    <row r="903" spans="1:44" x14ac:dyDescent="0.25">
      <c r="A903" s="75"/>
      <c r="B903" s="75"/>
      <c r="C903" s="75"/>
      <c r="D903" s="75"/>
      <c r="E903" s="84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6"/>
      <c r="AJ903" s="75"/>
      <c r="AK903" s="75"/>
      <c r="AL903" s="75"/>
      <c r="AM903" s="75"/>
      <c r="AN903" s="75"/>
      <c r="AO903" s="75"/>
      <c r="AP903" s="75"/>
      <c r="AQ903" s="75"/>
      <c r="AR903" s="75"/>
    </row>
    <row r="904" spans="1:44" x14ac:dyDescent="0.25">
      <c r="A904" s="75"/>
      <c r="B904" s="75"/>
      <c r="C904" s="75"/>
      <c r="D904" s="75"/>
      <c r="E904" s="84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6"/>
      <c r="AJ904" s="75"/>
      <c r="AK904" s="75"/>
      <c r="AL904" s="75"/>
      <c r="AM904" s="75"/>
      <c r="AN904" s="75"/>
      <c r="AO904" s="75"/>
      <c r="AP904" s="75"/>
      <c r="AQ904" s="75"/>
      <c r="AR904" s="75"/>
    </row>
    <row r="905" spans="1:44" x14ac:dyDescent="0.25">
      <c r="A905" s="75"/>
      <c r="B905" s="75"/>
      <c r="C905" s="75"/>
      <c r="D905" s="75"/>
      <c r="E905" s="84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6"/>
      <c r="AJ905" s="75"/>
      <c r="AK905" s="75"/>
      <c r="AL905" s="75"/>
      <c r="AM905" s="75"/>
      <c r="AN905" s="75"/>
      <c r="AO905" s="75"/>
      <c r="AP905" s="75"/>
      <c r="AQ905" s="75"/>
      <c r="AR905" s="75"/>
    </row>
    <row r="906" spans="1:44" x14ac:dyDescent="0.25">
      <c r="A906" s="75"/>
      <c r="B906" s="75"/>
      <c r="C906" s="75"/>
      <c r="D906" s="75"/>
      <c r="E906" s="84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6"/>
      <c r="AJ906" s="75"/>
      <c r="AK906" s="75"/>
      <c r="AL906" s="75"/>
      <c r="AM906" s="75"/>
      <c r="AN906" s="75"/>
      <c r="AO906" s="75"/>
      <c r="AP906" s="75"/>
      <c r="AQ906" s="75"/>
      <c r="AR906" s="75"/>
    </row>
    <row r="907" spans="1:44" x14ac:dyDescent="0.25">
      <c r="A907" s="75"/>
      <c r="B907" s="75"/>
      <c r="C907" s="75"/>
      <c r="D907" s="75"/>
      <c r="E907" s="84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6"/>
      <c r="AJ907" s="75"/>
      <c r="AK907" s="75"/>
      <c r="AL907" s="75"/>
      <c r="AM907" s="75"/>
      <c r="AN907" s="75"/>
      <c r="AO907" s="75"/>
      <c r="AP907" s="75"/>
      <c r="AQ907" s="75"/>
      <c r="AR907" s="75"/>
    </row>
    <row r="908" spans="1:44" x14ac:dyDescent="0.25">
      <c r="A908" s="75"/>
      <c r="B908" s="75"/>
      <c r="C908" s="75"/>
      <c r="D908" s="75"/>
      <c r="E908" s="84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6"/>
      <c r="AJ908" s="75"/>
      <c r="AK908" s="75"/>
      <c r="AL908" s="75"/>
      <c r="AM908" s="75"/>
      <c r="AN908" s="75"/>
      <c r="AO908" s="75"/>
      <c r="AP908" s="75"/>
      <c r="AQ908" s="75"/>
      <c r="AR908" s="75"/>
    </row>
    <row r="909" spans="1:44" x14ac:dyDescent="0.25">
      <c r="A909" s="75"/>
      <c r="B909" s="75"/>
      <c r="C909" s="75"/>
      <c r="D909" s="75"/>
      <c r="E909" s="84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6"/>
      <c r="AJ909" s="75"/>
      <c r="AK909" s="75"/>
      <c r="AL909" s="75"/>
      <c r="AM909" s="75"/>
      <c r="AN909" s="75"/>
      <c r="AO909" s="75"/>
      <c r="AP909" s="75"/>
      <c r="AQ909" s="75"/>
      <c r="AR909" s="75"/>
    </row>
    <row r="910" spans="1:44" x14ac:dyDescent="0.25">
      <c r="A910" s="75"/>
      <c r="B910" s="75"/>
      <c r="C910" s="75"/>
      <c r="D910" s="75"/>
      <c r="E910" s="84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6"/>
      <c r="AJ910" s="75"/>
      <c r="AK910" s="75"/>
      <c r="AL910" s="75"/>
      <c r="AM910" s="75"/>
      <c r="AN910" s="75"/>
      <c r="AO910" s="75"/>
      <c r="AP910" s="75"/>
      <c r="AQ910" s="75"/>
      <c r="AR910" s="75"/>
    </row>
    <row r="911" spans="1:44" x14ac:dyDescent="0.25">
      <c r="A911" s="75"/>
      <c r="B911" s="75"/>
      <c r="C911" s="75"/>
      <c r="D911" s="75"/>
      <c r="E911" s="84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6"/>
      <c r="AJ911" s="75"/>
      <c r="AK911" s="75"/>
      <c r="AL911" s="75"/>
      <c r="AM911" s="75"/>
      <c r="AN911" s="75"/>
      <c r="AO911" s="75"/>
      <c r="AP911" s="75"/>
      <c r="AQ911" s="75"/>
      <c r="AR911" s="75"/>
    </row>
    <row r="912" spans="1:44" x14ac:dyDescent="0.25">
      <c r="A912" s="75"/>
      <c r="B912" s="75"/>
      <c r="C912" s="75"/>
      <c r="D912" s="75"/>
      <c r="E912" s="84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6"/>
      <c r="AJ912" s="75"/>
      <c r="AK912" s="75"/>
      <c r="AL912" s="75"/>
      <c r="AM912" s="75"/>
      <c r="AN912" s="75"/>
      <c r="AO912" s="75"/>
      <c r="AP912" s="75"/>
      <c r="AQ912" s="75"/>
      <c r="AR912" s="75"/>
    </row>
    <row r="913" spans="1:44" x14ac:dyDescent="0.25">
      <c r="A913" s="75"/>
      <c r="B913" s="75"/>
      <c r="C913" s="75"/>
      <c r="D913" s="75"/>
      <c r="E913" s="84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6"/>
      <c r="AJ913" s="75"/>
      <c r="AK913" s="75"/>
      <c r="AL913" s="75"/>
      <c r="AM913" s="75"/>
      <c r="AN913" s="75"/>
      <c r="AO913" s="75"/>
      <c r="AP913" s="75"/>
      <c r="AQ913" s="75"/>
      <c r="AR913" s="75"/>
    </row>
    <row r="914" spans="1:44" x14ac:dyDescent="0.25">
      <c r="A914" s="75"/>
      <c r="B914" s="75"/>
      <c r="C914" s="75"/>
      <c r="D914" s="75"/>
      <c r="E914" s="84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6"/>
      <c r="AJ914" s="75"/>
      <c r="AK914" s="75"/>
      <c r="AL914" s="75"/>
      <c r="AM914" s="75"/>
      <c r="AN914" s="75"/>
      <c r="AO914" s="75"/>
      <c r="AP914" s="75"/>
      <c r="AQ914" s="75"/>
      <c r="AR914" s="75"/>
    </row>
    <row r="915" spans="1:44" x14ac:dyDescent="0.25">
      <c r="A915" s="75"/>
      <c r="B915" s="75"/>
      <c r="C915" s="75"/>
      <c r="D915" s="75"/>
      <c r="E915" s="84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6"/>
      <c r="AJ915" s="75"/>
      <c r="AK915" s="75"/>
      <c r="AL915" s="75"/>
      <c r="AM915" s="75"/>
      <c r="AN915" s="75"/>
      <c r="AO915" s="75"/>
      <c r="AP915" s="75"/>
      <c r="AQ915" s="75"/>
      <c r="AR915" s="75"/>
    </row>
    <row r="916" spans="1:44" x14ac:dyDescent="0.25">
      <c r="A916" s="75"/>
      <c r="B916" s="75"/>
      <c r="C916" s="75"/>
      <c r="D916" s="75"/>
      <c r="E916" s="84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6"/>
      <c r="AJ916" s="75"/>
      <c r="AK916" s="75"/>
      <c r="AL916" s="75"/>
      <c r="AM916" s="75"/>
      <c r="AN916" s="75"/>
      <c r="AO916" s="75"/>
      <c r="AP916" s="75"/>
      <c r="AQ916" s="75"/>
      <c r="AR916" s="75"/>
    </row>
    <row r="917" spans="1:44" x14ac:dyDescent="0.25">
      <c r="A917" s="75"/>
      <c r="B917" s="75"/>
      <c r="C917" s="75"/>
      <c r="D917" s="75"/>
      <c r="E917" s="84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6"/>
      <c r="AJ917" s="75"/>
      <c r="AK917" s="75"/>
      <c r="AL917" s="75"/>
      <c r="AM917" s="75"/>
      <c r="AN917" s="75"/>
      <c r="AO917" s="75"/>
      <c r="AP917" s="75"/>
      <c r="AQ917" s="75"/>
      <c r="AR917" s="75"/>
    </row>
    <row r="918" spans="1:44" x14ac:dyDescent="0.25">
      <c r="A918" s="75"/>
      <c r="B918" s="75"/>
      <c r="C918" s="75"/>
      <c r="D918" s="75"/>
      <c r="E918" s="84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6"/>
      <c r="AJ918" s="75"/>
      <c r="AK918" s="75"/>
      <c r="AL918" s="75"/>
      <c r="AM918" s="75"/>
      <c r="AN918" s="75"/>
      <c r="AO918" s="75"/>
      <c r="AP918" s="75"/>
      <c r="AQ918" s="75"/>
      <c r="AR918" s="75"/>
    </row>
    <row r="919" spans="1:44" x14ac:dyDescent="0.25">
      <c r="A919" s="75"/>
      <c r="B919" s="75"/>
      <c r="C919" s="75"/>
      <c r="D919" s="75"/>
      <c r="E919" s="84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6"/>
      <c r="AJ919" s="75"/>
      <c r="AK919" s="75"/>
      <c r="AL919" s="75"/>
      <c r="AM919" s="75"/>
      <c r="AN919" s="75"/>
      <c r="AO919" s="75"/>
      <c r="AP919" s="75"/>
      <c r="AQ919" s="75"/>
      <c r="AR919" s="75"/>
    </row>
    <row r="920" spans="1:44" x14ac:dyDescent="0.25">
      <c r="A920" s="75"/>
      <c r="B920" s="75"/>
      <c r="C920" s="75"/>
      <c r="D920" s="75"/>
      <c r="E920" s="84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6"/>
      <c r="AJ920" s="75"/>
      <c r="AK920" s="75"/>
      <c r="AL920" s="75"/>
      <c r="AM920" s="75"/>
      <c r="AN920" s="75"/>
      <c r="AO920" s="75"/>
      <c r="AP920" s="75"/>
      <c r="AQ920" s="75"/>
      <c r="AR920" s="75"/>
    </row>
    <row r="921" spans="1:44" x14ac:dyDescent="0.25">
      <c r="A921" s="75"/>
      <c r="B921" s="75"/>
      <c r="C921" s="75"/>
      <c r="D921" s="75"/>
      <c r="E921" s="84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6"/>
      <c r="AJ921" s="75"/>
      <c r="AK921" s="75"/>
      <c r="AL921" s="75"/>
      <c r="AM921" s="75"/>
      <c r="AN921" s="75"/>
      <c r="AO921" s="75"/>
      <c r="AP921" s="75"/>
      <c r="AQ921" s="75"/>
      <c r="AR921" s="75"/>
    </row>
    <row r="922" spans="1:44" x14ac:dyDescent="0.25">
      <c r="A922" s="75"/>
      <c r="B922" s="75"/>
      <c r="C922" s="75"/>
      <c r="D922" s="75"/>
      <c r="E922" s="84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6"/>
      <c r="AJ922" s="75"/>
      <c r="AK922" s="75"/>
      <c r="AL922" s="75"/>
      <c r="AM922" s="75"/>
      <c r="AN922" s="75"/>
      <c r="AO922" s="75"/>
      <c r="AP922" s="75"/>
      <c r="AQ922" s="75"/>
      <c r="AR922" s="75"/>
    </row>
    <row r="923" spans="1:44" x14ac:dyDescent="0.25">
      <c r="A923" s="75"/>
      <c r="B923" s="75"/>
      <c r="C923" s="75"/>
      <c r="D923" s="75"/>
      <c r="E923" s="84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6"/>
      <c r="AJ923" s="75"/>
      <c r="AK923" s="75"/>
      <c r="AL923" s="75"/>
      <c r="AM923" s="75"/>
      <c r="AN923" s="75"/>
      <c r="AO923" s="75"/>
      <c r="AP923" s="75"/>
      <c r="AQ923" s="75"/>
      <c r="AR923" s="75"/>
    </row>
    <row r="924" spans="1:44" x14ac:dyDescent="0.25">
      <c r="A924" s="75"/>
      <c r="B924" s="75"/>
      <c r="C924" s="75"/>
      <c r="D924" s="75"/>
      <c r="E924" s="84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6"/>
      <c r="AJ924" s="75"/>
      <c r="AK924" s="75"/>
      <c r="AL924" s="75"/>
      <c r="AM924" s="75"/>
      <c r="AN924" s="75"/>
      <c r="AO924" s="75"/>
      <c r="AP924" s="75"/>
      <c r="AQ924" s="75"/>
      <c r="AR924" s="75"/>
    </row>
    <row r="925" spans="1:44" x14ac:dyDescent="0.25">
      <c r="A925" s="75"/>
      <c r="B925" s="75"/>
      <c r="C925" s="75"/>
      <c r="D925" s="75"/>
      <c r="E925" s="84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6"/>
      <c r="AJ925" s="75"/>
      <c r="AK925" s="75"/>
      <c r="AL925" s="75"/>
      <c r="AM925" s="75"/>
      <c r="AN925" s="75"/>
      <c r="AO925" s="75"/>
      <c r="AP925" s="75"/>
      <c r="AQ925" s="75"/>
      <c r="AR925" s="75"/>
    </row>
    <row r="926" spans="1:44" x14ac:dyDescent="0.25">
      <c r="A926" s="75"/>
      <c r="B926" s="75"/>
      <c r="C926" s="75"/>
      <c r="D926" s="75"/>
      <c r="E926" s="84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6"/>
      <c r="AJ926" s="75"/>
      <c r="AK926" s="75"/>
      <c r="AL926" s="75"/>
      <c r="AM926" s="75"/>
      <c r="AN926" s="75"/>
      <c r="AO926" s="75"/>
      <c r="AP926" s="75"/>
      <c r="AQ926" s="75"/>
      <c r="AR926" s="75"/>
    </row>
    <row r="927" spans="1:44" x14ac:dyDescent="0.25">
      <c r="A927" s="75"/>
      <c r="B927" s="75"/>
      <c r="C927" s="75"/>
      <c r="D927" s="75"/>
      <c r="E927" s="84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6"/>
      <c r="AJ927" s="75"/>
      <c r="AK927" s="75"/>
      <c r="AL927" s="75"/>
      <c r="AM927" s="75"/>
      <c r="AN927" s="75"/>
      <c r="AO927" s="75"/>
      <c r="AP927" s="75"/>
      <c r="AQ927" s="75"/>
      <c r="AR927" s="75"/>
    </row>
    <row r="928" spans="1:44" x14ac:dyDescent="0.25">
      <c r="A928" s="75"/>
      <c r="B928" s="75"/>
      <c r="C928" s="75"/>
      <c r="D928" s="75"/>
      <c r="E928" s="84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6"/>
      <c r="AJ928" s="75"/>
      <c r="AK928" s="75"/>
      <c r="AL928" s="75"/>
      <c r="AM928" s="75"/>
      <c r="AN928" s="75"/>
      <c r="AO928" s="75"/>
      <c r="AP928" s="75"/>
      <c r="AQ928" s="75"/>
      <c r="AR928" s="75"/>
    </row>
    <row r="929" spans="1:44" x14ac:dyDescent="0.25">
      <c r="A929" s="75"/>
      <c r="B929" s="75"/>
      <c r="C929" s="75"/>
      <c r="D929" s="75"/>
      <c r="E929" s="84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6"/>
      <c r="AJ929" s="75"/>
      <c r="AK929" s="75"/>
      <c r="AL929" s="75"/>
      <c r="AM929" s="75"/>
      <c r="AN929" s="75"/>
      <c r="AO929" s="75"/>
      <c r="AP929" s="75"/>
      <c r="AQ929" s="75"/>
      <c r="AR929" s="75"/>
    </row>
    <row r="930" spans="1:44" x14ac:dyDescent="0.25">
      <c r="A930" s="75"/>
      <c r="B930" s="75"/>
      <c r="C930" s="75"/>
      <c r="D930" s="75"/>
      <c r="E930" s="84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6"/>
      <c r="AJ930" s="75"/>
      <c r="AK930" s="75"/>
      <c r="AL930" s="75"/>
      <c r="AM930" s="75"/>
      <c r="AN930" s="75"/>
      <c r="AO930" s="75"/>
      <c r="AP930" s="75"/>
      <c r="AQ930" s="75"/>
      <c r="AR930" s="75"/>
    </row>
    <row r="931" spans="1:44" x14ac:dyDescent="0.25">
      <c r="A931" s="75"/>
      <c r="B931" s="75"/>
      <c r="C931" s="75"/>
      <c r="D931" s="75"/>
      <c r="E931" s="84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6"/>
      <c r="AJ931" s="75"/>
      <c r="AK931" s="75"/>
      <c r="AL931" s="75"/>
      <c r="AM931" s="75"/>
      <c r="AN931" s="75"/>
      <c r="AO931" s="75"/>
      <c r="AP931" s="75"/>
      <c r="AQ931" s="75"/>
      <c r="AR931" s="75"/>
    </row>
    <row r="932" spans="1:44" x14ac:dyDescent="0.25">
      <c r="A932" s="75"/>
      <c r="B932" s="75"/>
      <c r="C932" s="75"/>
      <c r="D932" s="75"/>
      <c r="E932" s="84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6"/>
      <c r="AJ932" s="75"/>
      <c r="AK932" s="75"/>
      <c r="AL932" s="75"/>
      <c r="AM932" s="75"/>
      <c r="AN932" s="75"/>
      <c r="AO932" s="75"/>
      <c r="AP932" s="75"/>
      <c r="AQ932" s="75"/>
      <c r="AR932" s="75"/>
    </row>
    <row r="933" spans="1:44" x14ac:dyDescent="0.25">
      <c r="A933" s="75"/>
      <c r="B933" s="75"/>
      <c r="C933" s="75"/>
      <c r="D933" s="75"/>
      <c r="E933" s="84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6"/>
      <c r="AJ933" s="75"/>
      <c r="AK933" s="75"/>
      <c r="AL933" s="75"/>
      <c r="AM933" s="75"/>
      <c r="AN933" s="75"/>
      <c r="AO933" s="75"/>
      <c r="AP933" s="75"/>
      <c r="AQ933" s="75"/>
      <c r="AR933" s="75"/>
    </row>
    <row r="934" spans="1:44" x14ac:dyDescent="0.25">
      <c r="A934" s="75"/>
      <c r="B934" s="75"/>
      <c r="C934" s="75"/>
      <c r="D934" s="75"/>
      <c r="E934" s="84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6"/>
      <c r="AJ934" s="75"/>
      <c r="AK934" s="75"/>
      <c r="AL934" s="75"/>
      <c r="AM934" s="75"/>
      <c r="AN934" s="75"/>
      <c r="AO934" s="75"/>
      <c r="AP934" s="75"/>
      <c r="AQ934" s="75"/>
      <c r="AR934" s="75"/>
    </row>
    <row r="935" spans="1:44" x14ac:dyDescent="0.25">
      <c r="A935" s="75"/>
      <c r="B935" s="75"/>
      <c r="C935" s="75"/>
      <c r="D935" s="75"/>
      <c r="E935" s="84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6"/>
      <c r="AJ935" s="75"/>
      <c r="AK935" s="75"/>
      <c r="AL935" s="75"/>
      <c r="AM935" s="75"/>
      <c r="AN935" s="75"/>
      <c r="AO935" s="75"/>
      <c r="AP935" s="75"/>
      <c r="AQ935" s="75"/>
      <c r="AR935" s="75"/>
    </row>
    <row r="936" spans="1:44" x14ac:dyDescent="0.25">
      <c r="A936" s="75"/>
      <c r="B936" s="75"/>
      <c r="C936" s="75"/>
      <c r="D936" s="75"/>
      <c r="E936" s="84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6"/>
      <c r="AJ936" s="75"/>
      <c r="AK936" s="75"/>
      <c r="AL936" s="75"/>
      <c r="AM936" s="75"/>
      <c r="AN936" s="75"/>
      <c r="AO936" s="75"/>
      <c r="AP936" s="75"/>
      <c r="AQ936" s="75"/>
      <c r="AR936" s="75"/>
    </row>
    <row r="937" spans="1:44" x14ac:dyDescent="0.25">
      <c r="A937" s="75"/>
      <c r="B937" s="75"/>
      <c r="C937" s="75"/>
      <c r="D937" s="75"/>
      <c r="E937" s="84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6"/>
      <c r="AJ937" s="75"/>
      <c r="AK937" s="75"/>
      <c r="AL937" s="75"/>
      <c r="AM937" s="75"/>
      <c r="AN937" s="75"/>
      <c r="AO937" s="75"/>
      <c r="AP937" s="75"/>
      <c r="AQ937" s="75"/>
      <c r="AR937" s="75"/>
    </row>
    <row r="938" spans="1:44" x14ac:dyDescent="0.25">
      <c r="A938" s="75"/>
      <c r="B938" s="75"/>
      <c r="C938" s="75"/>
      <c r="D938" s="75"/>
      <c r="E938" s="84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6"/>
      <c r="AJ938" s="75"/>
      <c r="AK938" s="75"/>
      <c r="AL938" s="75"/>
      <c r="AM938" s="75"/>
      <c r="AN938" s="75"/>
      <c r="AO938" s="75"/>
      <c r="AP938" s="75"/>
      <c r="AQ938" s="75"/>
      <c r="AR938" s="75"/>
    </row>
    <row r="939" spans="1:44" x14ac:dyDescent="0.25">
      <c r="A939" s="75"/>
      <c r="B939" s="75"/>
      <c r="C939" s="75"/>
      <c r="D939" s="75"/>
      <c r="E939" s="84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6"/>
      <c r="AJ939" s="75"/>
      <c r="AK939" s="75"/>
      <c r="AL939" s="75"/>
      <c r="AM939" s="75"/>
      <c r="AN939" s="75"/>
      <c r="AO939" s="75"/>
      <c r="AP939" s="75"/>
      <c r="AQ939" s="75"/>
      <c r="AR939" s="75"/>
    </row>
    <row r="940" spans="1:44" x14ac:dyDescent="0.25">
      <c r="A940" s="75"/>
      <c r="B940" s="75"/>
      <c r="C940" s="75"/>
      <c r="D940" s="75"/>
      <c r="E940" s="84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6"/>
      <c r="AJ940" s="75"/>
      <c r="AK940" s="75"/>
      <c r="AL940" s="75"/>
      <c r="AM940" s="75"/>
      <c r="AN940" s="75"/>
      <c r="AO940" s="75"/>
      <c r="AP940" s="75"/>
      <c r="AQ940" s="75"/>
      <c r="AR940" s="75"/>
    </row>
    <row r="941" spans="1:44" x14ac:dyDescent="0.25">
      <c r="A941" s="75"/>
      <c r="B941" s="75"/>
      <c r="C941" s="75"/>
      <c r="D941" s="75"/>
      <c r="E941" s="84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6"/>
      <c r="AJ941" s="75"/>
      <c r="AK941" s="75"/>
      <c r="AL941" s="75"/>
      <c r="AM941" s="75"/>
      <c r="AN941" s="75"/>
      <c r="AO941" s="75"/>
      <c r="AP941" s="75"/>
      <c r="AQ941" s="75"/>
      <c r="AR941" s="75"/>
    </row>
    <row r="942" spans="1:44" x14ac:dyDescent="0.25">
      <c r="A942" s="75"/>
      <c r="B942" s="75"/>
      <c r="C942" s="75"/>
      <c r="D942" s="75"/>
      <c r="E942" s="84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6"/>
      <c r="AJ942" s="75"/>
      <c r="AK942" s="75"/>
      <c r="AL942" s="75"/>
      <c r="AM942" s="75"/>
      <c r="AN942" s="75"/>
      <c r="AO942" s="75"/>
      <c r="AP942" s="75"/>
      <c r="AQ942" s="75"/>
      <c r="AR942" s="75"/>
    </row>
    <row r="943" spans="1:44" x14ac:dyDescent="0.25">
      <c r="A943" s="75"/>
      <c r="B943" s="75"/>
      <c r="C943" s="75"/>
      <c r="D943" s="75"/>
      <c r="E943" s="84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6"/>
      <c r="AJ943" s="75"/>
      <c r="AK943" s="75"/>
      <c r="AL943" s="75"/>
      <c r="AM943" s="75"/>
      <c r="AN943" s="75"/>
      <c r="AO943" s="75"/>
      <c r="AP943" s="75"/>
      <c r="AQ943" s="75"/>
      <c r="AR943" s="75"/>
    </row>
    <row r="944" spans="1:44" x14ac:dyDescent="0.25">
      <c r="A944" s="75"/>
      <c r="B944" s="75"/>
      <c r="C944" s="75"/>
      <c r="D944" s="75"/>
      <c r="E944" s="84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6"/>
      <c r="AJ944" s="75"/>
      <c r="AK944" s="75"/>
      <c r="AL944" s="75"/>
      <c r="AM944" s="75"/>
      <c r="AN944" s="75"/>
      <c r="AO944" s="75"/>
      <c r="AP944" s="75"/>
      <c r="AQ944" s="75"/>
      <c r="AR944" s="75"/>
    </row>
    <row r="945" spans="1:44" x14ac:dyDescent="0.25">
      <c r="A945" s="75"/>
      <c r="B945" s="75"/>
      <c r="C945" s="75"/>
      <c r="D945" s="75"/>
      <c r="E945" s="84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6"/>
      <c r="AJ945" s="75"/>
      <c r="AK945" s="75"/>
      <c r="AL945" s="75"/>
      <c r="AM945" s="75"/>
      <c r="AN945" s="75"/>
      <c r="AO945" s="75"/>
      <c r="AP945" s="75"/>
      <c r="AQ945" s="75"/>
      <c r="AR945" s="75"/>
    </row>
    <row r="946" spans="1:44" x14ac:dyDescent="0.25">
      <c r="A946" s="75"/>
      <c r="B946" s="75"/>
      <c r="C946" s="75"/>
      <c r="D946" s="75"/>
      <c r="E946" s="84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6"/>
      <c r="AJ946" s="75"/>
      <c r="AK946" s="75"/>
      <c r="AL946" s="75"/>
      <c r="AM946" s="75"/>
      <c r="AN946" s="75"/>
      <c r="AO946" s="75"/>
      <c r="AP946" s="75"/>
      <c r="AQ946" s="75"/>
      <c r="AR946" s="75"/>
    </row>
    <row r="947" spans="1:44" x14ac:dyDescent="0.25">
      <c r="A947" s="75"/>
      <c r="B947" s="75"/>
      <c r="C947" s="75"/>
      <c r="D947" s="75"/>
      <c r="E947" s="84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6"/>
      <c r="AJ947" s="75"/>
      <c r="AK947" s="75"/>
      <c r="AL947" s="75"/>
      <c r="AM947" s="75"/>
      <c r="AN947" s="75"/>
      <c r="AO947" s="75"/>
      <c r="AP947" s="75"/>
      <c r="AQ947" s="75"/>
      <c r="AR947" s="75"/>
    </row>
    <row r="948" spans="1:44" x14ac:dyDescent="0.25">
      <c r="A948" s="75"/>
      <c r="B948" s="75"/>
      <c r="C948" s="75"/>
      <c r="D948" s="75"/>
      <c r="E948" s="84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6"/>
      <c r="AJ948" s="75"/>
      <c r="AK948" s="75"/>
      <c r="AL948" s="75"/>
      <c r="AM948" s="75"/>
      <c r="AN948" s="75"/>
      <c r="AO948" s="75"/>
      <c r="AP948" s="75"/>
      <c r="AQ948" s="75"/>
      <c r="AR948" s="75"/>
    </row>
    <row r="949" spans="1:44" x14ac:dyDescent="0.25">
      <c r="A949" s="75"/>
      <c r="B949" s="75"/>
      <c r="C949" s="75"/>
      <c r="D949" s="75"/>
      <c r="E949" s="84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6"/>
      <c r="AJ949" s="75"/>
      <c r="AK949" s="75"/>
      <c r="AL949" s="75"/>
      <c r="AM949" s="75"/>
      <c r="AN949" s="75"/>
      <c r="AO949" s="75"/>
      <c r="AP949" s="75"/>
      <c r="AQ949" s="75"/>
      <c r="AR949" s="75"/>
    </row>
    <row r="950" spans="1:44" x14ac:dyDescent="0.25">
      <c r="A950" s="75"/>
      <c r="B950" s="75"/>
      <c r="C950" s="75"/>
      <c r="D950" s="75"/>
      <c r="E950" s="84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6"/>
      <c r="AJ950" s="75"/>
      <c r="AK950" s="75"/>
      <c r="AL950" s="75"/>
      <c r="AM950" s="75"/>
      <c r="AN950" s="75"/>
      <c r="AO950" s="75"/>
      <c r="AP950" s="75"/>
      <c r="AQ950" s="75"/>
      <c r="AR950" s="75"/>
    </row>
    <row r="951" spans="1:44" x14ac:dyDescent="0.25">
      <c r="A951" s="75"/>
      <c r="B951" s="75"/>
      <c r="C951" s="75"/>
      <c r="D951" s="75"/>
      <c r="E951" s="84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6"/>
      <c r="AJ951" s="75"/>
      <c r="AK951" s="75"/>
      <c r="AL951" s="75"/>
      <c r="AM951" s="75"/>
      <c r="AN951" s="75"/>
      <c r="AO951" s="75"/>
      <c r="AP951" s="75"/>
      <c r="AQ951" s="75"/>
      <c r="AR951" s="75"/>
    </row>
    <row r="952" spans="1:44" x14ac:dyDescent="0.25">
      <c r="A952" s="75"/>
      <c r="B952" s="75"/>
      <c r="C952" s="75"/>
      <c r="D952" s="75"/>
      <c r="E952" s="84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6"/>
      <c r="AJ952" s="75"/>
      <c r="AK952" s="75"/>
      <c r="AL952" s="75"/>
      <c r="AM952" s="75"/>
      <c r="AN952" s="75"/>
      <c r="AO952" s="75"/>
      <c r="AP952" s="75"/>
      <c r="AQ952" s="75"/>
      <c r="AR952" s="75"/>
    </row>
    <row r="953" spans="1:44" x14ac:dyDescent="0.25">
      <c r="A953" s="75"/>
      <c r="B953" s="75"/>
      <c r="C953" s="75"/>
      <c r="D953" s="75"/>
      <c r="E953" s="84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6"/>
      <c r="AJ953" s="75"/>
      <c r="AK953" s="75"/>
      <c r="AL953" s="75"/>
      <c r="AM953" s="75"/>
      <c r="AN953" s="75"/>
      <c r="AO953" s="75"/>
      <c r="AP953" s="75"/>
      <c r="AQ953" s="75"/>
      <c r="AR953" s="75"/>
    </row>
    <row r="954" spans="1:44" x14ac:dyDescent="0.25">
      <c r="A954" s="75"/>
      <c r="B954" s="75"/>
      <c r="C954" s="75"/>
      <c r="D954" s="75"/>
      <c r="E954" s="84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6"/>
      <c r="AJ954" s="75"/>
      <c r="AK954" s="75"/>
      <c r="AL954" s="75"/>
      <c r="AM954" s="75"/>
      <c r="AN954" s="75"/>
      <c r="AO954" s="75"/>
      <c r="AP954" s="75"/>
      <c r="AQ954" s="75"/>
      <c r="AR954" s="75"/>
    </row>
    <row r="955" spans="1:44" x14ac:dyDescent="0.25">
      <c r="A955" s="75"/>
      <c r="B955" s="75"/>
      <c r="C955" s="75"/>
      <c r="D955" s="75"/>
      <c r="E955" s="84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6"/>
      <c r="AJ955" s="75"/>
      <c r="AK955" s="75"/>
      <c r="AL955" s="75"/>
      <c r="AM955" s="75"/>
      <c r="AN955" s="75"/>
      <c r="AO955" s="75"/>
      <c r="AP955" s="75"/>
      <c r="AQ955" s="75"/>
      <c r="AR955" s="75"/>
    </row>
    <row r="956" spans="1:44" x14ac:dyDescent="0.25">
      <c r="A956" s="75"/>
      <c r="B956" s="75"/>
      <c r="C956" s="75"/>
      <c r="D956" s="75"/>
      <c r="E956" s="84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6"/>
      <c r="AJ956" s="75"/>
      <c r="AK956" s="75"/>
      <c r="AL956" s="75"/>
      <c r="AM956" s="75"/>
      <c r="AN956" s="75"/>
      <c r="AO956" s="75"/>
      <c r="AP956" s="75"/>
      <c r="AQ956" s="75"/>
      <c r="AR956" s="75"/>
    </row>
    <row r="957" spans="1:44" x14ac:dyDescent="0.25">
      <c r="A957" s="75"/>
      <c r="B957" s="75"/>
      <c r="C957" s="75"/>
      <c r="D957" s="75"/>
      <c r="E957" s="84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6"/>
      <c r="AJ957" s="75"/>
      <c r="AK957" s="75"/>
      <c r="AL957" s="75"/>
      <c r="AM957" s="75"/>
      <c r="AN957" s="75"/>
      <c r="AO957" s="75"/>
      <c r="AP957" s="75"/>
      <c r="AQ957" s="75"/>
      <c r="AR957" s="75"/>
    </row>
    <row r="958" spans="1:44" x14ac:dyDescent="0.25">
      <c r="A958" s="75"/>
      <c r="B958" s="75"/>
      <c r="C958" s="75"/>
      <c r="D958" s="75"/>
      <c r="E958" s="84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6"/>
      <c r="AJ958" s="75"/>
      <c r="AK958" s="75"/>
      <c r="AL958" s="75"/>
      <c r="AM958" s="75"/>
      <c r="AN958" s="75"/>
      <c r="AO958" s="75"/>
      <c r="AP958" s="75"/>
      <c r="AQ958" s="75"/>
      <c r="AR958" s="75"/>
    </row>
    <row r="959" spans="1:44" x14ac:dyDescent="0.25">
      <c r="A959" s="75"/>
      <c r="B959" s="75"/>
      <c r="C959" s="75"/>
      <c r="D959" s="75"/>
      <c r="E959" s="84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6"/>
      <c r="AJ959" s="75"/>
      <c r="AK959" s="75"/>
      <c r="AL959" s="75"/>
      <c r="AM959" s="75"/>
      <c r="AN959" s="75"/>
      <c r="AO959" s="75"/>
      <c r="AP959" s="75"/>
      <c r="AQ959" s="75"/>
      <c r="AR959" s="75"/>
    </row>
    <row r="960" spans="1:44" x14ac:dyDescent="0.25">
      <c r="A960" s="75"/>
      <c r="B960" s="75"/>
      <c r="C960" s="75"/>
      <c r="D960" s="75"/>
      <c r="E960" s="84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6"/>
      <c r="AJ960" s="75"/>
      <c r="AK960" s="75"/>
      <c r="AL960" s="75"/>
      <c r="AM960" s="75"/>
      <c r="AN960" s="75"/>
      <c r="AO960" s="75"/>
      <c r="AP960" s="75"/>
      <c r="AQ960" s="75"/>
      <c r="AR960" s="75"/>
    </row>
    <row r="961" spans="1:44" x14ac:dyDescent="0.25">
      <c r="A961" s="75"/>
      <c r="B961" s="75"/>
      <c r="C961" s="75"/>
      <c r="D961" s="75"/>
      <c r="E961" s="84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6"/>
      <c r="AJ961" s="75"/>
      <c r="AK961" s="75"/>
      <c r="AL961" s="75"/>
      <c r="AM961" s="75"/>
      <c r="AN961" s="75"/>
      <c r="AO961" s="75"/>
      <c r="AP961" s="75"/>
      <c r="AQ961" s="75"/>
      <c r="AR961" s="75"/>
    </row>
    <row r="962" spans="1:44" x14ac:dyDescent="0.25">
      <c r="A962" s="75"/>
      <c r="B962" s="75"/>
      <c r="C962" s="75"/>
      <c r="D962" s="75"/>
      <c r="E962" s="84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6"/>
      <c r="AJ962" s="75"/>
      <c r="AK962" s="75"/>
      <c r="AL962" s="75"/>
      <c r="AM962" s="75"/>
      <c r="AN962" s="75"/>
      <c r="AO962" s="75"/>
      <c r="AP962" s="75"/>
      <c r="AQ962" s="75"/>
      <c r="AR962" s="75"/>
    </row>
    <row r="963" spans="1:44" x14ac:dyDescent="0.25">
      <c r="A963" s="75"/>
      <c r="B963" s="75"/>
      <c r="C963" s="75"/>
      <c r="D963" s="75"/>
      <c r="E963" s="84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6"/>
      <c r="AJ963" s="75"/>
      <c r="AK963" s="75"/>
      <c r="AL963" s="75"/>
      <c r="AM963" s="75"/>
      <c r="AN963" s="75"/>
      <c r="AO963" s="75"/>
      <c r="AP963" s="75"/>
      <c r="AQ963" s="75"/>
      <c r="AR963" s="75"/>
    </row>
    <row r="964" spans="1:44" x14ac:dyDescent="0.25">
      <c r="A964" s="75"/>
      <c r="B964" s="75"/>
      <c r="C964" s="75"/>
      <c r="D964" s="75"/>
      <c r="E964" s="84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6"/>
      <c r="AJ964" s="75"/>
      <c r="AK964" s="75"/>
      <c r="AL964" s="75"/>
      <c r="AM964" s="75"/>
      <c r="AN964" s="75"/>
      <c r="AO964" s="75"/>
      <c r="AP964" s="75"/>
      <c r="AQ964" s="75"/>
      <c r="AR964" s="75"/>
    </row>
    <row r="965" spans="1:44" x14ac:dyDescent="0.25">
      <c r="A965" s="75"/>
      <c r="B965" s="75"/>
      <c r="C965" s="75"/>
      <c r="D965" s="75"/>
      <c r="E965" s="84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6"/>
      <c r="AJ965" s="75"/>
      <c r="AK965" s="75"/>
      <c r="AL965" s="75"/>
      <c r="AM965" s="75"/>
      <c r="AN965" s="75"/>
      <c r="AO965" s="75"/>
      <c r="AP965" s="75"/>
      <c r="AQ965" s="75"/>
      <c r="AR965" s="75"/>
    </row>
    <row r="966" spans="1:44" x14ac:dyDescent="0.25">
      <c r="A966" s="75"/>
      <c r="B966" s="75"/>
      <c r="C966" s="75"/>
      <c r="D966" s="75"/>
      <c r="E966" s="84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6"/>
      <c r="AJ966" s="75"/>
      <c r="AK966" s="75"/>
      <c r="AL966" s="75"/>
      <c r="AM966" s="75"/>
      <c r="AN966" s="75"/>
      <c r="AO966" s="75"/>
      <c r="AP966" s="75"/>
      <c r="AQ966" s="75"/>
      <c r="AR966" s="75"/>
    </row>
    <row r="967" spans="1:44" x14ac:dyDescent="0.25">
      <c r="A967" s="75"/>
      <c r="B967" s="75"/>
      <c r="C967" s="75"/>
      <c r="D967" s="75"/>
      <c r="E967" s="84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6"/>
      <c r="AJ967" s="75"/>
      <c r="AK967" s="75"/>
      <c r="AL967" s="75"/>
      <c r="AM967" s="75"/>
      <c r="AN967" s="75"/>
      <c r="AO967" s="75"/>
      <c r="AP967" s="75"/>
      <c r="AQ967" s="75"/>
      <c r="AR967" s="75"/>
    </row>
    <row r="968" spans="1:44" x14ac:dyDescent="0.25">
      <c r="A968" s="75"/>
      <c r="B968" s="75"/>
      <c r="C968" s="75"/>
      <c r="D968" s="75"/>
      <c r="E968" s="84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6"/>
      <c r="AJ968" s="75"/>
      <c r="AK968" s="75"/>
      <c r="AL968" s="75"/>
      <c r="AM968" s="75"/>
      <c r="AN968" s="75"/>
      <c r="AO968" s="75"/>
      <c r="AP968" s="75"/>
      <c r="AQ968" s="75"/>
      <c r="AR968" s="75"/>
    </row>
    <row r="969" spans="1:44" x14ac:dyDescent="0.25">
      <c r="A969" s="75"/>
      <c r="B969" s="75"/>
      <c r="C969" s="75"/>
      <c r="D969" s="75"/>
      <c r="E969" s="84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6"/>
      <c r="AJ969" s="75"/>
      <c r="AK969" s="75"/>
      <c r="AL969" s="75"/>
      <c r="AM969" s="75"/>
      <c r="AN969" s="75"/>
      <c r="AO969" s="75"/>
      <c r="AP969" s="75"/>
      <c r="AQ969" s="75"/>
      <c r="AR969" s="75"/>
    </row>
    <row r="970" spans="1:44" x14ac:dyDescent="0.25">
      <c r="A970" s="75"/>
      <c r="B970" s="75"/>
      <c r="C970" s="75"/>
      <c r="D970" s="75"/>
      <c r="E970" s="84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6"/>
      <c r="AJ970" s="75"/>
      <c r="AK970" s="75"/>
      <c r="AL970" s="75"/>
      <c r="AM970" s="75"/>
      <c r="AN970" s="75"/>
      <c r="AO970" s="75"/>
      <c r="AP970" s="75"/>
      <c r="AQ970" s="75"/>
      <c r="AR970" s="75"/>
    </row>
    <row r="971" spans="1:44" x14ac:dyDescent="0.25">
      <c r="A971" s="75"/>
      <c r="B971" s="75"/>
      <c r="C971" s="75"/>
      <c r="D971" s="75"/>
      <c r="E971" s="84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6"/>
      <c r="AJ971" s="75"/>
      <c r="AK971" s="75"/>
      <c r="AL971" s="75"/>
      <c r="AM971" s="75"/>
      <c r="AN971" s="75"/>
      <c r="AO971" s="75"/>
      <c r="AP971" s="75"/>
      <c r="AQ971" s="75"/>
      <c r="AR971" s="75"/>
    </row>
    <row r="972" spans="1:44" x14ac:dyDescent="0.25">
      <c r="A972" s="75"/>
      <c r="B972" s="75"/>
      <c r="C972" s="75"/>
      <c r="D972" s="75"/>
      <c r="E972" s="84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6"/>
      <c r="AJ972" s="75"/>
      <c r="AK972" s="75"/>
      <c r="AL972" s="75"/>
      <c r="AM972" s="75"/>
      <c r="AN972" s="75"/>
      <c r="AO972" s="75"/>
      <c r="AP972" s="75"/>
      <c r="AQ972" s="75"/>
      <c r="AR972" s="75"/>
    </row>
    <row r="973" spans="1:44" x14ac:dyDescent="0.25">
      <c r="A973" s="75"/>
      <c r="B973" s="75"/>
      <c r="C973" s="75"/>
      <c r="D973" s="75"/>
      <c r="E973" s="84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6"/>
      <c r="AJ973" s="75"/>
      <c r="AK973" s="75"/>
      <c r="AL973" s="75"/>
      <c r="AM973" s="75"/>
      <c r="AN973" s="75"/>
      <c r="AO973" s="75"/>
      <c r="AP973" s="75"/>
      <c r="AQ973" s="75"/>
      <c r="AR973" s="75"/>
    </row>
    <row r="974" spans="1:44" x14ac:dyDescent="0.25">
      <c r="A974" s="75"/>
      <c r="B974" s="75"/>
      <c r="C974" s="75"/>
      <c r="D974" s="75"/>
      <c r="E974" s="84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6"/>
      <c r="AJ974" s="75"/>
      <c r="AK974" s="75"/>
      <c r="AL974" s="75"/>
      <c r="AM974" s="75"/>
      <c r="AN974" s="75"/>
      <c r="AO974" s="75"/>
      <c r="AP974" s="75"/>
      <c r="AQ974" s="75"/>
      <c r="AR974" s="75"/>
    </row>
    <row r="975" spans="1:44" x14ac:dyDescent="0.25">
      <c r="A975" s="75"/>
      <c r="B975" s="75"/>
      <c r="C975" s="75"/>
      <c r="D975" s="75"/>
      <c r="E975" s="84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6"/>
      <c r="AJ975" s="75"/>
      <c r="AK975" s="75"/>
      <c r="AL975" s="75"/>
      <c r="AM975" s="75"/>
      <c r="AN975" s="75"/>
      <c r="AO975" s="75"/>
      <c r="AP975" s="75"/>
      <c r="AQ975" s="75"/>
      <c r="AR975" s="75"/>
    </row>
    <row r="976" spans="1:44" x14ac:dyDescent="0.25">
      <c r="A976" s="75"/>
      <c r="B976" s="75"/>
      <c r="C976" s="75"/>
      <c r="D976" s="75"/>
      <c r="E976" s="84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6"/>
      <c r="AJ976" s="75"/>
      <c r="AK976" s="75"/>
      <c r="AL976" s="75"/>
      <c r="AM976" s="75"/>
      <c r="AN976" s="75"/>
      <c r="AO976" s="75"/>
      <c r="AP976" s="75"/>
      <c r="AQ976" s="75"/>
      <c r="AR976" s="75"/>
    </row>
    <row r="977" spans="1:44" x14ac:dyDescent="0.25">
      <c r="A977" s="75"/>
      <c r="B977" s="75"/>
      <c r="C977" s="75"/>
      <c r="D977" s="75"/>
      <c r="E977" s="84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6"/>
      <c r="AJ977" s="75"/>
      <c r="AK977" s="75"/>
      <c r="AL977" s="75"/>
      <c r="AM977" s="75"/>
      <c r="AN977" s="75"/>
      <c r="AO977" s="75"/>
      <c r="AP977" s="75"/>
      <c r="AQ977" s="75"/>
      <c r="AR977" s="75"/>
    </row>
    <row r="978" spans="1:44" x14ac:dyDescent="0.25">
      <c r="A978" s="75"/>
      <c r="B978" s="75"/>
      <c r="C978" s="75"/>
      <c r="D978" s="75"/>
      <c r="E978" s="84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6"/>
      <c r="AJ978" s="75"/>
      <c r="AK978" s="75"/>
      <c r="AL978" s="75"/>
      <c r="AM978" s="75"/>
      <c r="AN978" s="75"/>
      <c r="AO978" s="75"/>
      <c r="AP978" s="75"/>
      <c r="AQ978" s="75"/>
      <c r="AR978" s="75"/>
    </row>
    <row r="979" spans="1:44" x14ac:dyDescent="0.25">
      <c r="A979" s="75"/>
      <c r="B979" s="75"/>
      <c r="C979" s="75"/>
      <c r="D979" s="75"/>
      <c r="E979" s="84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6"/>
      <c r="AJ979" s="75"/>
      <c r="AK979" s="75"/>
      <c r="AL979" s="75"/>
      <c r="AM979" s="75"/>
      <c r="AN979" s="75"/>
      <c r="AO979" s="75"/>
      <c r="AP979" s="75"/>
      <c r="AQ979" s="75"/>
      <c r="AR979" s="75"/>
    </row>
    <row r="980" spans="1:44" x14ac:dyDescent="0.25">
      <c r="A980" s="75"/>
      <c r="B980" s="75"/>
      <c r="C980" s="75"/>
      <c r="D980" s="75"/>
      <c r="E980" s="84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6"/>
      <c r="AJ980" s="75"/>
      <c r="AK980" s="75"/>
      <c r="AL980" s="75"/>
      <c r="AM980" s="75"/>
      <c r="AN980" s="75"/>
      <c r="AO980" s="75"/>
      <c r="AP980" s="75"/>
      <c r="AQ980" s="75"/>
      <c r="AR980" s="75"/>
    </row>
    <row r="981" spans="1:44" x14ac:dyDescent="0.25">
      <c r="A981" s="75"/>
      <c r="B981" s="75"/>
      <c r="C981" s="75"/>
      <c r="D981" s="75"/>
      <c r="E981" s="84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6"/>
      <c r="AJ981" s="75"/>
      <c r="AK981" s="75"/>
      <c r="AL981" s="75"/>
      <c r="AM981" s="75"/>
      <c r="AN981" s="75"/>
      <c r="AO981" s="75"/>
      <c r="AP981" s="75"/>
      <c r="AQ981" s="75"/>
      <c r="AR981" s="75"/>
    </row>
    <row r="982" spans="1:44" x14ac:dyDescent="0.25">
      <c r="A982" s="75"/>
      <c r="B982" s="75"/>
      <c r="C982" s="75"/>
      <c r="D982" s="75"/>
      <c r="E982" s="84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6"/>
      <c r="AJ982" s="75"/>
      <c r="AK982" s="75"/>
      <c r="AL982" s="75"/>
      <c r="AM982" s="75"/>
      <c r="AN982" s="75"/>
      <c r="AO982" s="75"/>
      <c r="AP982" s="75"/>
      <c r="AQ982" s="75"/>
      <c r="AR982" s="75"/>
    </row>
    <row r="983" spans="1:44" x14ac:dyDescent="0.25">
      <c r="A983" s="75"/>
      <c r="B983" s="75"/>
      <c r="C983" s="75"/>
      <c r="D983" s="75"/>
      <c r="E983" s="84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6"/>
      <c r="AJ983" s="75"/>
      <c r="AK983" s="75"/>
      <c r="AL983" s="75"/>
      <c r="AM983" s="75"/>
      <c r="AN983" s="75"/>
      <c r="AO983" s="75"/>
      <c r="AP983" s="75"/>
      <c r="AQ983" s="75"/>
      <c r="AR983" s="75"/>
    </row>
    <row r="984" spans="1:44" x14ac:dyDescent="0.25">
      <c r="A984" s="75"/>
      <c r="B984" s="75"/>
      <c r="C984" s="75"/>
      <c r="D984" s="75"/>
      <c r="E984" s="84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6"/>
      <c r="AJ984" s="75"/>
      <c r="AK984" s="75"/>
      <c r="AL984" s="75"/>
      <c r="AM984" s="75"/>
      <c r="AN984" s="75"/>
      <c r="AO984" s="75"/>
      <c r="AP984" s="75"/>
      <c r="AQ984" s="75"/>
      <c r="AR984" s="75"/>
    </row>
    <row r="985" spans="1:44" x14ac:dyDescent="0.25">
      <c r="A985" s="75"/>
      <c r="B985" s="75"/>
      <c r="C985" s="75"/>
      <c r="D985" s="75"/>
      <c r="E985" s="84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6"/>
      <c r="AJ985" s="75"/>
      <c r="AK985" s="75"/>
      <c r="AL985" s="75"/>
      <c r="AM985" s="75"/>
      <c r="AN985" s="75"/>
      <c r="AO985" s="75"/>
      <c r="AP985" s="75"/>
      <c r="AQ985" s="75"/>
      <c r="AR985" s="75"/>
    </row>
    <row r="986" spans="1:44" x14ac:dyDescent="0.25">
      <c r="A986" s="75"/>
      <c r="B986" s="75"/>
      <c r="C986" s="75"/>
      <c r="D986" s="75"/>
      <c r="E986" s="84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6"/>
      <c r="AJ986" s="75"/>
      <c r="AK986" s="75"/>
      <c r="AL986" s="75"/>
      <c r="AM986" s="75"/>
      <c r="AN986" s="75"/>
      <c r="AO986" s="75"/>
      <c r="AP986" s="75"/>
      <c r="AQ986" s="75"/>
      <c r="AR986" s="75"/>
    </row>
    <row r="987" spans="1:44" x14ac:dyDescent="0.25">
      <c r="A987" s="75"/>
      <c r="B987" s="75"/>
      <c r="C987" s="75"/>
      <c r="D987" s="75"/>
      <c r="E987" s="84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6"/>
      <c r="AJ987" s="75"/>
      <c r="AK987" s="75"/>
      <c r="AL987" s="75"/>
      <c r="AM987" s="75"/>
      <c r="AN987" s="75"/>
      <c r="AO987" s="75"/>
      <c r="AP987" s="75"/>
      <c r="AQ987" s="75"/>
      <c r="AR987" s="75"/>
    </row>
    <row r="988" spans="1:44" x14ac:dyDescent="0.25">
      <c r="A988" s="75"/>
      <c r="B988" s="75"/>
      <c r="C988" s="75"/>
      <c r="D988" s="75"/>
      <c r="E988" s="84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6"/>
      <c r="AJ988" s="75"/>
      <c r="AK988" s="75"/>
      <c r="AL988" s="75"/>
      <c r="AM988" s="75"/>
      <c r="AN988" s="75"/>
      <c r="AO988" s="75"/>
      <c r="AP988" s="75"/>
      <c r="AQ988" s="75"/>
      <c r="AR988" s="75"/>
    </row>
    <row r="989" spans="1:44" x14ac:dyDescent="0.25">
      <c r="A989" s="75"/>
      <c r="B989" s="75"/>
      <c r="C989" s="75"/>
      <c r="D989" s="75"/>
      <c r="E989" s="84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6"/>
      <c r="AJ989" s="75"/>
      <c r="AK989" s="75"/>
      <c r="AL989" s="75"/>
      <c r="AM989" s="75"/>
      <c r="AN989" s="75"/>
      <c r="AO989" s="75"/>
      <c r="AP989" s="75"/>
      <c r="AQ989" s="75"/>
      <c r="AR989" s="75"/>
    </row>
    <row r="990" spans="1:44" x14ac:dyDescent="0.25">
      <c r="A990" s="75"/>
      <c r="B990" s="75"/>
      <c r="C990" s="75"/>
      <c r="D990" s="75"/>
      <c r="E990" s="84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6"/>
      <c r="AJ990" s="75"/>
      <c r="AK990" s="75"/>
      <c r="AL990" s="75"/>
      <c r="AM990" s="75"/>
      <c r="AN990" s="75"/>
      <c r="AO990" s="75"/>
      <c r="AP990" s="75"/>
      <c r="AQ990" s="75"/>
      <c r="AR990" s="75"/>
    </row>
    <row r="991" spans="1:44" x14ac:dyDescent="0.25">
      <c r="A991" s="75"/>
      <c r="B991" s="75"/>
      <c r="C991" s="75"/>
      <c r="D991" s="75"/>
      <c r="E991" s="84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6"/>
      <c r="AJ991" s="75"/>
      <c r="AK991" s="75"/>
      <c r="AL991" s="75"/>
      <c r="AM991" s="75"/>
      <c r="AN991" s="75"/>
      <c r="AO991" s="75"/>
      <c r="AP991" s="75"/>
      <c r="AQ991" s="75"/>
      <c r="AR991" s="75"/>
    </row>
    <row r="992" spans="1:44" x14ac:dyDescent="0.25">
      <c r="A992" s="75"/>
      <c r="B992" s="75"/>
      <c r="C992" s="75"/>
      <c r="D992" s="75"/>
      <c r="E992" s="84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6"/>
      <c r="AJ992" s="75"/>
      <c r="AK992" s="75"/>
      <c r="AL992" s="75"/>
      <c r="AM992" s="75"/>
      <c r="AN992" s="75"/>
      <c r="AO992" s="75"/>
      <c r="AP992" s="75"/>
      <c r="AQ992" s="75"/>
      <c r="AR992" s="75"/>
    </row>
    <row r="993" spans="1:44" x14ac:dyDescent="0.25">
      <c r="A993" s="75"/>
      <c r="B993" s="75"/>
      <c r="C993" s="75"/>
      <c r="D993" s="75"/>
      <c r="E993" s="84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6"/>
      <c r="AJ993" s="75"/>
      <c r="AK993" s="75"/>
      <c r="AL993" s="75"/>
      <c r="AM993" s="75"/>
      <c r="AN993" s="75"/>
      <c r="AO993" s="75"/>
      <c r="AP993" s="75"/>
      <c r="AQ993" s="75"/>
      <c r="AR993" s="75"/>
    </row>
    <row r="994" spans="1:44" x14ac:dyDescent="0.25">
      <c r="A994" s="75"/>
      <c r="B994" s="75"/>
      <c r="C994" s="75"/>
      <c r="D994" s="75"/>
      <c r="E994" s="84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6"/>
      <c r="AJ994" s="75"/>
      <c r="AK994" s="75"/>
      <c r="AL994" s="75"/>
      <c r="AM994" s="75"/>
      <c r="AN994" s="75"/>
      <c r="AO994" s="75"/>
      <c r="AP994" s="75"/>
      <c r="AQ994" s="75"/>
      <c r="AR994" s="75"/>
    </row>
    <row r="995" spans="1:44" x14ac:dyDescent="0.25">
      <c r="A995" s="75"/>
      <c r="B995" s="75"/>
      <c r="C995" s="75"/>
      <c r="D995" s="75"/>
      <c r="E995" s="84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6"/>
      <c r="AJ995" s="75"/>
      <c r="AK995" s="75"/>
      <c r="AL995" s="75"/>
      <c r="AM995" s="75"/>
      <c r="AN995" s="75"/>
      <c r="AO995" s="75"/>
      <c r="AP995" s="75"/>
      <c r="AQ995" s="75"/>
      <c r="AR995" s="75"/>
    </row>
    <row r="996" spans="1:44" x14ac:dyDescent="0.25">
      <c r="A996" s="75"/>
      <c r="B996" s="75"/>
      <c r="C996" s="75"/>
      <c r="D996" s="75"/>
      <c r="E996" s="84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6"/>
      <c r="AJ996" s="75"/>
      <c r="AK996" s="75"/>
      <c r="AL996" s="75"/>
      <c r="AM996" s="75"/>
      <c r="AN996" s="75"/>
      <c r="AO996" s="75"/>
      <c r="AP996" s="75"/>
      <c r="AQ996" s="75"/>
      <c r="AR996" s="75"/>
    </row>
    <row r="997" spans="1:44" x14ac:dyDescent="0.25">
      <c r="A997" s="75"/>
      <c r="B997" s="75"/>
      <c r="C997" s="75"/>
      <c r="D997" s="75"/>
      <c r="E997" s="84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6"/>
      <c r="AJ997" s="75"/>
      <c r="AK997" s="75"/>
      <c r="AL997" s="75"/>
      <c r="AM997" s="75"/>
      <c r="AN997" s="75"/>
      <c r="AO997" s="75"/>
      <c r="AP997" s="75"/>
      <c r="AQ997" s="75"/>
      <c r="AR997" s="75"/>
    </row>
    <row r="998" spans="1:44" x14ac:dyDescent="0.25">
      <c r="A998" s="75"/>
      <c r="B998" s="75"/>
      <c r="C998" s="75"/>
      <c r="D998" s="75"/>
      <c r="E998" s="84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6"/>
      <c r="AJ998" s="75"/>
      <c r="AK998" s="75"/>
      <c r="AL998" s="75"/>
      <c r="AM998" s="75"/>
      <c r="AN998" s="75"/>
      <c r="AO998" s="75"/>
      <c r="AP998" s="75"/>
      <c r="AQ998" s="75"/>
      <c r="AR998" s="75"/>
    </row>
    <row r="999" spans="1:44" x14ac:dyDescent="0.25">
      <c r="A999" s="75"/>
      <c r="B999" s="75"/>
      <c r="C999" s="75"/>
      <c r="D999" s="75"/>
      <c r="E999" s="84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6"/>
      <c r="AJ999" s="75"/>
      <c r="AK999" s="75"/>
      <c r="AL999" s="75"/>
      <c r="AM999" s="75"/>
      <c r="AN999" s="75"/>
      <c r="AO999" s="75"/>
      <c r="AP999" s="75"/>
      <c r="AQ999" s="75"/>
      <c r="AR999" s="75"/>
    </row>
    <row r="1000" spans="1:44" x14ac:dyDescent="0.25">
      <c r="A1000" s="75"/>
      <c r="B1000" s="75"/>
      <c r="C1000" s="75"/>
      <c r="D1000" s="75"/>
      <c r="E1000" s="84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6"/>
      <c r="AJ1000" s="75"/>
      <c r="AK1000" s="75"/>
      <c r="AL1000" s="75"/>
      <c r="AM1000" s="75"/>
      <c r="AN1000" s="75"/>
      <c r="AO1000" s="75"/>
      <c r="AP1000" s="75"/>
      <c r="AQ1000" s="75"/>
      <c r="AR1000" s="75"/>
    </row>
    <row r="1001" spans="1:44" x14ac:dyDescent="0.25">
      <c r="B1001" s="75"/>
      <c r="C1001" s="75"/>
      <c r="D1001" s="75"/>
      <c r="E1001" s="84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6"/>
      <c r="AJ1001" s="75"/>
      <c r="AK1001" s="75"/>
      <c r="AL1001" s="75"/>
      <c r="AM1001" s="75"/>
      <c r="AN1001" s="75"/>
      <c r="AO1001" s="75"/>
      <c r="AP1001" s="75"/>
      <c r="AQ1001" s="75"/>
      <c r="AR1001" s="75"/>
    </row>
  </sheetData>
  <mergeCells count="4">
    <mergeCell ref="R1:AC1"/>
    <mergeCell ref="A2:A3"/>
    <mergeCell ref="E2:AI2"/>
    <mergeCell ref="AQ2:AQ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22"/>
  <sheetViews>
    <sheetView topLeftCell="A219" workbookViewId="0">
      <selection activeCell="H322" sqref="B253:H322"/>
    </sheetView>
  </sheetViews>
  <sheetFormatPr defaultRowHeight="15" x14ac:dyDescent="0.25"/>
  <cols>
    <col min="7" max="7" width="13.85546875" customWidth="1"/>
    <col min="8" max="8" width="15.140625" customWidth="1"/>
  </cols>
  <sheetData>
    <row r="1" spans="2:35" x14ac:dyDescent="0.25"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</row>
    <row r="2" spans="2:35" x14ac:dyDescent="0.25">
      <c r="B2" s="363" t="s">
        <v>56</v>
      </c>
      <c r="C2" s="364"/>
      <c r="D2" s="364"/>
      <c r="E2" s="364"/>
      <c r="F2" s="365"/>
      <c r="G2" s="414" t="s">
        <v>88</v>
      </c>
      <c r="H2" s="415" t="s">
        <v>81</v>
      </c>
      <c r="J2" s="363" t="s">
        <v>60</v>
      </c>
      <c r="K2" s="364"/>
      <c r="L2" s="364"/>
      <c r="M2" s="364"/>
      <c r="N2" s="365"/>
      <c r="R2" s="363" t="s">
        <v>114</v>
      </c>
      <c r="S2" s="364"/>
      <c r="T2" s="364"/>
      <c r="U2" s="365"/>
      <c r="AA2" s="170" t="s">
        <v>34</v>
      </c>
      <c r="AB2" t="s">
        <v>131</v>
      </c>
      <c r="AC2" s="110" t="s">
        <v>29</v>
      </c>
      <c r="AD2" s="110" t="s">
        <v>33</v>
      </c>
    </row>
    <row r="3" spans="2:35" x14ac:dyDescent="0.25">
      <c r="B3" s="127" t="s">
        <v>49</v>
      </c>
      <c r="C3" s="43" t="s">
        <v>70</v>
      </c>
      <c r="D3" s="43" t="s">
        <v>54</v>
      </c>
      <c r="E3" s="43" t="s">
        <v>55</v>
      </c>
      <c r="F3" s="128" t="s">
        <v>6</v>
      </c>
      <c r="G3" s="414"/>
      <c r="H3" s="415"/>
      <c r="J3" s="127" t="s">
        <v>49</v>
      </c>
      <c r="K3" s="43" t="s">
        <v>70</v>
      </c>
      <c r="L3" s="43" t="s">
        <v>54</v>
      </c>
      <c r="M3" s="43" t="s">
        <v>55</v>
      </c>
      <c r="N3" s="128" t="s">
        <v>6</v>
      </c>
      <c r="R3" s="135" t="s">
        <v>79</v>
      </c>
      <c r="S3" s="135" t="s">
        <v>54</v>
      </c>
      <c r="T3" s="135" t="s">
        <v>115</v>
      </c>
      <c r="U3" s="135" t="s">
        <v>33</v>
      </c>
      <c r="V3" t="s">
        <v>6</v>
      </c>
      <c r="W3" t="s">
        <v>70</v>
      </c>
      <c r="AA3" s="163">
        <v>1</v>
      </c>
      <c r="AB3" s="162">
        <v>2.1832214278288062</v>
      </c>
      <c r="AC3" s="114" t="b">
        <v>1</v>
      </c>
      <c r="AD3" s="162" t="s">
        <v>48</v>
      </c>
      <c r="AE3" t="e">
        <f>--AD3</f>
        <v>#VALUE!</v>
      </c>
    </row>
    <row r="4" spans="2:35" x14ac:dyDescent="0.25">
      <c r="B4" s="127">
        <v>1</v>
      </c>
      <c r="C4" s="43"/>
      <c r="D4" s="43">
        <v>1</v>
      </c>
      <c r="E4" s="43"/>
      <c r="F4" s="128"/>
      <c r="J4" s="127">
        <v>1</v>
      </c>
      <c r="K4" s="43"/>
      <c r="L4" s="43">
        <v>1</v>
      </c>
      <c r="M4" s="43"/>
      <c r="N4" s="128"/>
      <c r="R4" s="236">
        <v>0</v>
      </c>
      <c r="S4" s="134">
        <v>0</v>
      </c>
      <c r="T4" s="236">
        <v>1</v>
      </c>
      <c r="U4" s="134">
        <v>0</v>
      </c>
      <c r="V4">
        <v>3</v>
      </c>
      <c r="W4">
        <v>0</v>
      </c>
      <c r="AA4" s="163">
        <v>21</v>
      </c>
      <c r="AB4" s="162">
        <v>2.4764272770238129</v>
      </c>
      <c r="AC4" s="114" t="b">
        <v>1</v>
      </c>
      <c r="AD4" s="162" t="b">
        <v>1</v>
      </c>
      <c r="AE4">
        <f t="shared" ref="AE4:AE67" si="0">--AD4</f>
        <v>1</v>
      </c>
    </row>
    <row r="5" spans="2:35" x14ac:dyDescent="0.25">
      <c r="B5" s="127">
        <v>1</v>
      </c>
      <c r="C5" s="43"/>
      <c r="D5" s="43">
        <v>1</v>
      </c>
      <c r="E5" s="43"/>
      <c r="F5" s="128"/>
      <c r="J5" s="127">
        <v>1</v>
      </c>
      <c r="K5" s="43"/>
      <c r="L5" s="43"/>
      <c r="M5" s="43"/>
      <c r="N5" s="128">
        <v>1</v>
      </c>
      <c r="R5" s="134">
        <v>0</v>
      </c>
      <c r="S5" s="134">
        <v>0</v>
      </c>
      <c r="T5" s="134">
        <v>0</v>
      </c>
      <c r="U5" s="134">
        <v>0</v>
      </c>
      <c r="V5">
        <v>3</v>
      </c>
      <c r="W5">
        <v>0</v>
      </c>
      <c r="AA5" s="163">
        <v>14</v>
      </c>
      <c r="AB5" s="162">
        <v>2.561276736399825</v>
      </c>
      <c r="AC5" s="114" t="b">
        <v>1</v>
      </c>
      <c r="AD5" s="162" t="b">
        <v>0</v>
      </c>
      <c r="AE5">
        <f t="shared" si="0"/>
        <v>0</v>
      </c>
    </row>
    <row r="6" spans="2:35" x14ac:dyDescent="0.25">
      <c r="B6" s="127">
        <v>1</v>
      </c>
      <c r="C6" s="43"/>
      <c r="D6" s="43">
        <v>1</v>
      </c>
      <c r="E6" s="43"/>
      <c r="F6" s="128"/>
      <c r="J6" s="127">
        <v>1</v>
      </c>
      <c r="K6" s="43"/>
      <c r="L6" s="43"/>
      <c r="M6" s="43"/>
      <c r="N6" s="128">
        <v>1</v>
      </c>
      <c r="R6" s="134">
        <v>0</v>
      </c>
      <c r="S6" s="134">
        <v>0</v>
      </c>
      <c r="T6" s="134">
        <v>0</v>
      </c>
      <c r="U6" s="134">
        <v>0</v>
      </c>
      <c r="V6">
        <v>0</v>
      </c>
      <c r="W6">
        <v>0</v>
      </c>
      <c r="AA6" s="163">
        <v>21</v>
      </c>
      <c r="AB6" s="162">
        <v>2.9616351034174793</v>
      </c>
      <c r="AC6" s="114" t="b">
        <v>1</v>
      </c>
      <c r="AD6" s="162" t="b">
        <v>0</v>
      </c>
      <c r="AE6">
        <f t="shared" si="0"/>
        <v>0</v>
      </c>
    </row>
    <row r="7" spans="2:35" x14ac:dyDescent="0.25">
      <c r="B7" s="127">
        <v>1</v>
      </c>
      <c r="C7" s="43"/>
      <c r="D7" s="43"/>
      <c r="E7" s="43">
        <v>1</v>
      </c>
      <c r="F7" s="128"/>
      <c r="J7" s="127">
        <v>1</v>
      </c>
      <c r="K7" s="43"/>
      <c r="L7" s="43"/>
      <c r="M7" s="43"/>
      <c r="N7" s="128">
        <v>1</v>
      </c>
      <c r="R7" s="134">
        <v>0</v>
      </c>
      <c r="S7" s="134">
        <v>0</v>
      </c>
      <c r="T7" s="134">
        <v>0</v>
      </c>
      <c r="U7" s="134">
        <v>0.25</v>
      </c>
      <c r="V7">
        <v>2</v>
      </c>
      <c r="W7">
        <v>0</v>
      </c>
      <c r="AA7" s="119">
        <v>1</v>
      </c>
      <c r="AB7" s="166">
        <v>3.2519325164113235</v>
      </c>
      <c r="AC7" s="112" t="b">
        <v>1</v>
      </c>
      <c r="AD7" s="166" t="s">
        <v>48</v>
      </c>
      <c r="AE7" t="e">
        <f t="shared" si="0"/>
        <v>#VALUE!</v>
      </c>
    </row>
    <row r="8" spans="2:35" x14ac:dyDescent="0.25">
      <c r="B8" s="152">
        <v>1</v>
      </c>
      <c r="C8" s="43">
        <v>1</v>
      </c>
      <c r="D8" s="43"/>
      <c r="E8" s="43"/>
      <c r="F8" s="128"/>
      <c r="J8" s="152">
        <v>1</v>
      </c>
      <c r="K8" s="43">
        <v>1</v>
      </c>
      <c r="L8" s="43"/>
      <c r="M8" s="43"/>
      <c r="N8" s="128"/>
      <c r="R8" s="134">
        <v>0.25</v>
      </c>
      <c r="S8" s="134">
        <v>0</v>
      </c>
      <c r="T8" s="134">
        <v>0</v>
      </c>
      <c r="U8" s="134">
        <v>0.2857142857142857</v>
      </c>
      <c r="V8">
        <v>0</v>
      </c>
      <c r="W8">
        <v>0</v>
      </c>
      <c r="AA8" s="119">
        <v>3</v>
      </c>
      <c r="AB8" s="166">
        <v>3.5628588630728451</v>
      </c>
      <c r="AC8" s="112" t="b">
        <v>1</v>
      </c>
      <c r="AD8" s="166" t="s">
        <v>48</v>
      </c>
      <c r="AE8" t="e">
        <f t="shared" si="0"/>
        <v>#VALUE!</v>
      </c>
    </row>
    <row r="9" spans="2:35" x14ac:dyDescent="0.25">
      <c r="B9" s="152">
        <v>1</v>
      </c>
      <c r="C9" s="43">
        <v>1</v>
      </c>
      <c r="D9" s="43"/>
      <c r="E9" s="43"/>
      <c r="F9" s="128"/>
      <c r="J9" s="127">
        <v>2</v>
      </c>
      <c r="K9" s="43"/>
      <c r="L9" s="43"/>
      <c r="M9" s="43"/>
      <c r="N9" s="128">
        <v>1</v>
      </c>
      <c r="R9" s="134">
        <v>0.8</v>
      </c>
      <c r="S9" s="134">
        <v>0</v>
      </c>
      <c r="T9" s="134">
        <v>0</v>
      </c>
      <c r="U9" s="134">
        <v>0.4</v>
      </c>
      <c r="V9">
        <v>1.75</v>
      </c>
      <c r="W9">
        <v>0</v>
      </c>
      <c r="AA9" s="119">
        <v>4</v>
      </c>
      <c r="AB9" s="166">
        <v>3.5803375400930908</v>
      </c>
      <c r="AC9" s="112" t="b">
        <v>1</v>
      </c>
      <c r="AD9" s="166" t="b">
        <v>0</v>
      </c>
      <c r="AE9">
        <f t="shared" si="0"/>
        <v>0</v>
      </c>
    </row>
    <row r="10" spans="2:35" x14ac:dyDescent="0.25">
      <c r="B10" s="152">
        <v>1</v>
      </c>
      <c r="C10" s="43">
        <v>1</v>
      </c>
      <c r="D10" s="43"/>
      <c r="E10" s="43"/>
      <c r="F10" s="128"/>
      <c r="J10" s="127">
        <v>2</v>
      </c>
      <c r="K10" s="43"/>
      <c r="L10" s="43"/>
      <c r="M10" s="43"/>
      <c r="N10" s="128">
        <v>1</v>
      </c>
      <c r="R10" s="134">
        <v>0.9</v>
      </c>
      <c r="S10" s="134">
        <v>0</v>
      </c>
      <c r="T10" s="134">
        <v>0</v>
      </c>
      <c r="U10" s="134">
        <v>0.42857142857142855</v>
      </c>
      <c r="V10">
        <v>3</v>
      </c>
      <c r="W10">
        <v>0.25</v>
      </c>
      <c r="AA10" s="119">
        <v>28</v>
      </c>
      <c r="AB10" s="166">
        <v>4.300260613326599</v>
      </c>
      <c r="AC10" s="112" t="b">
        <v>1</v>
      </c>
      <c r="AD10" s="166" t="b">
        <v>0</v>
      </c>
      <c r="AE10">
        <f t="shared" si="0"/>
        <v>0</v>
      </c>
    </row>
    <row r="11" spans="2:35" x14ac:dyDescent="0.25">
      <c r="B11" s="152">
        <v>1</v>
      </c>
      <c r="C11" s="43">
        <v>1</v>
      </c>
      <c r="D11" s="43"/>
      <c r="E11" s="43"/>
      <c r="F11" s="128"/>
      <c r="J11" s="127">
        <v>3</v>
      </c>
      <c r="K11" s="43"/>
      <c r="L11" s="43"/>
      <c r="M11" s="43"/>
      <c r="N11" s="128">
        <v>1</v>
      </c>
      <c r="R11" s="134">
        <v>1.2857142857142858</v>
      </c>
      <c r="S11" s="134">
        <v>0</v>
      </c>
      <c r="T11" s="134">
        <v>0</v>
      </c>
      <c r="U11" s="134">
        <v>0.5</v>
      </c>
      <c r="V11">
        <v>0.8571428571428571</v>
      </c>
      <c r="W11">
        <v>0.25</v>
      </c>
      <c r="AA11" s="119">
        <v>3</v>
      </c>
      <c r="AB11" s="166">
        <v>4.3197887291493053</v>
      </c>
      <c r="AC11" s="112" t="b">
        <v>1</v>
      </c>
      <c r="AD11" s="166" t="s">
        <v>48</v>
      </c>
      <c r="AE11" t="e">
        <f t="shared" si="0"/>
        <v>#VALUE!</v>
      </c>
    </row>
    <row r="12" spans="2:35" x14ac:dyDescent="0.25">
      <c r="B12" s="127">
        <v>2</v>
      </c>
      <c r="C12" s="43"/>
      <c r="D12" s="43">
        <v>1</v>
      </c>
      <c r="E12" s="43"/>
      <c r="F12" s="128"/>
      <c r="J12" s="127">
        <v>3</v>
      </c>
      <c r="K12" s="43"/>
      <c r="L12" s="43"/>
      <c r="M12" s="43"/>
      <c r="N12" s="128">
        <v>1</v>
      </c>
      <c r="R12" s="134">
        <v>1.5</v>
      </c>
      <c r="S12" s="134">
        <v>0</v>
      </c>
      <c r="T12" s="134">
        <v>0</v>
      </c>
      <c r="U12" s="134">
        <v>0.5</v>
      </c>
      <c r="V12">
        <v>2</v>
      </c>
      <c r="W12">
        <v>0.2857142857142857</v>
      </c>
      <c r="AA12" s="119">
        <v>18</v>
      </c>
      <c r="AB12" s="166">
        <v>4.6325413083978653</v>
      </c>
      <c r="AC12" s="112" t="b">
        <v>1</v>
      </c>
      <c r="AD12" s="166" t="b">
        <v>1</v>
      </c>
      <c r="AE12">
        <f t="shared" si="0"/>
        <v>1</v>
      </c>
    </row>
    <row r="13" spans="2:35" x14ac:dyDescent="0.25">
      <c r="B13" s="127">
        <v>2</v>
      </c>
      <c r="C13" s="43"/>
      <c r="D13" s="43"/>
      <c r="E13" s="43">
        <v>1</v>
      </c>
      <c r="F13" s="128"/>
      <c r="J13" s="127">
        <v>4</v>
      </c>
      <c r="K13" s="43"/>
      <c r="L13" s="43">
        <v>1</v>
      </c>
      <c r="M13" s="43"/>
      <c r="N13" s="128"/>
      <c r="R13" s="134">
        <v>2</v>
      </c>
      <c r="S13" s="134">
        <v>0</v>
      </c>
      <c r="T13" s="134">
        <v>0</v>
      </c>
      <c r="U13" s="134">
        <v>0.6</v>
      </c>
      <c r="V13">
        <v>3</v>
      </c>
      <c r="W13">
        <v>0.4</v>
      </c>
      <c r="AA13" s="163">
        <v>21</v>
      </c>
      <c r="AB13" s="162">
        <v>4.7247557865378278</v>
      </c>
      <c r="AC13" s="114" t="b">
        <v>1</v>
      </c>
      <c r="AD13" s="162" t="b">
        <v>1</v>
      </c>
      <c r="AE13">
        <f t="shared" si="0"/>
        <v>1</v>
      </c>
    </row>
    <row r="14" spans="2:35" x14ac:dyDescent="0.25">
      <c r="B14" s="127">
        <v>2</v>
      </c>
      <c r="C14" s="43"/>
      <c r="D14" s="43"/>
      <c r="E14" s="43">
        <v>1</v>
      </c>
      <c r="F14" s="128"/>
      <c r="J14" s="127">
        <v>4</v>
      </c>
      <c r="K14" s="43"/>
      <c r="L14" s="43"/>
      <c r="M14" s="43"/>
      <c r="N14" s="128">
        <v>1</v>
      </c>
      <c r="R14" s="134">
        <v>2</v>
      </c>
      <c r="S14" s="134">
        <v>0</v>
      </c>
      <c r="T14" s="134">
        <v>0</v>
      </c>
      <c r="U14" s="134">
        <v>0.66666666666666663</v>
      </c>
      <c r="V14">
        <v>2</v>
      </c>
      <c r="W14">
        <v>0.42857142857142855</v>
      </c>
      <c r="AA14" s="163">
        <v>3</v>
      </c>
      <c r="AB14" s="162">
        <v>4.9111080483824088</v>
      </c>
      <c r="AC14" s="114" t="b">
        <v>1</v>
      </c>
      <c r="AD14" s="162" t="s">
        <v>48</v>
      </c>
      <c r="AE14" t="e">
        <f t="shared" si="0"/>
        <v>#VALUE!</v>
      </c>
    </row>
    <row r="15" spans="2:35" x14ac:dyDescent="0.25">
      <c r="B15" s="127">
        <v>2</v>
      </c>
      <c r="C15" s="43">
        <v>1</v>
      </c>
      <c r="D15" s="43"/>
      <c r="E15" s="43"/>
      <c r="F15" s="128"/>
      <c r="J15" s="127">
        <v>4</v>
      </c>
      <c r="K15" s="43"/>
      <c r="L15" s="43"/>
      <c r="M15" s="43"/>
      <c r="N15" s="128">
        <v>1</v>
      </c>
      <c r="R15" s="134">
        <v>2</v>
      </c>
      <c r="S15" s="134">
        <v>0</v>
      </c>
      <c r="T15" s="134">
        <v>0</v>
      </c>
      <c r="U15" s="134">
        <v>0.7</v>
      </c>
      <c r="V15">
        <v>1</v>
      </c>
      <c r="W15">
        <v>0.5</v>
      </c>
      <c r="AA15" s="119">
        <v>14</v>
      </c>
      <c r="AB15" s="166">
        <v>4.9314009103004519</v>
      </c>
      <c r="AC15" s="112" t="b">
        <v>1</v>
      </c>
      <c r="AD15" s="166" t="b">
        <v>1</v>
      </c>
      <c r="AE15">
        <f t="shared" si="0"/>
        <v>1</v>
      </c>
    </row>
    <row r="16" spans="2:35" x14ac:dyDescent="0.25">
      <c r="B16" s="127">
        <v>2</v>
      </c>
      <c r="C16" s="43">
        <v>1</v>
      </c>
      <c r="D16" s="43"/>
      <c r="E16" s="43"/>
      <c r="F16" s="128"/>
      <c r="J16" s="127">
        <v>4</v>
      </c>
      <c r="K16" s="43"/>
      <c r="L16" s="43"/>
      <c r="M16" s="43"/>
      <c r="N16" s="128">
        <v>1</v>
      </c>
      <c r="R16" s="134">
        <v>2</v>
      </c>
      <c r="S16" s="134">
        <v>0</v>
      </c>
      <c r="T16" s="134">
        <v>0</v>
      </c>
      <c r="U16" s="134">
        <v>0.83333333333333337</v>
      </c>
      <c r="V16">
        <v>2</v>
      </c>
      <c r="W16">
        <v>0.5</v>
      </c>
      <c r="AA16" s="163">
        <v>2</v>
      </c>
      <c r="AB16" s="162">
        <v>5.1311244293895752</v>
      </c>
      <c r="AC16" s="114" t="b">
        <v>1</v>
      </c>
      <c r="AD16" s="162" t="s">
        <v>48</v>
      </c>
      <c r="AE16" t="e">
        <f t="shared" si="0"/>
        <v>#VALUE!</v>
      </c>
    </row>
    <row r="17" spans="2:31" x14ac:dyDescent="0.25">
      <c r="B17" s="127">
        <v>2</v>
      </c>
      <c r="C17" s="43">
        <v>1</v>
      </c>
      <c r="D17" s="43"/>
      <c r="E17" s="43"/>
      <c r="F17" s="128"/>
      <c r="J17" s="127">
        <v>4</v>
      </c>
      <c r="K17" s="43"/>
      <c r="L17" s="43"/>
      <c r="M17" s="43"/>
      <c r="N17" s="128">
        <v>1</v>
      </c>
      <c r="R17" s="134" t="s">
        <v>18</v>
      </c>
      <c r="S17" s="134">
        <v>0.25</v>
      </c>
      <c r="T17" s="134">
        <v>0</v>
      </c>
      <c r="U17" s="134">
        <v>0.83333333333333337</v>
      </c>
      <c r="V17">
        <v>1.3333333333333333</v>
      </c>
      <c r="W17">
        <v>0.6</v>
      </c>
      <c r="AA17" s="163">
        <v>21</v>
      </c>
      <c r="AB17" s="162">
        <v>5.1833780478435827</v>
      </c>
      <c r="AC17" s="114" t="b">
        <v>1</v>
      </c>
      <c r="AD17" s="162" t="b">
        <v>1</v>
      </c>
      <c r="AE17">
        <f t="shared" si="0"/>
        <v>1</v>
      </c>
    </row>
    <row r="18" spans="2:31" x14ac:dyDescent="0.25">
      <c r="B18" s="127">
        <v>3</v>
      </c>
      <c r="C18" s="43"/>
      <c r="D18" s="43">
        <v>1</v>
      </c>
      <c r="E18" s="43"/>
      <c r="F18" s="128"/>
      <c r="J18" s="152">
        <v>4</v>
      </c>
      <c r="K18" s="43">
        <v>1</v>
      </c>
      <c r="L18" s="43"/>
      <c r="M18" s="43"/>
      <c r="N18" s="128"/>
      <c r="R18" s="134" t="s">
        <v>18</v>
      </c>
      <c r="S18" s="134">
        <v>0.2857142857142857</v>
      </c>
      <c r="T18" s="134">
        <v>0</v>
      </c>
      <c r="U18" s="134">
        <v>0.88888888888888884</v>
      </c>
      <c r="V18">
        <v>0</v>
      </c>
      <c r="W18">
        <v>0.66666666666666663</v>
      </c>
      <c r="AA18" s="119">
        <v>18</v>
      </c>
      <c r="AB18" s="166">
        <v>5.4196286660082098</v>
      </c>
      <c r="AC18" s="112" t="b">
        <v>1</v>
      </c>
      <c r="AD18" s="166" t="b">
        <v>1</v>
      </c>
      <c r="AE18">
        <f t="shared" si="0"/>
        <v>1</v>
      </c>
    </row>
    <row r="19" spans="2:31" x14ac:dyDescent="0.25">
      <c r="B19" s="127">
        <v>3</v>
      </c>
      <c r="C19" s="43"/>
      <c r="D19" s="43">
        <v>1</v>
      </c>
      <c r="E19" s="43"/>
      <c r="F19" s="128"/>
      <c r="J19" s="127">
        <v>7</v>
      </c>
      <c r="K19" s="43"/>
      <c r="L19" s="43">
        <v>1</v>
      </c>
      <c r="M19" s="43"/>
      <c r="N19" s="128"/>
      <c r="R19" s="134" t="s">
        <v>18</v>
      </c>
      <c r="S19" s="134">
        <v>0.4</v>
      </c>
      <c r="T19" s="134">
        <v>0.25</v>
      </c>
      <c r="U19" s="134">
        <v>0.88888888888888884</v>
      </c>
      <c r="V19">
        <v>0.66666666666666663</v>
      </c>
      <c r="W19">
        <v>0.66666666666666663</v>
      </c>
      <c r="AA19" s="119">
        <v>28</v>
      </c>
      <c r="AB19" s="166">
        <v>5.5038573877449251</v>
      </c>
      <c r="AC19" s="112" t="b">
        <v>1</v>
      </c>
      <c r="AD19" s="166" t="b">
        <v>1</v>
      </c>
      <c r="AE19">
        <f t="shared" si="0"/>
        <v>1</v>
      </c>
    </row>
    <row r="20" spans="2:31" x14ac:dyDescent="0.25">
      <c r="B20" s="127">
        <v>3</v>
      </c>
      <c r="C20" s="43"/>
      <c r="D20" s="43">
        <v>1</v>
      </c>
      <c r="E20" s="43"/>
      <c r="F20" s="128"/>
      <c r="J20" s="127">
        <v>7</v>
      </c>
      <c r="K20" s="43"/>
      <c r="L20" s="43">
        <v>1</v>
      </c>
      <c r="M20" s="43"/>
      <c r="N20" s="128"/>
      <c r="R20" s="134" t="s">
        <v>18</v>
      </c>
      <c r="S20" s="134">
        <v>0.42857142857142855</v>
      </c>
      <c r="T20" s="134">
        <v>0.66666666666666663</v>
      </c>
      <c r="U20" s="134">
        <v>1</v>
      </c>
      <c r="V20">
        <v>0</v>
      </c>
      <c r="W20">
        <v>0.7</v>
      </c>
      <c r="AA20" s="119">
        <v>9</v>
      </c>
      <c r="AB20" s="166">
        <v>5.5717065031457054</v>
      </c>
      <c r="AC20" s="112" t="b">
        <v>1</v>
      </c>
      <c r="AD20" s="166" t="b">
        <v>1</v>
      </c>
      <c r="AE20">
        <f t="shared" si="0"/>
        <v>1</v>
      </c>
    </row>
    <row r="21" spans="2:31" x14ac:dyDescent="0.25">
      <c r="B21" s="127">
        <v>3</v>
      </c>
      <c r="C21" s="43"/>
      <c r="D21" s="43">
        <v>1</v>
      </c>
      <c r="E21" s="43"/>
      <c r="F21" s="128"/>
      <c r="J21" s="127">
        <v>7</v>
      </c>
      <c r="K21" s="43"/>
      <c r="L21" s="43">
        <v>1</v>
      </c>
      <c r="M21" s="43"/>
      <c r="N21" s="128"/>
      <c r="R21" s="134" t="s">
        <v>18</v>
      </c>
      <c r="S21" s="134">
        <v>0.5</v>
      </c>
      <c r="T21" s="134">
        <v>0.7142857142857143</v>
      </c>
      <c r="U21" s="134">
        <v>1</v>
      </c>
      <c r="V21">
        <v>0</v>
      </c>
      <c r="W21">
        <v>0.7142857142857143</v>
      </c>
      <c r="AA21" s="163">
        <v>36</v>
      </c>
      <c r="AB21" s="162">
        <v>5.5789427662244995</v>
      </c>
      <c r="AC21" s="114" t="b">
        <v>1</v>
      </c>
      <c r="AD21" s="162" t="b">
        <v>1</v>
      </c>
      <c r="AE21">
        <f t="shared" si="0"/>
        <v>1</v>
      </c>
    </row>
    <row r="22" spans="2:31" x14ac:dyDescent="0.25">
      <c r="B22" s="127">
        <v>3</v>
      </c>
      <c r="C22" s="43">
        <v>1</v>
      </c>
      <c r="D22" s="43"/>
      <c r="E22" s="43"/>
      <c r="F22" s="128"/>
      <c r="J22" s="127">
        <v>7</v>
      </c>
      <c r="K22" s="43"/>
      <c r="L22" s="43">
        <v>1</v>
      </c>
      <c r="M22" s="43"/>
      <c r="N22" s="128"/>
      <c r="R22" s="134" t="s">
        <v>18</v>
      </c>
      <c r="S22" s="134">
        <v>0.5</v>
      </c>
      <c r="T22" s="134">
        <v>0.8</v>
      </c>
      <c r="U22" s="134">
        <v>1</v>
      </c>
      <c r="V22">
        <v>1</v>
      </c>
      <c r="W22">
        <v>0.8</v>
      </c>
      <c r="AA22" s="119">
        <v>21</v>
      </c>
      <c r="AB22" s="166">
        <v>5.6440937744581383</v>
      </c>
      <c r="AC22" s="112" t="b">
        <v>1</v>
      </c>
      <c r="AD22" s="166" t="b">
        <v>1</v>
      </c>
      <c r="AE22">
        <f t="shared" si="0"/>
        <v>1</v>
      </c>
    </row>
    <row r="23" spans="2:31" x14ac:dyDescent="0.25">
      <c r="B23" s="127">
        <v>3</v>
      </c>
      <c r="C23" s="43">
        <v>1</v>
      </c>
      <c r="D23" s="43"/>
      <c r="E23" s="43"/>
      <c r="F23" s="128"/>
      <c r="J23" s="127">
        <v>7</v>
      </c>
      <c r="K23" s="43"/>
      <c r="L23" s="43">
        <v>1</v>
      </c>
      <c r="M23" s="43"/>
      <c r="N23" s="128"/>
      <c r="R23" s="134" t="s">
        <v>18</v>
      </c>
      <c r="S23" s="134">
        <v>0.6</v>
      </c>
      <c r="T23" s="134">
        <v>0.9</v>
      </c>
      <c r="U23" s="134">
        <v>1</v>
      </c>
      <c r="V23">
        <v>1.1428571428571428</v>
      </c>
      <c r="W23">
        <v>0.83333333333333337</v>
      </c>
      <c r="AA23" s="119">
        <v>7</v>
      </c>
      <c r="AB23" s="166">
        <v>5.718170236417075</v>
      </c>
      <c r="AC23" s="112" t="b">
        <v>1</v>
      </c>
      <c r="AD23" s="166" t="b">
        <v>0</v>
      </c>
      <c r="AE23">
        <f t="shared" si="0"/>
        <v>0</v>
      </c>
    </row>
    <row r="24" spans="2:31" x14ac:dyDescent="0.25">
      <c r="B24" s="127">
        <v>3</v>
      </c>
      <c r="C24" s="43">
        <v>1</v>
      </c>
      <c r="D24" s="43"/>
      <c r="E24" s="43"/>
      <c r="F24" s="128"/>
      <c r="J24" s="127">
        <v>7</v>
      </c>
      <c r="K24" s="43"/>
      <c r="L24" s="43">
        <v>1</v>
      </c>
      <c r="M24" s="43"/>
      <c r="N24" s="128"/>
      <c r="R24" s="134" t="s">
        <v>18</v>
      </c>
      <c r="S24" s="134">
        <v>0.66666666666666663</v>
      </c>
      <c r="T24" s="134">
        <v>1.2857142857142858</v>
      </c>
      <c r="U24" s="134">
        <v>1</v>
      </c>
      <c r="V24">
        <v>1</v>
      </c>
      <c r="W24">
        <v>0.83333333333333337</v>
      </c>
      <c r="AA24" s="163">
        <v>28</v>
      </c>
      <c r="AB24" s="162">
        <v>5.7182209259821439</v>
      </c>
      <c r="AC24" s="114" t="b">
        <v>1</v>
      </c>
      <c r="AD24" s="162" t="b">
        <v>1</v>
      </c>
      <c r="AE24">
        <f t="shared" si="0"/>
        <v>1</v>
      </c>
    </row>
    <row r="25" spans="2:31" x14ac:dyDescent="0.25">
      <c r="B25" s="127">
        <v>3</v>
      </c>
      <c r="C25" s="43">
        <v>1</v>
      </c>
      <c r="D25" s="43"/>
      <c r="E25" s="43"/>
      <c r="F25" s="128"/>
      <c r="J25" s="127">
        <v>7</v>
      </c>
      <c r="K25" s="43"/>
      <c r="L25" s="43">
        <v>1</v>
      </c>
      <c r="M25" s="43"/>
      <c r="N25" s="128"/>
      <c r="R25" s="134" t="s">
        <v>18</v>
      </c>
      <c r="S25" s="134">
        <v>0.66666666666666663</v>
      </c>
      <c r="T25" s="134">
        <v>1.5</v>
      </c>
      <c r="U25" s="134">
        <v>1</v>
      </c>
      <c r="V25">
        <v>0.75</v>
      </c>
      <c r="W25">
        <v>0.88888888888888884</v>
      </c>
      <c r="AA25" s="163">
        <v>17</v>
      </c>
      <c r="AB25" s="162">
        <v>5.7331972651065692</v>
      </c>
      <c r="AC25" s="114" t="b">
        <v>1</v>
      </c>
      <c r="AD25" s="162" t="b">
        <v>1</v>
      </c>
      <c r="AE25">
        <f t="shared" si="0"/>
        <v>1</v>
      </c>
    </row>
    <row r="26" spans="2:31" x14ac:dyDescent="0.25">
      <c r="B26" s="127">
        <v>4</v>
      </c>
      <c r="C26" s="43"/>
      <c r="D26" s="43">
        <v>1</v>
      </c>
      <c r="E26" s="43"/>
      <c r="F26" s="128"/>
      <c r="J26" s="127">
        <v>7</v>
      </c>
      <c r="K26" s="43"/>
      <c r="L26" s="43">
        <v>1</v>
      </c>
      <c r="M26" s="43"/>
      <c r="N26" s="128"/>
      <c r="R26" s="134" t="s">
        <v>18</v>
      </c>
      <c r="S26" s="134">
        <v>0.7</v>
      </c>
      <c r="T26" s="134">
        <v>1.6666666666666667</v>
      </c>
      <c r="U26" s="134">
        <v>1</v>
      </c>
      <c r="V26">
        <v>0</v>
      </c>
      <c r="W26">
        <v>0.88888888888888884</v>
      </c>
      <c r="AA26" s="119">
        <v>18</v>
      </c>
      <c r="AB26" s="166">
        <v>5.7502931227494098</v>
      </c>
      <c r="AC26" s="112" t="b">
        <v>1</v>
      </c>
      <c r="AD26" s="166" t="b">
        <v>1</v>
      </c>
      <c r="AE26">
        <f t="shared" si="0"/>
        <v>1</v>
      </c>
    </row>
    <row r="27" spans="2:31" x14ac:dyDescent="0.25">
      <c r="B27" s="127">
        <v>4</v>
      </c>
      <c r="C27" s="43"/>
      <c r="D27" s="43"/>
      <c r="E27" s="43"/>
      <c r="F27" s="128">
        <v>1</v>
      </c>
      <c r="J27" s="127">
        <v>7</v>
      </c>
      <c r="K27" s="43"/>
      <c r="L27" s="43">
        <v>1</v>
      </c>
      <c r="M27" s="43"/>
      <c r="N27" s="128"/>
      <c r="R27" s="134" t="s">
        <v>18</v>
      </c>
      <c r="S27" s="134">
        <v>0.7142857142857143</v>
      </c>
      <c r="T27" s="134">
        <v>1.8</v>
      </c>
      <c r="U27" s="134">
        <v>1</v>
      </c>
      <c r="V27">
        <v>1.2</v>
      </c>
      <c r="W27">
        <v>0.9</v>
      </c>
      <c r="AA27" s="119">
        <v>14</v>
      </c>
      <c r="AB27" s="166">
        <v>5.7633373812964841</v>
      </c>
      <c r="AC27" s="112" t="b">
        <v>1</v>
      </c>
      <c r="AD27" s="166" t="b">
        <v>1</v>
      </c>
      <c r="AE27">
        <f t="shared" si="0"/>
        <v>1</v>
      </c>
    </row>
    <row r="28" spans="2:31" x14ac:dyDescent="0.25">
      <c r="B28" s="127">
        <v>4</v>
      </c>
      <c r="C28" s="43">
        <v>1</v>
      </c>
      <c r="D28" s="43"/>
      <c r="E28" s="43"/>
      <c r="F28" s="128"/>
      <c r="J28" s="127">
        <v>7</v>
      </c>
      <c r="K28" s="43"/>
      <c r="L28" s="43">
        <v>1</v>
      </c>
      <c r="M28" s="43"/>
      <c r="N28" s="128"/>
      <c r="R28" s="134" t="s">
        <v>18</v>
      </c>
      <c r="S28" s="134">
        <v>0.83333333333333337</v>
      </c>
      <c r="T28" s="134">
        <v>2</v>
      </c>
      <c r="U28" s="134">
        <v>1</v>
      </c>
      <c r="V28">
        <v>1</v>
      </c>
      <c r="W28">
        <v>1</v>
      </c>
      <c r="AA28" s="119">
        <v>28</v>
      </c>
      <c r="AB28" s="166">
        <v>5.8307252863743972</v>
      </c>
      <c r="AC28" s="112" t="b">
        <v>1</v>
      </c>
      <c r="AD28" s="166" t="b">
        <v>1</v>
      </c>
      <c r="AE28">
        <f t="shared" si="0"/>
        <v>1</v>
      </c>
    </row>
    <row r="29" spans="2:31" x14ac:dyDescent="0.25">
      <c r="B29" s="127">
        <v>7</v>
      </c>
      <c r="C29" s="43"/>
      <c r="D29" s="43">
        <v>1</v>
      </c>
      <c r="E29" s="43"/>
      <c r="F29" s="128"/>
      <c r="J29" s="127">
        <v>7</v>
      </c>
      <c r="K29" s="43"/>
      <c r="L29" s="43">
        <v>1</v>
      </c>
      <c r="M29" s="43"/>
      <c r="N29" s="128"/>
      <c r="R29" s="134" t="s">
        <v>18</v>
      </c>
      <c r="S29" s="134">
        <v>0.83333333333333337</v>
      </c>
      <c r="T29" s="134">
        <v>2</v>
      </c>
      <c r="U29" s="134">
        <v>1</v>
      </c>
      <c r="V29">
        <v>2</v>
      </c>
      <c r="W29">
        <v>1</v>
      </c>
      <c r="AA29" s="119">
        <v>3</v>
      </c>
      <c r="AB29" s="166">
        <v>5.876646148609483</v>
      </c>
      <c r="AC29" s="112" t="b">
        <v>1</v>
      </c>
      <c r="AD29" s="166" t="s">
        <v>48</v>
      </c>
      <c r="AE29" t="e">
        <f t="shared" si="0"/>
        <v>#VALUE!</v>
      </c>
    </row>
    <row r="30" spans="2:31" x14ac:dyDescent="0.25">
      <c r="B30" s="127">
        <v>7</v>
      </c>
      <c r="C30" s="43"/>
      <c r="D30" s="43">
        <v>1</v>
      </c>
      <c r="E30" s="43"/>
      <c r="F30" s="128"/>
      <c r="J30" s="127">
        <v>7</v>
      </c>
      <c r="K30" s="43"/>
      <c r="L30" s="43">
        <v>1</v>
      </c>
      <c r="M30" s="43"/>
      <c r="N30" s="128"/>
      <c r="R30" s="134" t="s">
        <v>18</v>
      </c>
      <c r="S30" s="134">
        <v>0.88888888888888884</v>
      </c>
      <c r="T30" s="134">
        <v>2</v>
      </c>
      <c r="U30" s="134">
        <v>1</v>
      </c>
      <c r="V30">
        <v>1.75</v>
      </c>
      <c r="W30">
        <v>1</v>
      </c>
      <c r="AA30" s="163">
        <v>7</v>
      </c>
      <c r="AB30" s="162">
        <v>5.9181729801431446</v>
      </c>
      <c r="AC30" s="114" t="b">
        <v>1</v>
      </c>
      <c r="AD30" s="162" t="b">
        <v>1</v>
      </c>
      <c r="AE30">
        <f t="shared" si="0"/>
        <v>1</v>
      </c>
    </row>
    <row r="31" spans="2:31" x14ac:dyDescent="0.25">
      <c r="B31" s="127">
        <v>7</v>
      </c>
      <c r="C31" s="43"/>
      <c r="D31" s="43">
        <v>1</v>
      </c>
      <c r="E31" s="43"/>
      <c r="F31" s="128"/>
      <c r="J31" s="127">
        <v>7</v>
      </c>
      <c r="K31" s="43"/>
      <c r="L31" s="43">
        <v>1</v>
      </c>
      <c r="M31" s="43"/>
      <c r="N31" s="128"/>
      <c r="R31" s="134" t="s">
        <v>18</v>
      </c>
      <c r="S31" s="134">
        <v>0.88888888888888884</v>
      </c>
      <c r="T31" s="134">
        <v>2</v>
      </c>
      <c r="U31" s="134">
        <v>1</v>
      </c>
      <c r="V31">
        <v>3</v>
      </c>
      <c r="W31">
        <v>1</v>
      </c>
      <c r="AA31" s="163">
        <v>21</v>
      </c>
      <c r="AB31" s="162">
        <v>5.9486393463445619</v>
      </c>
      <c r="AC31" s="114" t="b">
        <v>1</v>
      </c>
      <c r="AD31" s="162" t="b">
        <v>0</v>
      </c>
      <c r="AE31">
        <f t="shared" si="0"/>
        <v>0</v>
      </c>
    </row>
    <row r="32" spans="2:31" x14ac:dyDescent="0.25">
      <c r="B32" s="127">
        <v>7</v>
      </c>
      <c r="C32" s="43"/>
      <c r="D32" s="43">
        <v>1</v>
      </c>
      <c r="E32" s="43"/>
      <c r="F32" s="128"/>
      <c r="J32" s="127">
        <v>7</v>
      </c>
      <c r="K32" s="43"/>
      <c r="L32" s="43">
        <v>1</v>
      </c>
      <c r="M32" s="43"/>
      <c r="N32" s="128"/>
      <c r="R32" s="134" t="s">
        <v>18</v>
      </c>
      <c r="S32" s="134">
        <v>1</v>
      </c>
      <c r="T32" s="134">
        <v>2.2000000000000002</v>
      </c>
      <c r="U32" s="134">
        <v>1.125</v>
      </c>
      <c r="V32">
        <v>1</v>
      </c>
      <c r="W32">
        <v>1</v>
      </c>
      <c r="AA32" s="163">
        <v>1</v>
      </c>
      <c r="AB32" s="162">
        <v>6.3005041811589102</v>
      </c>
      <c r="AC32" s="114" t="b">
        <v>1</v>
      </c>
      <c r="AD32" s="162" t="s">
        <v>48</v>
      </c>
      <c r="AE32" t="e">
        <f t="shared" si="0"/>
        <v>#VALUE!</v>
      </c>
    </row>
    <row r="33" spans="2:31" x14ac:dyDescent="0.25">
      <c r="B33" s="127">
        <v>7</v>
      </c>
      <c r="C33" s="43"/>
      <c r="D33" s="43">
        <v>1</v>
      </c>
      <c r="E33" s="43"/>
      <c r="F33" s="128"/>
      <c r="G33" s="43"/>
      <c r="J33" s="127">
        <v>7</v>
      </c>
      <c r="K33" s="43"/>
      <c r="L33" s="43">
        <v>1</v>
      </c>
      <c r="M33" s="43"/>
      <c r="N33" s="128"/>
      <c r="R33" s="134" t="s">
        <v>18</v>
      </c>
      <c r="S33" s="134">
        <v>1</v>
      </c>
      <c r="T33" s="134">
        <v>3</v>
      </c>
      <c r="U33" s="134">
        <v>1.1428571428571428</v>
      </c>
      <c r="V33">
        <v>0.83333333333333337</v>
      </c>
      <c r="W33">
        <v>1</v>
      </c>
      <c r="AA33" s="163">
        <v>11</v>
      </c>
      <c r="AB33" s="162">
        <v>6.4700295444268336</v>
      </c>
      <c r="AC33" s="114" t="b">
        <v>1</v>
      </c>
      <c r="AD33" s="162" t="b">
        <v>1</v>
      </c>
      <c r="AE33">
        <f t="shared" si="0"/>
        <v>1</v>
      </c>
    </row>
    <row r="34" spans="2:31" x14ac:dyDescent="0.25">
      <c r="B34" s="127">
        <v>7</v>
      </c>
      <c r="C34" s="43"/>
      <c r="D34" s="43">
        <v>1</v>
      </c>
      <c r="E34" s="43"/>
      <c r="F34" s="128"/>
      <c r="G34" s="43"/>
      <c r="J34" s="127">
        <v>7</v>
      </c>
      <c r="K34" s="43"/>
      <c r="L34" s="43">
        <v>1</v>
      </c>
      <c r="M34" s="43"/>
      <c r="N34" s="128"/>
      <c r="R34" s="134" t="s">
        <v>18</v>
      </c>
      <c r="S34" s="134">
        <v>1</v>
      </c>
      <c r="T34" s="134" t="s">
        <v>18</v>
      </c>
      <c r="U34" s="134">
        <v>1.1666666666666667</v>
      </c>
      <c r="V34">
        <v>2.5</v>
      </c>
      <c r="W34">
        <v>1</v>
      </c>
      <c r="AA34" s="119">
        <v>14</v>
      </c>
      <c r="AB34" s="166">
        <v>6.5253325128373367</v>
      </c>
      <c r="AC34" s="112" t="b">
        <v>1</v>
      </c>
      <c r="AD34" s="166" t="b">
        <v>1</v>
      </c>
      <c r="AE34">
        <f t="shared" si="0"/>
        <v>1</v>
      </c>
    </row>
    <row r="35" spans="2:31" x14ac:dyDescent="0.25">
      <c r="B35" s="127">
        <v>7</v>
      </c>
      <c r="C35" s="43"/>
      <c r="D35" s="43">
        <v>1</v>
      </c>
      <c r="E35" s="43"/>
      <c r="F35" s="128"/>
      <c r="G35" s="43"/>
      <c r="J35" s="127">
        <v>7</v>
      </c>
      <c r="K35" s="43"/>
      <c r="L35" s="43">
        <v>1</v>
      </c>
      <c r="M35" s="43"/>
      <c r="N35" s="128"/>
      <c r="R35" s="134" t="s">
        <v>18</v>
      </c>
      <c r="S35" s="134">
        <v>1</v>
      </c>
      <c r="T35" s="134" t="s">
        <v>18</v>
      </c>
      <c r="U35" s="134">
        <v>1.2</v>
      </c>
      <c r="V35">
        <v>0.5</v>
      </c>
      <c r="W35">
        <v>1</v>
      </c>
      <c r="AA35" s="119">
        <v>7</v>
      </c>
      <c r="AB35" s="166">
        <v>6.6291913775750517</v>
      </c>
      <c r="AC35" s="112" t="b">
        <v>1</v>
      </c>
      <c r="AD35" s="166" t="b">
        <v>1</v>
      </c>
      <c r="AE35">
        <f t="shared" si="0"/>
        <v>1</v>
      </c>
    </row>
    <row r="36" spans="2:31" x14ac:dyDescent="0.25">
      <c r="B36" s="127">
        <v>7</v>
      </c>
      <c r="C36" s="43"/>
      <c r="D36" s="43"/>
      <c r="E36" s="43">
        <v>1</v>
      </c>
      <c r="F36" s="128"/>
      <c r="G36" s="43"/>
      <c r="J36" s="127">
        <v>7</v>
      </c>
      <c r="K36" s="43"/>
      <c r="L36" s="43">
        <v>1</v>
      </c>
      <c r="M36" s="43"/>
      <c r="N36" s="128"/>
      <c r="R36" s="134" t="s">
        <v>18</v>
      </c>
      <c r="S36" s="134">
        <v>1</v>
      </c>
      <c r="T36" s="134" t="s">
        <v>18</v>
      </c>
      <c r="U36" s="134">
        <v>1.25</v>
      </c>
      <c r="V36">
        <v>0.66666666666666663</v>
      </c>
      <c r="W36">
        <v>1</v>
      </c>
      <c r="AA36" s="119">
        <v>18</v>
      </c>
      <c r="AB36" s="166">
        <v>6.6316040630918813</v>
      </c>
      <c r="AC36" s="112" t="b">
        <v>1</v>
      </c>
      <c r="AD36" s="166" t="b">
        <v>1</v>
      </c>
      <c r="AE36">
        <f t="shared" si="0"/>
        <v>1</v>
      </c>
    </row>
    <row r="37" spans="2:31" x14ac:dyDescent="0.25">
      <c r="B37" s="127">
        <v>7</v>
      </c>
      <c r="C37" s="43"/>
      <c r="D37" s="43"/>
      <c r="E37" s="43">
        <v>1</v>
      </c>
      <c r="F37" s="128"/>
      <c r="G37" s="43"/>
      <c r="J37" s="127">
        <v>7</v>
      </c>
      <c r="K37" s="43"/>
      <c r="L37" s="43"/>
      <c r="M37" s="43">
        <v>1</v>
      </c>
      <c r="N37" s="128"/>
      <c r="R37" s="134" t="s">
        <v>18</v>
      </c>
      <c r="S37" s="134">
        <v>1</v>
      </c>
      <c r="T37" s="134" t="s">
        <v>18</v>
      </c>
      <c r="U37" s="134">
        <v>1.25</v>
      </c>
      <c r="V37">
        <v>2.6666666666666665</v>
      </c>
      <c r="W37">
        <v>1</v>
      </c>
      <c r="AA37" s="119">
        <v>14</v>
      </c>
      <c r="AB37" s="166">
        <v>6.6838365199355119</v>
      </c>
      <c r="AC37" s="112" t="b">
        <v>1</v>
      </c>
      <c r="AD37" s="166" t="b">
        <v>1</v>
      </c>
      <c r="AE37">
        <f t="shared" si="0"/>
        <v>1</v>
      </c>
    </row>
    <row r="38" spans="2:31" x14ac:dyDescent="0.25">
      <c r="B38" s="127">
        <v>7</v>
      </c>
      <c r="C38" s="43"/>
      <c r="D38" s="43"/>
      <c r="E38" s="43"/>
      <c r="F38" s="128">
        <v>1</v>
      </c>
      <c r="G38" s="43"/>
      <c r="J38" s="127">
        <v>7</v>
      </c>
      <c r="K38" s="43"/>
      <c r="L38" s="43"/>
      <c r="M38" s="43">
        <v>1</v>
      </c>
      <c r="N38" s="128"/>
      <c r="R38" s="134" t="s">
        <v>18</v>
      </c>
      <c r="S38" s="134">
        <v>1</v>
      </c>
      <c r="T38" s="134" t="s">
        <v>18</v>
      </c>
      <c r="U38" s="134">
        <v>1.25</v>
      </c>
      <c r="V38">
        <v>1</v>
      </c>
      <c r="W38">
        <v>1</v>
      </c>
      <c r="AA38" s="163">
        <v>15</v>
      </c>
      <c r="AB38" s="162">
        <v>6.7213802279845138</v>
      </c>
      <c r="AC38" s="114" t="b">
        <v>1</v>
      </c>
      <c r="AD38" s="162" t="b">
        <v>1</v>
      </c>
      <c r="AE38">
        <f t="shared" si="0"/>
        <v>1</v>
      </c>
    </row>
    <row r="39" spans="2:31" x14ac:dyDescent="0.25">
      <c r="B39" s="127">
        <v>7</v>
      </c>
      <c r="C39" s="43"/>
      <c r="D39" s="43"/>
      <c r="E39" s="43"/>
      <c r="F39" s="128">
        <v>1</v>
      </c>
      <c r="G39" s="43"/>
      <c r="J39" s="127">
        <v>7</v>
      </c>
      <c r="K39" s="43"/>
      <c r="L39" s="43"/>
      <c r="M39" s="43">
        <v>1</v>
      </c>
      <c r="N39" s="128"/>
      <c r="R39" s="134" t="s">
        <v>18</v>
      </c>
      <c r="S39" s="134">
        <v>1</v>
      </c>
      <c r="T39" s="134" t="s">
        <v>18</v>
      </c>
      <c r="U39" s="134">
        <v>1.25</v>
      </c>
      <c r="V39">
        <v>1.6666666666666667</v>
      </c>
      <c r="W39">
        <v>1</v>
      </c>
      <c r="AA39" s="163">
        <v>7</v>
      </c>
      <c r="AB39" s="162">
        <v>6.7325698546571457</v>
      </c>
      <c r="AC39" s="114" t="b">
        <v>1</v>
      </c>
      <c r="AD39" s="162" t="b">
        <v>0</v>
      </c>
      <c r="AE39">
        <f t="shared" si="0"/>
        <v>0</v>
      </c>
    </row>
    <row r="40" spans="2:31" x14ac:dyDescent="0.25">
      <c r="B40" s="127">
        <v>7</v>
      </c>
      <c r="C40" s="43"/>
      <c r="D40" s="43"/>
      <c r="E40" s="43"/>
      <c r="F40" s="128">
        <v>1</v>
      </c>
      <c r="G40" s="43"/>
      <c r="J40" s="127">
        <v>7</v>
      </c>
      <c r="K40" s="43"/>
      <c r="L40" s="43"/>
      <c r="M40" s="43">
        <v>1</v>
      </c>
      <c r="N40" s="128"/>
      <c r="R40" s="134" t="s">
        <v>18</v>
      </c>
      <c r="S40" s="134">
        <v>1</v>
      </c>
      <c r="T40" s="134" t="s">
        <v>18</v>
      </c>
      <c r="U40" s="134">
        <v>1.3333333333333333</v>
      </c>
      <c r="V40">
        <v>1.4</v>
      </c>
      <c r="W40">
        <v>1</v>
      </c>
      <c r="AA40" s="119">
        <v>8</v>
      </c>
      <c r="AB40" s="166">
        <v>6.7593157346352033</v>
      </c>
      <c r="AC40" s="112" t="b">
        <v>1</v>
      </c>
      <c r="AD40" s="166" t="b">
        <v>1</v>
      </c>
      <c r="AE40">
        <f t="shared" si="0"/>
        <v>1</v>
      </c>
    </row>
    <row r="41" spans="2:31" x14ac:dyDescent="0.25">
      <c r="B41" s="127">
        <v>7</v>
      </c>
      <c r="C41" s="43"/>
      <c r="D41" s="43"/>
      <c r="E41" s="43"/>
      <c r="F41" s="128">
        <v>1</v>
      </c>
      <c r="G41" s="43"/>
      <c r="J41" s="127">
        <v>7</v>
      </c>
      <c r="K41" s="43"/>
      <c r="L41" s="43"/>
      <c r="M41" s="43">
        <v>1</v>
      </c>
      <c r="N41" s="128"/>
      <c r="R41" s="134" t="s">
        <v>18</v>
      </c>
      <c r="S41" s="134">
        <v>1</v>
      </c>
      <c r="T41" s="134" t="s">
        <v>18</v>
      </c>
      <c r="U41" s="134">
        <v>1.3333333333333333</v>
      </c>
      <c r="V41">
        <v>1.4285714285714286</v>
      </c>
      <c r="W41">
        <v>1.125</v>
      </c>
      <c r="AA41" s="119">
        <v>10</v>
      </c>
      <c r="AB41" s="166">
        <v>6.8419166868763872</v>
      </c>
      <c r="AC41" s="112" t="b">
        <v>1</v>
      </c>
      <c r="AD41" s="166" t="b">
        <v>1</v>
      </c>
      <c r="AE41">
        <f t="shared" si="0"/>
        <v>1</v>
      </c>
    </row>
    <row r="42" spans="2:31" x14ac:dyDescent="0.25">
      <c r="B42" s="127">
        <v>7</v>
      </c>
      <c r="C42" s="43"/>
      <c r="D42" s="43"/>
      <c r="E42" s="43"/>
      <c r="F42" s="128">
        <v>1</v>
      </c>
      <c r="G42" s="43"/>
      <c r="J42" s="127">
        <v>7</v>
      </c>
      <c r="K42" s="43"/>
      <c r="L42" s="43"/>
      <c r="M42" s="43"/>
      <c r="N42" s="128">
        <v>1</v>
      </c>
      <c r="R42" s="134" t="s">
        <v>18</v>
      </c>
      <c r="S42" s="134">
        <v>1</v>
      </c>
      <c r="T42" s="134" t="s">
        <v>18</v>
      </c>
      <c r="U42" s="134">
        <v>1.3333333333333333</v>
      </c>
      <c r="V42">
        <v>1.3333333333333333</v>
      </c>
      <c r="W42">
        <v>1.1428571428571428</v>
      </c>
      <c r="AA42" s="163">
        <v>14</v>
      </c>
      <c r="AB42" s="162">
        <v>6.9392456108234359</v>
      </c>
      <c r="AC42" s="114" t="b">
        <v>1</v>
      </c>
      <c r="AD42" s="162" t="b">
        <v>1</v>
      </c>
      <c r="AE42">
        <f t="shared" si="0"/>
        <v>1</v>
      </c>
    </row>
    <row r="43" spans="2:31" x14ac:dyDescent="0.25">
      <c r="B43" s="127">
        <v>7</v>
      </c>
      <c r="C43" s="43"/>
      <c r="D43" s="43"/>
      <c r="E43" s="43"/>
      <c r="F43" s="128">
        <v>1</v>
      </c>
      <c r="G43" s="43"/>
      <c r="J43" s="127">
        <v>7</v>
      </c>
      <c r="K43" s="43"/>
      <c r="L43" s="43"/>
      <c r="M43" s="43"/>
      <c r="N43" s="128">
        <v>1</v>
      </c>
      <c r="R43" s="134" t="s">
        <v>18</v>
      </c>
      <c r="S43" s="134">
        <v>1</v>
      </c>
      <c r="T43" s="134" t="s">
        <v>18</v>
      </c>
      <c r="U43" s="134">
        <v>1.4285714285714286</v>
      </c>
      <c r="V43">
        <v>1.5</v>
      </c>
      <c r="W43">
        <v>1.1666666666666667</v>
      </c>
      <c r="AA43" s="163">
        <v>7</v>
      </c>
      <c r="AB43" s="162">
        <v>6.9463264782609819</v>
      </c>
      <c r="AC43" s="114" t="b">
        <v>1</v>
      </c>
      <c r="AD43" s="162" t="b">
        <v>1</v>
      </c>
      <c r="AE43">
        <f t="shared" si="0"/>
        <v>1</v>
      </c>
    </row>
    <row r="44" spans="2:31" x14ac:dyDescent="0.25">
      <c r="B44" s="127">
        <v>7</v>
      </c>
      <c r="C44" s="43"/>
      <c r="D44" s="43"/>
      <c r="E44" s="43"/>
      <c r="F44" s="128">
        <v>1</v>
      </c>
      <c r="G44" s="43"/>
      <c r="H44" s="43"/>
      <c r="J44" s="127">
        <v>7</v>
      </c>
      <c r="K44" s="43"/>
      <c r="L44" s="43"/>
      <c r="M44" s="43"/>
      <c r="N44" s="128">
        <v>1</v>
      </c>
      <c r="R44" s="134" t="s">
        <v>18</v>
      </c>
      <c r="S44" s="134">
        <v>1</v>
      </c>
      <c r="T44" s="134" t="s">
        <v>18</v>
      </c>
      <c r="U44" s="134">
        <v>1.5</v>
      </c>
      <c r="W44">
        <v>1.2</v>
      </c>
      <c r="AA44" s="163">
        <v>36</v>
      </c>
      <c r="AB44" s="162">
        <v>6.9483650342381562</v>
      </c>
      <c r="AC44" s="114" t="b">
        <v>1</v>
      </c>
      <c r="AD44" s="162" t="b">
        <v>1</v>
      </c>
      <c r="AE44">
        <f t="shared" si="0"/>
        <v>1</v>
      </c>
    </row>
    <row r="45" spans="2:31" x14ac:dyDescent="0.25">
      <c r="B45" s="127">
        <v>7</v>
      </c>
      <c r="C45" s="43"/>
      <c r="D45" s="43"/>
      <c r="E45" s="43"/>
      <c r="F45" s="128">
        <v>1</v>
      </c>
      <c r="G45" s="43"/>
      <c r="H45" s="43"/>
      <c r="J45" s="127">
        <v>7</v>
      </c>
      <c r="K45" s="43"/>
      <c r="L45" s="43"/>
      <c r="M45" s="43"/>
      <c r="N45" s="128">
        <v>1</v>
      </c>
      <c r="R45" s="134" t="s">
        <v>18</v>
      </c>
      <c r="S45" s="134">
        <v>1.125</v>
      </c>
      <c r="T45" s="134" t="s">
        <v>18</v>
      </c>
      <c r="U45" s="134">
        <v>1.5</v>
      </c>
      <c r="W45">
        <v>1.25</v>
      </c>
      <c r="AA45" s="119">
        <v>11</v>
      </c>
      <c r="AB45" s="166">
        <v>6.9808266134473271</v>
      </c>
      <c r="AC45" s="112" t="b">
        <v>1</v>
      </c>
      <c r="AD45" s="166" t="b">
        <v>1</v>
      </c>
      <c r="AE45">
        <f t="shared" si="0"/>
        <v>1</v>
      </c>
    </row>
    <row r="46" spans="2:31" x14ac:dyDescent="0.25">
      <c r="B46" s="127">
        <v>7</v>
      </c>
      <c r="C46" s="43"/>
      <c r="D46" s="43"/>
      <c r="E46" s="43"/>
      <c r="F46" s="128">
        <v>1</v>
      </c>
      <c r="G46" s="43"/>
      <c r="H46" s="43"/>
      <c r="J46" s="127">
        <v>7</v>
      </c>
      <c r="K46" s="43"/>
      <c r="L46" s="43"/>
      <c r="M46" s="43"/>
      <c r="N46" s="128">
        <v>1</v>
      </c>
      <c r="R46" s="134" t="s">
        <v>18</v>
      </c>
      <c r="S46" s="134">
        <v>1.1428571428571428</v>
      </c>
      <c r="T46" s="134" t="s">
        <v>18</v>
      </c>
      <c r="U46" s="134">
        <v>1.5</v>
      </c>
      <c r="W46">
        <v>1.25</v>
      </c>
      <c r="AA46" s="119">
        <v>7</v>
      </c>
      <c r="AB46" s="166">
        <v>7.0151375208796951</v>
      </c>
      <c r="AC46" s="112" t="b">
        <v>1</v>
      </c>
      <c r="AD46" s="166" t="b">
        <v>0</v>
      </c>
      <c r="AE46">
        <f t="shared" si="0"/>
        <v>0</v>
      </c>
    </row>
    <row r="47" spans="2:31" x14ac:dyDescent="0.25">
      <c r="B47" s="127">
        <v>7</v>
      </c>
      <c r="C47" s="43"/>
      <c r="D47" s="43"/>
      <c r="E47" s="43"/>
      <c r="F47" s="128">
        <v>1</v>
      </c>
      <c r="G47" s="43"/>
      <c r="H47" s="43"/>
      <c r="J47" s="127">
        <v>7</v>
      </c>
      <c r="K47" s="43"/>
      <c r="L47" s="43"/>
      <c r="M47" s="43"/>
      <c r="N47" s="128">
        <v>1</v>
      </c>
      <c r="R47" s="134" t="s">
        <v>18</v>
      </c>
      <c r="S47" s="134">
        <v>1.1666666666666667</v>
      </c>
      <c r="T47" s="134" t="s">
        <v>18</v>
      </c>
      <c r="U47" s="134">
        <v>1.5</v>
      </c>
      <c r="W47">
        <v>1.25</v>
      </c>
      <c r="AA47" s="119">
        <v>17</v>
      </c>
      <c r="AB47" s="166">
        <v>7.0995839670315029</v>
      </c>
      <c r="AC47" s="112" t="b">
        <v>1</v>
      </c>
      <c r="AD47" s="166" t="b">
        <v>1</v>
      </c>
      <c r="AE47">
        <f t="shared" si="0"/>
        <v>1</v>
      </c>
    </row>
    <row r="48" spans="2:31" x14ac:dyDescent="0.25">
      <c r="B48" s="127">
        <v>7</v>
      </c>
      <c r="C48" s="43"/>
      <c r="D48" s="43"/>
      <c r="E48" s="43"/>
      <c r="F48" s="128">
        <v>1</v>
      </c>
      <c r="G48" s="43"/>
      <c r="H48" s="43"/>
      <c r="J48" s="127">
        <v>7</v>
      </c>
      <c r="K48" s="43"/>
      <c r="L48" s="43"/>
      <c r="M48" s="43"/>
      <c r="N48" s="128">
        <v>1</v>
      </c>
      <c r="R48" s="134" t="s">
        <v>18</v>
      </c>
      <c r="S48" s="134">
        <v>1.2</v>
      </c>
      <c r="T48" s="134" t="s">
        <v>18</v>
      </c>
      <c r="U48" s="134">
        <v>1.5</v>
      </c>
      <c r="W48">
        <v>1.25</v>
      </c>
      <c r="AA48" s="163">
        <v>14</v>
      </c>
      <c r="AB48" s="162">
        <v>7.112078569691155</v>
      </c>
      <c r="AC48" s="114" t="b">
        <v>1</v>
      </c>
      <c r="AD48" s="162" t="b">
        <v>1</v>
      </c>
      <c r="AE48">
        <f t="shared" si="0"/>
        <v>1</v>
      </c>
    </row>
    <row r="49" spans="2:31" x14ac:dyDescent="0.25">
      <c r="B49" s="127">
        <v>7</v>
      </c>
      <c r="C49" s="43"/>
      <c r="D49" s="43"/>
      <c r="E49" s="43"/>
      <c r="F49" s="128">
        <v>1</v>
      </c>
      <c r="G49" s="43"/>
      <c r="H49" s="43"/>
      <c r="J49" s="127">
        <v>7</v>
      </c>
      <c r="K49" s="43"/>
      <c r="L49" s="43"/>
      <c r="M49" s="43"/>
      <c r="N49" s="128">
        <v>1</v>
      </c>
      <c r="R49" s="134" t="s">
        <v>18</v>
      </c>
      <c r="S49" s="134">
        <v>1.25</v>
      </c>
      <c r="T49" s="134" t="s">
        <v>18</v>
      </c>
      <c r="U49" s="134">
        <v>1.5</v>
      </c>
      <c r="W49">
        <v>1.2857142857142858</v>
      </c>
      <c r="AA49" s="163">
        <v>14</v>
      </c>
      <c r="AB49" s="162">
        <v>7.1497947102555814</v>
      </c>
      <c r="AC49" s="114" t="b">
        <v>1</v>
      </c>
      <c r="AD49" s="162" t="b">
        <v>1</v>
      </c>
      <c r="AE49">
        <f t="shared" si="0"/>
        <v>1</v>
      </c>
    </row>
    <row r="50" spans="2:31" x14ac:dyDescent="0.25">
      <c r="B50" s="127">
        <v>7</v>
      </c>
      <c r="C50" s="43"/>
      <c r="D50" s="43"/>
      <c r="E50" s="43"/>
      <c r="F50" s="128">
        <v>1</v>
      </c>
      <c r="G50" s="43"/>
      <c r="H50" s="43"/>
      <c r="J50" s="152">
        <v>7</v>
      </c>
      <c r="K50" s="43">
        <v>1</v>
      </c>
      <c r="L50" s="43"/>
      <c r="M50" s="43"/>
      <c r="N50" s="128"/>
      <c r="R50" s="134" t="s">
        <v>18</v>
      </c>
      <c r="S50" s="134">
        <v>1.25</v>
      </c>
      <c r="T50" s="134" t="s">
        <v>18</v>
      </c>
      <c r="U50" s="134">
        <v>1.5714285714285714</v>
      </c>
      <c r="W50">
        <v>1.3333333333333333</v>
      </c>
      <c r="AA50" s="119">
        <v>15</v>
      </c>
      <c r="AB50" s="166">
        <v>7.2142794282405331</v>
      </c>
      <c r="AC50" s="112" t="b">
        <v>1</v>
      </c>
      <c r="AD50" s="166" t="b">
        <v>0</v>
      </c>
      <c r="AE50">
        <f t="shared" si="0"/>
        <v>0</v>
      </c>
    </row>
    <row r="51" spans="2:31" x14ac:dyDescent="0.25">
      <c r="B51" s="127">
        <v>7</v>
      </c>
      <c r="C51" s="43"/>
      <c r="D51" s="43"/>
      <c r="E51" s="43"/>
      <c r="F51" s="128">
        <v>1</v>
      </c>
      <c r="G51" s="43"/>
      <c r="H51" s="43"/>
      <c r="J51" s="152">
        <v>7</v>
      </c>
      <c r="K51" s="43">
        <v>1</v>
      </c>
      <c r="L51" s="43"/>
      <c r="M51" s="43"/>
      <c r="N51" s="128"/>
      <c r="R51" s="134" t="s">
        <v>18</v>
      </c>
      <c r="S51" s="134">
        <v>1.25</v>
      </c>
      <c r="T51" s="134" t="s">
        <v>18</v>
      </c>
      <c r="U51" s="134">
        <v>1.5714285714285714</v>
      </c>
      <c r="W51">
        <v>1.3333333333333333</v>
      </c>
      <c r="AA51" s="119">
        <v>29</v>
      </c>
      <c r="AB51" s="166">
        <v>7.223791773062942</v>
      </c>
      <c r="AC51" s="112" t="b">
        <v>1</v>
      </c>
      <c r="AD51" s="166" t="b">
        <v>1</v>
      </c>
      <c r="AE51">
        <f t="shared" si="0"/>
        <v>1</v>
      </c>
    </row>
    <row r="52" spans="2:31" x14ac:dyDescent="0.25">
      <c r="B52" s="127">
        <v>7</v>
      </c>
      <c r="C52" s="43"/>
      <c r="D52" s="43"/>
      <c r="E52" s="43"/>
      <c r="F52" s="128">
        <v>1</v>
      </c>
      <c r="G52" s="43"/>
      <c r="H52" s="43"/>
      <c r="J52" s="152">
        <v>7</v>
      </c>
      <c r="K52" s="43">
        <v>1</v>
      </c>
      <c r="L52" s="43"/>
      <c r="M52" s="43"/>
      <c r="N52" s="128"/>
      <c r="R52" s="134" t="s">
        <v>18</v>
      </c>
      <c r="S52" s="134">
        <v>1.25</v>
      </c>
      <c r="T52" s="134" t="s">
        <v>18</v>
      </c>
      <c r="U52" s="134">
        <v>1.5714285714285714</v>
      </c>
      <c r="W52">
        <v>1.3333333333333333</v>
      </c>
      <c r="AA52" s="163">
        <v>17</v>
      </c>
      <c r="AB52" s="162">
        <v>7.2294207264933057</v>
      </c>
      <c r="AC52" s="114" t="b">
        <v>1</v>
      </c>
      <c r="AD52" s="162" t="b">
        <v>1</v>
      </c>
      <c r="AE52">
        <f t="shared" si="0"/>
        <v>1</v>
      </c>
    </row>
    <row r="53" spans="2:31" x14ac:dyDescent="0.25">
      <c r="B53" s="127">
        <v>7</v>
      </c>
      <c r="C53" s="43"/>
      <c r="D53" s="43"/>
      <c r="E53" s="43"/>
      <c r="F53" s="128">
        <v>1</v>
      </c>
      <c r="G53" s="43"/>
      <c r="H53" s="43"/>
      <c r="J53" s="152">
        <v>7</v>
      </c>
      <c r="K53" s="43">
        <v>1</v>
      </c>
      <c r="L53" s="43"/>
      <c r="M53" s="43"/>
      <c r="N53" s="128"/>
      <c r="R53" s="134" t="s">
        <v>18</v>
      </c>
      <c r="S53" s="134">
        <v>1.3333333333333333</v>
      </c>
      <c r="T53" s="134" t="s">
        <v>18</v>
      </c>
      <c r="U53" s="134">
        <v>1.6</v>
      </c>
      <c r="W53">
        <v>1.4285714285714286</v>
      </c>
      <c r="AA53" s="163">
        <v>14</v>
      </c>
      <c r="AB53" s="162">
        <v>7.2641091563058087</v>
      </c>
      <c r="AC53" s="114" t="b">
        <v>1</v>
      </c>
      <c r="AD53" s="162" t="b">
        <v>1</v>
      </c>
      <c r="AE53">
        <f t="shared" si="0"/>
        <v>1</v>
      </c>
    </row>
    <row r="54" spans="2:31" x14ac:dyDescent="0.25">
      <c r="B54" s="127">
        <v>7</v>
      </c>
      <c r="C54" s="43"/>
      <c r="D54" s="43"/>
      <c r="E54" s="43"/>
      <c r="F54" s="128">
        <v>1</v>
      </c>
      <c r="G54" s="43"/>
      <c r="H54" s="43"/>
      <c r="J54" s="152">
        <v>7</v>
      </c>
      <c r="K54" s="43">
        <v>1</v>
      </c>
      <c r="L54" s="43"/>
      <c r="M54" s="43"/>
      <c r="N54" s="128"/>
      <c r="R54" s="134" t="s">
        <v>18</v>
      </c>
      <c r="S54" s="134">
        <v>1.3333333333333333</v>
      </c>
      <c r="T54" s="134" t="s">
        <v>18</v>
      </c>
      <c r="U54" s="134">
        <v>1.6</v>
      </c>
      <c r="W54">
        <v>1.5</v>
      </c>
      <c r="AA54" s="119">
        <v>18</v>
      </c>
      <c r="AB54" s="166">
        <v>7.2759237731076478</v>
      </c>
      <c r="AC54" s="112" t="b">
        <v>1</v>
      </c>
      <c r="AD54" s="166" t="b">
        <v>1</v>
      </c>
      <c r="AE54">
        <f t="shared" si="0"/>
        <v>1</v>
      </c>
    </row>
    <row r="55" spans="2:31" x14ac:dyDescent="0.25">
      <c r="B55" s="127">
        <v>7</v>
      </c>
      <c r="C55" s="43">
        <v>1</v>
      </c>
      <c r="D55" s="43"/>
      <c r="E55" s="43"/>
      <c r="F55" s="128"/>
      <c r="G55" s="43"/>
      <c r="H55" s="43"/>
      <c r="J55" s="152">
        <v>7</v>
      </c>
      <c r="K55" s="43">
        <v>1</v>
      </c>
      <c r="L55" s="43"/>
      <c r="M55" s="43"/>
      <c r="N55" s="128"/>
      <c r="R55" s="134" t="s">
        <v>18</v>
      </c>
      <c r="S55" s="134">
        <v>1.3333333333333333</v>
      </c>
      <c r="T55" s="134" t="s">
        <v>18</v>
      </c>
      <c r="U55" s="134">
        <v>1.6</v>
      </c>
      <c r="W55">
        <v>1.5</v>
      </c>
      <c r="AA55" s="163">
        <v>11</v>
      </c>
      <c r="AB55" s="162">
        <v>7.279466173307906</v>
      </c>
      <c r="AC55" s="114" t="b">
        <v>1</v>
      </c>
      <c r="AD55" s="162" t="b">
        <v>1</v>
      </c>
      <c r="AE55">
        <f t="shared" si="0"/>
        <v>1</v>
      </c>
    </row>
    <row r="56" spans="2:31" x14ac:dyDescent="0.25">
      <c r="B56" s="127">
        <v>7</v>
      </c>
      <c r="C56" s="43">
        <v>1</v>
      </c>
      <c r="D56" s="43"/>
      <c r="E56" s="43"/>
      <c r="F56" s="128"/>
      <c r="G56" s="43"/>
      <c r="H56" s="43"/>
      <c r="J56" s="152">
        <v>7</v>
      </c>
      <c r="K56" s="43">
        <v>1</v>
      </c>
      <c r="L56" s="43"/>
      <c r="M56" s="43"/>
      <c r="N56" s="128"/>
      <c r="R56" s="134" t="s">
        <v>18</v>
      </c>
      <c r="S56" s="134">
        <v>1.4285714285714286</v>
      </c>
      <c r="T56" s="134" t="s">
        <v>18</v>
      </c>
      <c r="U56" s="134">
        <v>1.6666666666666667</v>
      </c>
      <c r="W56">
        <v>1.5</v>
      </c>
      <c r="AA56" s="163">
        <v>39</v>
      </c>
      <c r="AB56" s="114">
        <v>7.3317385407012585</v>
      </c>
      <c r="AC56" s="114" t="b">
        <v>1</v>
      </c>
      <c r="AD56" s="162" t="b">
        <v>1</v>
      </c>
      <c r="AE56">
        <f t="shared" si="0"/>
        <v>1</v>
      </c>
    </row>
    <row r="57" spans="2:31" x14ac:dyDescent="0.25">
      <c r="B57" s="127">
        <v>7</v>
      </c>
      <c r="C57" s="43">
        <v>1</v>
      </c>
      <c r="D57" s="43"/>
      <c r="E57" s="43"/>
      <c r="F57" s="128"/>
      <c r="G57" s="43"/>
      <c r="H57" s="43"/>
      <c r="J57" s="152">
        <v>7</v>
      </c>
      <c r="K57" s="43">
        <v>1</v>
      </c>
      <c r="L57" s="43"/>
      <c r="M57" s="43"/>
      <c r="N57" s="128"/>
      <c r="R57" s="134" t="s">
        <v>18</v>
      </c>
      <c r="S57" s="134">
        <v>1.5</v>
      </c>
      <c r="T57" s="134" t="s">
        <v>18</v>
      </c>
      <c r="U57" s="134">
        <v>1.6666666666666667</v>
      </c>
      <c r="W57">
        <v>1.5</v>
      </c>
      <c r="AA57" s="163">
        <v>7</v>
      </c>
      <c r="AB57" s="162">
        <v>7.4238780086447802</v>
      </c>
      <c r="AC57" s="114" t="b">
        <v>1</v>
      </c>
      <c r="AD57" s="162" t="b">
        <v>1</v>
      </c>
      <c r="AE57">
        <f t="shared" si="0"/>
        <v>1</v>
      </c>
    </row>
    <row r="58" spans="2:31" x14ac:dyDescent="0.25">
      <c r="B58" s="127">
        <v>7</v>
      </c>
      <c r="C58" s="43">
        <v>1</v>
      </c>
      <c r="D58" s="43"/>
      <c r="E58" s="43"/>
      <c r="F58" s="128"/>
      <c r="G58" s="43"/>
      <c r="H58" s="43"/>
      <c r="J58" s="152">
        <v>7</v>
      </c>
      <c r="K58" s="43">
        <v>1</v>
      </c>
      <c r="L58" s="43"/>
      <c r="M58" s="43"/>
      <c r="N58" s="128"/>
      <c r="R58" s="134" t="s">
        <v>18</v>
      </c>
      <c r="S58" s="134">
        <v>1.5</v>
      </c>
      <c r="T58" s="134" t="s">
        <v>18</v>
      </c>
      <c r="U58" s="134">
        <v>1.6666666666666667</v>
      </c>
      <c r="W58">
        <v>1.5</v>
      </c>
      <c r="AA58" s="163">
        <v>16</v>
      </c>
      <c r="AB58" s="162">
        <v>7.4961835147411868</v>
      </c>
      <c r="AC58" s="114" t="b">
        <v>1</v>
      </c>
      <c r="AD58" s="162" t="b">
        <v>1</v>
      </c>
      <c r="AE58">
        <f t="shared" si="0"/>
        <v>1</v>
      </c>
    </row>
    <row r="59" spans="2:31" x14ac:dyDescent="0.25">
      <c r="B59" s="127">
        <v>7</v>
      </c>
      <c r="C59" s="43">
        <v>1</v>
      </c>
      <c r="D59" s="43"/>
      <c r="E59" s="43"/>
      <c r="F59" s="128"/>
      <c r="G59" s="43"/>
      <c r="H59" s="43"/>
      <c r="J59" s="152">
        <v>7</v>
      </c>
      <c r="K59" s="43">
        <v>1</v>
      </c>
      <c r="L59" s="43"/>
      <c r="M59" s="43"/>
      <c r="N59" s="128"/>
      <c r="R59" s="134" t="s">
        <v>18</v>
      </c>
      <c r="S59" s="134">
        <v>1.5</v>
      </c>
      <c r="T59" s="134" t="s">
        <v>18</v>
      </c>
      <c r="U59" s="134">
        <v>1.75</v>
      </c>
      <c r="W59">
        <v>1.5</v>
      </c>
      <c r="AA59" s="119">
        <v>14</v>
      </c>
      <c r="AB59" s="166">
        <v>7.5207127378106371</v>
      </c>
      <c r="AC59" s="112" t="b">
        <v>1</v>
      </c>
      <c r="AD59" s="166" t="b">
        <v>1</v>
      </c>
      <c r="AE59">
        <f t="shared" si="0"/>
        <v>1</v>
      </c>
    </row>
    <row r="60" spans="2:31" x14ac:dyDescent="0.25">
      <c r="B60" s="127">
        <v>7</v>
      </c>
      <c r="C60" s="43">
        <v>1</v>
      </c>
      <c r="D60" s="43"/>
      <c r="E60" s="43"/>
      <c r="F60" s="128"/>
      <c r="G60" s="43"/>
      <c r="H60" s="43"/>
      <c r="J60" s="152">
        <v>7</v>
      </c>
      <c r="K60" s="43">
        <v>1</v>
      </c>
      <c r="L60" s="43"/>
      <c r="M60" s="43"/>
      <c r="N60" s="128"/>
      <c r="R60" s="134" t="s">
        <v>18</v>
      </c>
      <c r="S60" s="134">
        <v>1.5</v>
      </c>
      <c r="T60" s="134" t="s">
        <v>18</v>
      </c>
      <c r="U60" s="134">
        <v>1.75</v>
      </c>
      <c r="W60">
        <v>1.5</v>
      </c>
      <c r="AA60" s="119">
        <v>14</v>
      </c>
      <c r="AB60" s="166">
        <v>7.5496934133454783</v>
      </c>
      <c r="AC60" s="112" t="b">
        <v>1</v>
      </c>
      <c r="AD60" s="166" t="b">
        <v>1</v>
      </c>
      <c r="AE60">
        <f t="shared" si="0"/>
        <v>1</v>
      </c>
    </row>
    <row r="61" spans="2:31" x14ac:dyDescent="0.25">
      <c r="B61" s="127">
        <v>7</v>
      </c>
      <c r="C61" s="43">
        <v>1</v>
      </c>
      <c r="D61" s="43"/>
      <c r="E61" s="43"/>
      <c r="F61" s="128"/>
      <c r="G61" s="43"/>
      <c r="H61" s="43"/>
      <c r="J61" s="152">
        <v>7</v>
      </c>
      <c r="K61" s="43">
        <v>1</v>
      </c>
      <c r="L61" s="43"/>
      <c r="M61" s="43"/>
      <c r="N61" s="128"/>
      <c r="R61" s="134" t="s">
        <v>18</v>
      </c>
      <c r="S61" s="134">
        <v>1.5</v>
      </c>
      <c r="T61" s="134" t="s">
        <v>18</v>
      </c>
      <c r="U61" s="134">
        <v>1.8</v>
      </c>
      <c r="W61">
        <v>1.5714285714285714</v>
      </c>
      <c r="AA61" s="119">
        <v>21</v>
      </c>
      <c r="AB61" s="166">
        <v>7.5510936327336724</v>
      </c>
      <c r="AC61" s="112" t="b">
        <v>1</v>
      </c>
      <c r="AD61" s="166" t="b">
        <v>1</v>
      </c>
      <c r="AE61">
        <f t="shared" si="0"/>
        <v>1</v>
      </c>
    </row>
    <row r="62" spans="2:31" x14ac:dyDescent="0.25">
      <c r="B62" s="127">
        <v>7</v>
      </c>
      <c r="C62" s="43">
        <v>1</v>
      </c>
      <c r="D62" s="43"/>
      <c r="E62" s="43"/>
      <c r="F62" s="128"/>
      <c r="G62" s="43"/>
      <c r="H62" s="43"/>
      <c r="J62" s="152">
        <v>7</v>
      </c>
      <c r="K62" s="43">
        <v>1</v>
      </c>
      <c r="L62" s="43"/>
      <c r="M62" s="43"/>
      <c r="N62" s="128"/>
      <c r="R62" s="134" t="s">
        <v>18</v>
      </c>
      <c r="S62" s="134">
        <v>1.5</v>
      </c>
      <c r="T62" s="134" t="s">
        <v>18</v>
      </c>
      <c r="U62" s="134">
        <v>1.8333333333333333</v>
      </c>
      <c r="W62">
        <v>1.5714285714285714</v>
      </c>
      <c r="AA62" s="119">
        <v>14</v>
      </c>
      <c r="AB62" s="166">
        <v>7.5738934297406777</v>
      </c>
      <c r="AC62" s="112" t="b">
        <v>1</v>
      </c>
      <c r="AD62" s="166" t="b">
        <v>1</v>
      </c>
      <c r="AE62">
        <f t="shared" si="0"/>
        <v>1</v>
      </c>
    </row>
    <row r="63" spans="2:31" x14ac:dyDescent="0.25">
      <c r="B63" s="127">
        <v>7</v>
      </c>
      <c r="C63" s="43">
        <v>1</v>
      </c>
      <c r="D63" s="43"/>
      <c r="E63" s="43"/>
      <c r="F63" s="128"/>
      <c r="G63" s="43"/>
      <c r="H63" s="43"/>
      <c r="J63" s="152">
        <v>7</v>
      </c>
      <c r="K63" s="43">
        <v>1</v>
      </c>
      <c r="L63" s="43"/>
      <c r="M63" s="43"/>
      <c r="N63" s="128"/>
      <c r="R63" s="134" t="s">
        <v>18</v>
      </c>
      <c r="S63" s="134">
        <v>1.5714285714285714</v>
      </c>
      <c r="T63" s="134" t="s">
        <v>18</v>
      </c>
      <c r="U63" s="134">
        <v>2</v>
      </c>
      <c r="W63">
        <v>1.5714285714285714</v>
      </c>
      <c r="AA63" s="163">
        <v>14</v>
      </c>
      <c r="AB63" s="162">
        <v>7.6515435504116702</v>
      </c>
      <c r="AC63" s="114" t="b">
        <v>1</v>
      </c>
      <c r="AD63" s="162" t="b">
        <v>1</v>
      </c>
      <c r="AE63">
        <f t="shared" si="0"/>
        <v>1</v>
      </c>
    </row>
    <row r="64" spans="2:31" x14ac:dyDescent="0.25">
      <c r="B64" s="127">
        <v>8</v>
      </c>
      <c r="C64" s="43"/>
      <c r="D64" s="43">
        <v>1</v>
      </c>
      <c r="E64" s="43"/>
      <c r="F64" s="128"/>
      <c r="G64" s="43"/>
      <c r="H64" s="43"/>
      <c r="J64" s="152">
        <v>7</v>
      </c>
      <c r="K64" s="43">
        <v>1</v>
      </c>
      <c r="L64" s="43"/>
      <c r="M64" s="43"/>
      <c r="N64" s="128"/>
      <c r="R64" s="134" t="s">
        <v>18</v>
      </c>
      <c r="S64" s="134">
        <v>1.5714285714285714</v>
      </c>
      <c r="T64" s="134" t="s">
        <v>18</v>
      </c>
      <c r="U64" s="134">
        <v>2</v>
      </c>
      <c r="W64">
        <v>1.6</v>
      </c>
      <c r="AA64" s="119">
        <v>17</v>
      </c>
      <c r="AB64" s="166">
        <v>7.6782970783075664</v>
      </c>
      <c r="AC64" s="112" t="b">
        <v>1</v>
      </c>
      <c r="AD64" s="166" t="b">
        <v>1</v>
      </c>
      <c r="AE64">
        <f t="shared" si="0"/>
        <v>1</v>
      </c>
    </row>
    <row r="65" spans="2:31" x14ac:dyDescent="0.25">
      <c r="B65" s="127">
        <v>8</v>
      </c>
      <c r="C65" s="43"/>
      <c r="D65" s="43"/>
      <c r="E65" s="43"/>
      <c r="F65" s="128">
        <v>1</v>
      </c>
      <c r="G65" s="43"/>
      <c r="H65" s="43"/>
      <c r="J65" s="152">
        <v>7</v>
      </c>
      <c r="K65" s="43">
        <v>1</v>
      </c>
      <c r="L65" s="43"/>
      <c r="M65" s="43"/>
      <c r="N65" s="128"/>
      <c r="R65" s="134" t="s">
        <v>18</v>
      </c>
      <c r="S65" s="134">
        <v>1.5714285714285714</v>
      </c>
      <c r="T65" s="134" t="s">
        <v>18</v>
      </c>
      <c r="U65" s="134">
        <v>2</v>
      </c>
      <c r="W65">
        <v>1.6</v>
      </c>
      <c r="AA65" s="119">
        <v>21</v>
      </c>
      <c r="AB65" s="166">
        <v>7.6820818688352643</v>
      </c>
      <c r="AC65" s="112" t="b">
        <v>1</v>
      </c>
      <c r="AD65" s="166" t="b">
        <v>1</v>
      </c>
      <c r="AE65">
        <f t="shared" si="0"/>
        <v>1</v>
      </c>
    </row>
    <row r="66" spans="2:31" x14ac:dyDescent="0.25">
      <c r="B66" s="127">
        <v>8</v>
      </c>
      <c r="C66" s="43">
        <v>1</v>
      </c>
      <c r="D66" s="43"/>
      <c r="E66" s="43"/>
      <c r="F66" s="128"/>
      <c r="G66" s="43"/>
      <c r="H66" s="43"/>
      <c r="J66" s="152">
        <v>7</v>
      </c>
      <c r="K66" s="43">
        <v>1</v>
      </c>
      <c r="L66" s="43"/>
      <c r="M66" s="43"/>
      <c r="N66" s="128"/>
      <c r="R66" s="134" t="s">
        <v>18</v>
      </c>
      <c r="S66" s="134">
        <v>1.6</v>
      </c>
      <c r="T66" s="134" t="s">
        <v>18</v>
      </c>
      <c r="U66" s="134">
        <v>2</v>
      </c>
      <c r="W66">
        <v>1.6</v>
      </c>
      <c r="AA66" s="163">
        <v>22</v>
      </c>
      <c r="AB66" s="162">
        <v>7.6892049357409142</v>
      </c>
      <c r="AC66" s="114" t="b">
        <v>1</v>
      </c>
      <c r="AD66" s="162" t="b">
        <v>1</v>
      </c>
      <c r="AE66">
        <f t="shared" si="0"/>
        <v>1</v>
      </c>
    </row>
    <row r="67" spans="2:31" x14ac:dyDescent="0.25">
      <c r="B67" s="127">
        <v>9</v>
      </c>
      <c r="C67" s="43"/>
      <c r="D67" s="43">
        <v>1</v>
      </c>
      <c r="E67" s="43"/>
      <c r="F67" s="128"/>
      <c r="G67" s="43"/>
      <c r="H67" s="43"/>
      <c r="J67" s="152">
        <v>7</v>
      </c>
      <c r="K67" s="43">
        <v>1</v>
      </c>
      <c r="L67" s="43"/>
      <c r="M67" s="43"/>
      <c r="N67" s="128"/>
      <c r="R67" s="134" t="s">
        <v>18</v>
      </c>
      <c r="S67" s="134">
        <v>1.6</v>
      </c>
      <c r="T67" s="134" t="s">
        <v>18</v>
      </c>
      <c r="U67" s="134">
        <v>2</v>
      </c>
      <c r="W67">
        <v>1.6666666666666667</v>
      </c>
      <c r="AA67" s="163">
        <v>15</v>
      </c>
      <c r="AB67" s="162">
        <v>7.7059927845718965</v>
      </c>
      <c r="AC67" s="114" t="b">
        <v>1</v>
      </c>
      <c r="AD67" s="162" t="b">
        <v>1</v>
      </c>
      <c r="AE67">
        <f t="shared" si="0"/>
        <v>1</v>
      </c>
    </row>
    <row r="68" spans="2:31" x14ac:dyDescent="0.25">
      <c r="B68" s="127">
        <v>9</v>
      </c>
      <c r="C68" s="43"/>
      <c r="D68" s="43"/>
      <c r="E68" s="43">
        <v>1</v>
      </c>
      <c r="F68" s="128"/>
      <c r="G68" s="43"/>
      <c r="H68" s="43"/>
      <c r="J68" s="152">
        <v>7</v>
      </c>
      <c r="K68" s="43">
        <v>1</v>
      </c>
      <c r="L68" s="43"/>
      <c r="M68" s="43"/>
      <c r="N68" s="128"/>
      <c r="R68" s="134" t="s">
        <v>18</v>
      </c>
      <c r="S68" s="134">
        <v>1.6</v>
      </c>
      <c r="T68" s="134" t="s">
        <v>18</v>
      </c>
      <c r="U68" s="134">
        <v>2</v>
      </c>
      <c r="W68">
        <v>1.6666666666666667</v>
      </c>
      <c r="AA68" s="163">
        <v>37</v>
      </c>
      <c r="AB68" s="114">
        <v>7.7414339639730825</v>
      </c>
      <c r="AC68" s="114" t="b">
        <v>1</v>
      </c>
      <c r="AD68" s="162" t="b">
        <v>1</v>
      </c>
      <c r="AE68">
        <f t="shared" ref="AE68:AE89" si="1">--AD68</f>
        <v>1</v>
      </c>
    </row>
    <row r="69" spans="2:31" x14ac:dyDescent="0.25">
      <c r="B69" s="127">
        <v>9</v>
      </c>
      <c r="C69" s="43">
        <v>1</v>
      </c>
      <c r="D69" s="43"/>
      <c r="E69" s="43"/>
      <c r="F69" s="128"/>
      <c r="G69" s="43"/>
      <c r="H69" s="43"/>
      <c r="J69" s="152">
        <v>7</v>
      </c>
      <c r="K69" s="43">
        <v>1</v>
      </c>
      <c r="L69" s="43"/>
      <c r="M69" s="43"/>
      <c r="N69" s="128"/>
      <c r="R69" s="134" t="s">
        <v>18</v>
      </c>
      <c r="S69" s="134">
        <v>1.6666666666666667</v>
      </c>
      <c r="T69" s="134" t="s">
        <v>18</v>
      </c>
      <c r="U69" s="134">
        <v>2</v>
      </c>
      <c r="W69">
        <v>1.6666666666666667</v>
      </c>
      <c r="AA69" s="163">
        <v>28</v>
      </c>
      <c r="AB69" s="162">
        <v>7.7765362950862924</v>
      </c>
      <c r="AC69" s="114" t="b">
        <v>1</v>
      </c>
      <c r="AD69" s="162" t="b">
        <v>1</v>
      </c>
      <c r="AE69">
        <f t="shared" si="1"/>
        <v>1</v>
      </c>
    </row>
    <row r="70" spans="2:31" x14ac:dyDescent="0.25">
      <c r="B70" s="127">
        <v>9</v>
      </c>
      <c r="C70" s="43">
        <v>1</v>
      </c>
      <c r="D70" s="43"/>
      <c r="E70" s="43"/>
      <c r="F70" s="128"/>
      <c r="G70" s="43"/>
      <c r="H70" s="43"/>
      <c r="J70" s="152">
        <v>7</v>
      </c>
      <c r="K70" s="43">
        <v>1</v>
      </c>
      <c r="L70" s="43"/>
      <c r="M70" s="43"/>
      <c r="N70" s="128"/>
      <c r="R70" s="134" t="s">
        <v>18</v>
      </c>
      <c r="S70" s="134">
        <v>1.6666666666666667</v>
      </c>
      <c r="T70" s="134" t="s">
        <v>18</v>
      </c>
      <c r="U70" s="134">
        <v>2.3333333333333335</v>
      </c>
      <c r="W70">
        <v>1.6666666666666667</v>
      </c>
      <c r="AA70" s="163">
        <v>24</v>
      </c>
      <c r="AB70" s="162">
        <v>7.7844475351794333</v>
      </c>
      <c r="AC70" s="114" t="b">
        <v>1</v>
      </c>
      <c r="AD70" s="162" t="b">
        <v>1</v>
      </c>
      <c r="AE70">
        <f t="shared" si="1"/>
        <v>1</v>
      </c>
    </row>
    <row r="71" spans="2:31" x14ac:dyDescent="0.25">
      <c r="B71" s="127">
        <v>10</v>
      </c>
      <c r="C71" s="43"/>
      <c r="D71" s="43">
        <v>1</v>
      </c>
      <c r="E71" s="43"/>
      <c r="F71" s="128"/>
      <c r="G71" s="43"/>
      <c r="H71" s="43"/>
      <c r="J71" s="152">
        <v>7</v>
      </c>
      <c r="K71" s="43">
        <v>1</v>
      </c>
      <c r="L71" s="43"/>
      <c r="M71" s="43"/>
      <c r="N71" s="128"/>
      <c r="R71" s="134" t="s">
        <v>18</v>
      </c>
      <c r="S71" s="134">
        <v>1.6666666666666667</v>
      </c>
      <c r="T71" s="134" t="s">
        <v>18</v>
      </c>
      <c r="U71" s="134">
        <v>2.5</v>
      </c>
      <c r="W71">
        <v>1.75</v>
      </c>
      <c r="AA71" s="119">
        <v>21</v>
      </c>
      <c r="AB71" s="166">
        <v>7.7884808941081207</v>
      </c>
      <c r="AC71" s="112" t="b">
        <v>1</v>
      </c>
      <c r="AD71" s="166" t="b">
        <v>1</v>
      </c>
      <c r="AE71">
        <f t="shared" si="1"/>
        <v>1</v>
      </c>
    </row>
    <row r="72" spans="2:31" x14ac:dyDescent="0.25">
      <c r="B72" s="127">
        <v>10</v>
      </c>
      <c r="C72" s="43"/>
      <c r="D72" s="43">
        <v>1</v>
      </c>
      <c r="E72" s="43"/>
      <c r="F72" s="128"/>
      <c r="G72" s="43"/>
      <c r="H72" s="43"/>
      <c r="J72" s="152">
        <v>7</v>
      </c>
      <c r="K72" s="43">
        <v>1</v>
      </c>
      <c r="L72" s="43"/>
      <c r="M72" s="43"/>
      <c r="N72" s="128"/>
      <c r="R72" s="134" t="s">
        <v>18</v>
      </c>
      <c r="S72" s="134">
        <v>1.6666666666666667</v>
      </c>
      <c r="T72" s="134" t="s">
        <v>18</v>
      </c>
      <c r="U72" s="134">
        <v>2.6666666666666665</v>
      </c>
      <c r="W72">
        <v>1.75</v>
      </c>
      <c r="AA72" s="163">
        <v>28</v>
      </c>
      <c r="AB72" s="162">
        <v>7.8012095033496296</v>
      </c>
      <c r="AC72" s="114" t="b">
        <v>1</v>
      </c>
      <c r="AD72" s="162" t="b">
        <v>1</v>
      </c>
      <c r="AE72">
        <f t="shared" si="1"/>
        <v>1</v>
      </c>
    </row>
    <row r="73" spans="2:31" x14ac:dyDescent="0.25">
      <c r="B73" s="127">
        <v>10</v>
      </c>
      <c r="C73" s="43">
        <v>1</v>
      </c>
      <c r="D73" s="43"/>
      <c r="E73" s="43"/>
      <c r="F73" s="128"/>
      <c r="G73" s="43"/>
      <c r="H73" s="43"/>
      <c r="J73" s="127">
        <v>8</v>
      </c>
      <c r="K73" s="43"/>
      <c r="L73" s="43">
        <v>1</v>
      </c>
      <c r="M73" s="43"/>
      <c r="N73" s="128"/>
      <c r="R73" s="134" t="s">
        <v>18</v>
      </c>
      <c r="S73" s="134">
        <v>1.75</v>
      </c>
      <c r="T73" s="134" t="s">
        <v>18</v>
      </c>
      <c r="U73" s="134">
        <v>3</v>
      </c>
      <c r="W73">
        <v>1.8</v>
      </c>
      <c r="AA73" s="163">
        <v>23</v>
      </c>
      <c r="AB73" s="162">
        <v>7.8371804643525094</v>
      </c>
      <c r="AC73" s="114" t="b">
        <v>1</v>
      </c>
      <c r="AD73" s="162" t="b">
        <v>1</v>
      </c>
      <c r="AE73">
        <f t="shared" si="1"/>
        <v>1</v>
      </c>
    </row>
    <row r="74" spans="2:31" x14ac:dyDescent="0.25">
      <c r="B74" s="127">
        <v>10</v>
      </c>
      <c r="C74" s="43">
        <v>1</v>
      </c>
      <c r="D74" s="43"/>
      <c r="E74" s="43"/>
      <c r="F74" s="128"/>
      <c r="G74" s="43"/>
      <c r="H74" s="43"/>
      <c r="J74" s="127">
        <v>8</v>
      </c>
      <c r="K74" s="43"/>
      <c r="L74" s="43">
        <v>1</v>
      </c>
      <c r="M74" s="43"/>
      <c r="N74" s="128"/>
      <c r="R74" s="134" t="s">
        <v>18</v>
      </c>
      <c r="S74" s="134">
        <v>1.75</v>
      </c>
      <c r="T74" s="134" t="s">
        <v>18</v>
      </c>
      <c r="W74">
        <v>1.8</v>
      </c>
      <c r="AA74" s="119">
        <v>18</v>
      </c>
      <c r="AB74" s="166">
        <v>7.96680557829667</v>
      </c>
      <c r="AC74" s="112" t="b">
        <v>1</v>
      </c>
      <c r="AD74" s="166" t="b">
        <v>1</v>
      </c>
      <c r="AE74">
        <f t="shared" si="1"/>
        <v>1</v>
      </c>
    </row>
    <row r="75" spans="2:31" x14ac:dyDescent="0.25">
      <c r="B75" s="127">
        <v>11</v>
      </c>
      <c r="C75" s="43"/>
      <c r="D75" s="43">
        <v>1</v>
      </c>
      <c r="E75" s="43"/>
      <c r="F75" s="128"/>
      <c r="G75" s="43"/>
      <c r="H75" s="43"/>
      <c r="J75" s="127">
        <v>8</v>
      </c>
      <c r="K75" s="43"/>
      <c r="L75" s="43">
        <v>1</v>
      </c>
      <c r="M75" s="43"/>
      <c r="N75" s="128"/>
      <c r="R75" s="134" t="s">
        <v>18</v>
      </c>
      <c r="S75" s="134">
        <v>1.8</v>
      </c>
      <c r="T75" s="134" t="s">
        <v>18</v>
      </c>
      <c r="U75" s="134" t="s">
        <v>18</v>
      </c>
      <c r="W75">
        <v>1.8333333333333333</v>
      </c>
      <c r="AA75" s="119">
        <v>32</v>
      </c>
      <c r="AB75" s="166">
        <v>7.9809831798262802</v>
      </c>
      <c r="AC75" s="112" t="b">
        <v>1</v>
      </c>
      <c r="AD75" s="166" t="b">
        <v>1</v>
      </c>
      <c r="AE75">
        <f t="shared" si="1"/>
        <v>1</v>
      </c>
    </row>
    <row r="76" spans="2:31" x14ac:dyDescent="0.25">
      <c r="B76" s="127">
        <v>11</v>
      </c>
      <c r="C76" s="43"/>
      <c r="D76" s="43">
        <v>1</v>
      </c>
      <c r="E76" s="43"/>
      <c r="F76" s="128"/>
      <c r="G76" s="43"/>
      <c r="H76" s="43"/>
      <c r="J76" s="127">
        <v>8</v>
      </c>
      <c r="K76" s="43"/>
      <c r="L76" s="43">
        <v>1</v>
      </c>
      <c r="M76" s="43"/>
      <c r="N76" s="128"/>
      <c r="R76" s="134" t="s">
        <v>18</v>
      </c>
      <c r="S76" s="134">
        <v>1.8</v>
      </c>
      <c r="T76" s="134" t="s">
        <v>18</v>
      </c>
      <c r="U76" s="134" t="s">
        <v>18</v>
      </c>
      <c r="W76">
        <v>2</v>
      </c>
      <c r="AA76" s="163">
        <v>24</v>
      </c>
      <c r="AB76" s="162">
        <v>7.9822685186905744</v>
      </c>
      <c r="AC76" s="114" t="b">
        <v>1</v>
      </c>
      <c r="AD76" s="162" t="b">
        <v>1</v>
      </c>
      <c r="AE76">
        <f t="shared" si="1"/>
        <v>1</v>
      </c>
    </row>
    <row r="77" spans="2:31" x14ac:dyDescent="0.25">
      <c r="B77" s="127">
        <v>11</v>
      </c>
      <c r="C77" s="43"/>
      <c r="D77" s="43">
        <v>1</v>
      </c>
      <c r="E77" s="43"/>
      <c r="F77" s="128"/>
      <c r="G77" s="43"/>
      <c r="H77" s="43"/>
      <c r="J77" s="127">
        <v>8</v>
      </c>
      <c r="K77" s="43"/>
      <c r="L77" s="43">
        <v>1</v>
      </c>
      <c r="M77" s="43"/>
      <c r="N77" s="128"/>
      <c r="R77" s="134" t="s">
        <v>18</v>
      </c>
      <c r="S77" s="134">
        <v>1.8333333333333333</v>
      </c>
      <c r="T77" s="134" t="s">
        <v>18</v>
      </c>
      <c r="U77" s="134" t="s">
        <v>18</v>
      </c>
      <c r="W77">
        <v>2</v>
      </c>
      <c r="AA77" s="119">
        <v>17</v>
      </c>
      <c r="AB77" s="166">
        <v>7.9872545624192872</v>
      </c>
      <c r="AC77" s="112" t="b">
        <v>1</v>
      </c>
      <c r="AD77" s="166" t="b">
        <v>1</v>
      </c>
      <c r="AE77">
        <f t="shared" si="1"/>
        <v>1</v>
      </c>
    </row>
    <row r="78" spans="2:31" x14ac:dyDescent="0.25">
      <c r="B78" s="127">
        <v>11</v>
      </c>
      <c r="C78" s="43">
        <v>1</v>
      </c>
      <c r="D78" s="43"/>
      <c r="E78" s="43"/>
      <c r="F78" s="128"/>
      <c r="G78" s="43"/>
      <c r="H78" s="43"/>
      <c r="J78" s="127">
        <v>8</v>
      </c>
      <c r="K78" s="43"/>
      <c r="L78" s="43">
        <v>1</v>
      </c>
      <c r="M78" s="43"/>
      <c r="N78" s="128"/>
      <c r="R78" s="134" t="s">
        <v>18</v>
      </c>
      <c r="S78" s="134">
        <v>2</v>
      </c>
      <c r="T78" s="134" t="s">
        <v>18</v>
      </c>
      <c r="U78" s="134" t="s">
        <v>18</v>
      </c>
      <c r="W78">
        <v>2</v>
      </c>
      <c r="AA78" s="119">
        <v>25</v>
      </c>
      <c r="AB78" s="166">
        <v>8.0157326860641405</v>
      </c>
      <c r="AC78" s="112" t="b">
        <v>1</v>
      </c>
      <c r="AD78" s="166" t="b">
        <v>1</v>
      </c>
      <c r="AE78">
        <f t="shared" si="1"/>
        <v>1</v>
      </c>
    </row>
    <row r="79" spans="2:31" x14ac:dyDescent="0.25">
      <c r="B79" s="127">
        <v>11</v>
      </c>
      <c r="C79" s="43">
        <v>1</v>
      </c>
      <c r="D79" s="43"/>
      <c r="E79" s="43"/>
      <c r="F79" s="128"/>
      <c r="G79" s="43"/>
      <c r="H79" s="43"/>
      <c r="J79" s="127">
        <v>8</v>
      </c>
      <c r="K79" s="43"/>
      <c r="L79" s="43">
        <v>1</v>
      </c>
      <c r="M79" s="43"/>
      <c r="N79" s="128"/>
      <c r="R79" s="134" t="s">
        <v>18</v>
      </c>
      <c r="S79" s="134">
        <v>2</v>
      </c>
      <c r="T79" s="134" t="s">
        <v>18</v>
      </c>
      <c r="U79" s="134" t="s">
        <v>18</v>
      </c>
      <c r="W79">
        <v>2</v>
      </c>
      <c r="AA79" s="119">
        <v>23</v>
      </c>
      <c r="AB79" s="166">
        <v>8.0274393119239598</v>
      </c>
      <c r="AC79" s="112" t="b">
        <v>1</v>
      </c>
      <c r="AD79" s="166" t="b">
        <v>1</v>
      </c>
      <c r="AE79">
        <f t="shared" si="1"/>
        <v>1</v>
      </c>
    </row>
    <row r="80" spans="2:31" x14ac:dyDescent="0.25">
      <c r="B80" s="127">
        <v>11</v>
      </c>
      <c r="C80" s="43">
        <v>1</v>
      </c>
      <c r="D80" s="43"/>
      <c r="E80" s="43"/>
      <c r="F80" s="128"/>
      <c r="G80" s="43"/>
      <c r="H80" s="43"/>
      <c r="J80" s="127">
        <v>8</v>
      </c>
      <c r="K80" s="43"/>
      <c r="L80" s="43">
        <v>1</v>
      </c>
      <c r="M80" s="43"/>
      <c r="N80" s="128"/>
      <c r="R80" s="134" t="s">
        <v>18</v>
      </c>
      <c r="S80" s="134">
        <v>2</v>
      </c>
      <c r="T80" s="134" t="s">
        <v>18</v>
      </c>
      <c r="U80" s="134" t="s">
        <v>18</v>
      </c>
      <c r="W80">
        <v>2</v>
      </c>
      <c r="AA80" s="163">
        <v>29</v>
      </c>
      <c r="AB80" s="162">
        <v>8.1001498950521515</v>
      </c>
      <c r="AC80" s="114" t="b">
        <v>1</v>
      </c>
      <c r="AD80" s="162" t="b">
        <v>1</v>
      </c>
      <c r="AE80">
        <f t="shared" si="1"/>
        <v>1</v>
      </c>
    </row>
    <row r="81" spans="2:31" x14ac:dyDescent="0.25">
      <c r="B81" s="127">
        <v>14</v>
      </c>
      <c r="C81" s="43"/>
      <c r="D81" s="43">
        <v>1</v>
      </c>
      <c r="E81" s="43"/>
      <c r="F81" s="128"/>
      <c r="G81" s="43"/>
      <c r="H81" s="43"/>
      <c r="J81" s="127">
        <v>8</v>
      </c>
      <c r="K81" s="43"/>
      <c r="L81" s="43">
        <v>1</v>
      </c>
      <c r="M81" s="43"/>
      <c r="N81" s="128"/>
      <c r="R81" s="134" t="s">
        <v>18</v>
      </c>
      <c r="S81" s="134">
        <v>2</v>
      </c>
      <c r="T81" s="134" t="s">
        <v>18</v>
      </c>
      <c r="U81" s="134" t="s">
        <v>18</v>
      </c>
      <c r="W81">
        <v>2</v>
      </c>
      <c r="AA81" s="163">
        <v>16</v>
      </c>
      <c r="AB81" s="162">
        <v>8.1046100074548661</v>
      </c>
      <c r="AC81" s="114" t="b">
        <v>1</v>
      </c>
      <c r="AD81" s="162" t="b">
        <v>1</v>
      </c>
      <c r="AE81">
        <f t="shared" si="1"/>
        <v>1</v>
      </c>
    </row>
    <row r="82" spans="2:31" x14ac:dyDescent="0.25">
      <c r="B82" s="127">
        <v>14</v>
      </c>
      <c r="C82" s="43"/>
      <c r="D82" s="43">
        <v>1</v>
      </c>
      <c r="E82" s="43"/>
      <c r="F82" s="128"/>
      <c r="G82" s="43"/>
      <c r="H82" s="43"/>
      <c r="J82" s="127">
        <v>8</v>
      </c>
      <c r="K82" s="43"/>
      <c r="L82" s="43">
        <v>1</v>
      </c>
      <c r="M82" s="43"/>
      <c r="N82" s="128"/>
      <c r="R82" s="134" t="s">
        <v>18</v>
      </c>
      <c r="S82" s="134">
        <v>2</v>
      </c>
      <c r="T82" s="134" t="s">
        <v>18</v>
      </c>
      <c r="U82" s="134" t="s">
        <v>18</v>
      </c>
      <c r="W82">
        <v>2</v>
      </c>
      <c r="AA82" s="163">
        <v>16</v>
      </c>
      <c r="AB82" s="162">
        <v>8.111830221140572</v>
      </c>
      <c r="AC82" s="114" t="b">
        <v>1</v>
      </c>
      <c r="AD82" s="162" t="b">
        <v>1</v>
      </c>
      <c r="AE82">
        <f t="shared" si="1"/>
        <v>1</v>
      </c>
    </row>
    <row r="83" spans="2:31" x14ac:dyDescent="0.25">
      <c r="B83" s="127">
        <v>14</v>
      </c>
      <c r="C83" s="43"/>
      <c r="D83" s="43">
        <v>1</v>
      </c>
      <c r="E83" s="43"/>
      <c r="F83" s="128"/>
      <c r="G83" s="43"/>
      <c r="H83" s="43"/>
      <c r="J83" s="127">
        <v>8</v>
      </c>
      <c r="K83" s="43"/>
      <c r="L83" s="43">
        <v>1</v>
      </c>
      <c r="M83" s="43"/>
      <c r="N83" s="128"/>
      <c r="R83" s="134" t="s">
        <v>18</v>
      </c>
      <c r="S83" s="134">
        <v>2</v>
      </c>
      <c r="T83" s="134" t="s">
        <v>18</v>
      </c>
      <c r="U83" s="134" t="s">
        <v>18</v>
      </c>
      <c r="W83">
        <v>2</v>
      </c>
      <c r="AA83" s="163">
        <v>24</v>
      </c>
      <c r="AB83" s="162">
        <v>8.1571907304079723</v>
      </c>
      <c r="AC83" s="114" t="b">
        <v>1</v>
      </c>
      <c r="AD83" s="162" t="b">
        <v>1</v>
      </c>
      <c r="AE83">
        <f t="shared" si="1"/>
        <v>1</v>
      </c>
    </row>
    <row r="84" spans="2:31" x14ac:dyDescent="0.25">
      <c r="B84" s="127">
        <v>14</v>
      </c>
      <c r="C84" s="43"/>
      <c r="D84" s="43">
        <v>1</v>
      </c>
      <c r="E84" s="43"/>
      <c r="F84" s="128"/>
      <c r="G84" s="43"/>
      <c r="H84" s="43"/>
      <c r="J84" s="127">
        <v>8</v>
      </c>
      <c r="K84" s="43"/>
      <c r="L84" s="43">
        <v>1</v>
      </c>
      <c r="M84" s="43"/>
      <c r="N84" s="128"/>
      <c r="R84" s="134" t="s">
        <v>18</v>
      </c>
      <c r="S84" s="134">
        <v>2</v>
      </c>
      <c r="T84" s="134" t="s">
        <v>18</v>
      </c>
      <c r="U84" s="134" t="s">
        <v>18</v>
      </c>
      <c r="W84">
        <v>2</v>
      </c>
      <c r="AA84" s="163">
        <v>22</v>
      </c>
      <c r="AB84" s="162">
        <v>8.1695980291208983</v>
      </c>
      <c r="AC84" s="114" t="b">
        <v>1</v>
      </c>
      <c r="AD84" s="162" t="b">
        <v>1</v>
      </c>
      <c r="AE84">
        <f t="shared" si="1"/>
        <v>1</v>
      </c>
    </row>
    <row r="85" spans="2:31" x14ac:dyDescent="0.25">
      <c r="B85" s="127">
        <v>14</v>
      </c>
      <c r="C85" s="43"/>
      <c r="D85" s="43">
        <v>1</v>
      </c>
      <c r="E85" s="43"/>
      <c r="F85" s="128"/>
      <c r="G85" s="43"/>
      <c r="H85" s="43"/>
      <c r="J85" s="127">
        <v>8</v>
      </c>
      <c r="K85" s="43"/>
      <c r="L85" s="43">
        <v>1</v>
      </c>
      <c r="M85" s="43"/>
      <c r="N85" s="128"/>
      <c r="R85" s="134" t="s">
        <v>18</v>
      </c>
      <c r="S85" s="134">
        <v>2.2000000000000002</v>
      </c>
      <c r="T85" s="134" t="s">
        <v>18</v>
      </c>
      <c r="U85" s="134" t="s">
        <v>18</v>
      </c>
      <c r="W85">
        <v>2</v>
      </c>
      <c r="AA85" s="163">
        <v>18</v>
      </c>
      <c r="AB85" s="162">
        <v>8.1835232268594247</v>
      </c>
      <c r="AC85" s="114" t="b">
        <v>1</v>
      </c>
      <c r="AD85" s="162" t="b">
        <v>1</v>
      </c>
      <c r="AE85">
        <f t="shared" si="1"/>
        <v>1</v>
      </c>
    </row>
    <row r="86" spans="2:31" x14ac:dyDescent="0.25">
      <c r="B86" s="127">
        <v>14</v>
      </c>
      <c r="C86" s="43"/>
      <c r="D86" s="43">
        <v>1</v>
      </c>
      <c r="E86" s="43"/>
      <c r="F86" s="128"/>
      <c r="G86" s="43"/>
      <c r="H86" s="43"/>
      <c r="J86" s="127">
        <v>8</v>
      </c>
      <c r="K86" s="43"/>
      <c r="L86" s="43"/>
      <c r="M86" s="43">
        <v>1</v>
      </c>
      <c r="N86" s="128"/>
      <c r="R86" s="134" t="s">
        <v>18</v>
      </c>
      <c r="S86" s="134">
        <v>2.3333333333333335</v>
      </c>
      <c r="T86" s="134" t="s">
        <v>18</v>
      </c>
      <c r="U86" s="134" t="s">
        <v>18</v>
      </c>
      <c r="W86">
        <v>2</v>
      </c>
      <c r="AA86" s="119">
        <v>28</v>
      </c>
      <c r="AB86" s="166">
        <v>8.2033157937601011</v>
      </c>
      <c r="AC86" s="112" t="b">
        <v>1</v>
      </c>
      <c r="AD86" s="166" t="b">
        <v>1</v>
      </c>
      <c r="AE86">
        <f t="shared" si="1"/>
        <v>1</v>
      </c>
    </row>
    <row r="87" spans="2:31" x14ac:dyDescent="0.25">
      <c r="B87" s="127">
        <v>14</v>
      </c>
      <c r="C87" s="43"/>
      <c r="D87" s="43">
        <v>1</v>
      </c>
      <c r="E87" s="43"/>
      <c r="F87" s="128"/>
      <c r="G87" s="43"/>
      <c r="H87" s="43"/>
      <c r="J87" s="127">
        <v>8</v>
      </c>
      <c r="K87" s="43"/>
      <c r="L87" s="43"/>
      <c r="M87" s="43">
        <v>1</v>
      </c>
      <c r="N87" s="128"/>
      <c r="R87" s="134" t="s">
        <v>18</v>
      </c>
      <c r="S87" s="134">
        <v>2.5</v>
      </c>
      <c r="T87" s="134" t="s">
        <v>18</v>
      </c>
      <c r="U87" s="134" t="s">
        <v>18</v>
      </c>
      <c r="W87">
        <v>2.2000000000000002</v>
      </c>
      <c r="AA87" s="119">
        <v>10</v>
      </c>
      <c r="AB87" s="166">
        <v>8.219568809603631</v>
      </c>
      <c r="AC87" s="112" t="b">
        <v>1</v>
      </c>
      <c r="AD87" s="166" t="b">
        <v>1</v>
      </c>
      <c r="AE87">
        <f t="shared" si="1"/>
        <v>1</v>
      </c>
    </row>
    <row r="88" spans="2:31" x14ac:dyDescent="0.25">
      <c r="B88" s="127">
        <v>14</v>
      </c>
      <c r="C88" s="43"/>
      <c r="D88" s="43">
        <v>1</v>
      </c>
      <c r="E88" s="43"/>
      <c r="F88" s="128"/>
      <c r="G88" s="43"/>
      <c r="H88" s="43"/>
      <c r="J88" s="127">
        <v>8</v>
      </c>
      <c r="K88" s="43"/>
      <c r="L88" s="43"/>
      <c r="M88" s="43">
        <v>1</v>
      </c>
      <c r="N88" s="128"/>
      <c r="R88" s="134" t="s">
        <v>18</v>
      </c>
      <c r="S88" s="134">
        <v>2.6666666666666665</v>
      </c>
      <c r="T88" s="134" t="s">
        <v>18</v>
      </c>
      <c r="U88" s="134" t="s">
        <v>18</v>
      </c>
      <c r="W88">
        <v>2.3333333333333335</v>
      </c>
      <c r="AA88" s="119">
        <v>21</v>
      </c>
      <c r="AB88" s="166">
        <v>8.364228203066876</v>
      </c>
      <c r="AC88" s="112" t="b">
        <v>1</v>
      </c>
      <c r="AD88" s="166" t="b">
        <v>1</v>
      </c>
      <c r="AE88">
        <f t="shared" si="1"/>
        <v>1</v>
      </c>
    </row>
    <row r="89" spans="2:31" x14ac:dyDescent="0.25">
      <c r="B89" s="127">
        <v>14</v>
      </c>
      <c r="C89" s="43"/>
      <c r="D89" s="43">
        <v>1</v>
      </c>
      <c r="E89" s="43"/>
      <c r="F89" s="128"/>
      <c r="G89" s="43"/>
      <c r="H89" s="43"/>
      <c r="J89" s="127">
        <v>8</v>
      </c>
      <c r="K89" s="43"/>
      <c r="L89" s="43"/>
      <c r="M89" s="43">
        <v>1</v>
      </c>
      <c r="N89" s="128"/>
      <c r="R89" s="134" t="s">
        <v>18</v>
      </c>
      <c r="S89" s="134">
        <v>3</v>
      </c>
      <c r="T89" s="134" t="s">
        <v>18</v>
      </c>
      <c r="U89" s="134" t="s">
        <v>18</v>
      </c>
      <c r="W89">
        <v>2.5</v>
      </c>
      <c r="AA89" s="163">
        <v>28</v>
      </c>
      <c r="AB89" s="162">
        <v>8.5161081406320562</v>
      </c>
      <c r="AC89" s="114" t="b">
        <v>1</v>
      </c>
      <c r="AD89" s="162" t="b">
        <v>1</v>
      </c>
      <c r="AE89">
        <f t="shared" si="1"/>
        <v>1</v>
      </c>
    </row>
    <row r="90" spans="2:31" ht="15.75" thickBot="1" x14ac:dyDescent="0.3">
      <c r="B90" s="127">
        <v>14</v>
      </c>
      <c r="C90" s="43"/>
      <c r="D90" s="43">
        <v>1</v>
      </c>
      <c r="E90" s="43"/>
      <c r="F90" s="128"/>
      <c r="G90" s="43"/>
      <c r="H90" s="43"/>
      <c r="J90" s="127">
        <v>8</v>
      </c>
      <c r="K90" s="43"/>
      <c r="L90" s="43"/>
      <c r="M90" s="43"/>
      <c r="N90" s="128">
        <v>1</v>
      </c>
      <c r="R90" s="134" t="s">
        <v>18</v>
      </c>
      <c r="S90" s="138">
        <v>3</v>
      </c>
      <c r="T90" s="134" t="s">
        <v>18</v>
      </c>
      <c r="U90" s="134" t="s">
        <v>18</v>
      </c>
      <c r="W90">
        <v>2.6666666666666665</v>
      </c>
      <c r="AA90" s="163">
        <v>18</v>
      </c>
      <c r="AB90" s="162" t="s">
        <v>18</v>
      </c>
      <c r="AC90" s="114" t="b">
        <v>0</v>
      </c>
      <c r="AD90" s="162" t="s">
        <v>48</v>
      </c>
    </row>
    <row r="91" spans="2:31" ht="15.75" thickTop="1" x14ac:dyDescent="0.25">
      <c r="B91" s="127">
        <v>14</v>
      </c>
      <c r="C91" s="43"/>
      <c r="D91" s="43">
        <v>1</v>
      </c>
      <c r="E91" s="43"/>
      <c r="F91" s="128"/>
      <c r="G91" s="43"/>
      <c r="H91" s="43"/>
      <c r="J91" s="127">
        <v>8</v>
      </c>
      <c r="K91" s="43"/>
      <c r="L91" s="43"/>
      <c r="M91" s="43"/>
      <c r="N91" s="128">
        <v>1</v>
      </c>
      <c r="R91" s="134" t="s">
        <v>18</v>
      </c>
      <c r="T91" s="134" t="s">
        <v>18</v>
      </c>
      <c r="U91" s="134" t="s">
        <v>18</v>
      </c>
      <c r="W91">
        <v>3</v>
      </c>
      <c r="AA91" s="119">
        <v>29</v>
      </c>
      <c r="AB91" s="166" t="s">
        <v>18</v>
      </c>
      <c r="AC91" s="112" t="b">
        <v>0</v>
      </c>
      <c r="AD91" s="166" t="s">
        <v>48</v>
      </c>
    </row>
    <row r="92" spans="2:31" x14ac:dyDescent="0.25">
      <c r="B92" s="127">
        <v>14</v>
      </c>
      <c r="C92" s="43"/>
      <c r="D92" s="43">
        <v>1</v>
      </c>
      <c r="E92" s="43"/>
      <c r="F92" s="128"/>
      <c r="G92" s="43"/>
      <c r="H92" s="43"/>
      <c r="J92" s="152">
        <v>8</v>
      </c>
      <c r="K92" s="43">
        <v>1</v>
      </c>
      <c r="L92" s="43"/>
      <c r="M92" s="43"/>
      <c r="N92" s="128"/>
      <c r="R92" s="134" t="s">
        <v>18</v>
      </c>
      <c r="T92" s="134" t="s">
        <v>18</v>
      </c>
      <c r="U92" s="134" t="s">
        <v>18</v>
      </c>
      <c r="W92">
        <v>3</v>
      </c>
      <c r="AA92" s="119">
        <v>21</v>
      </c>
      <c r="AB92" s="166" t="s">
        <v>18</v>
      </c>
      <c r="AC92" s="112" t="b">
        <v>0</v>
      </c>
      <c r="AD92" s="166" t="s">
        <v>48</v>
      </c>
    </row>
    <row r="93" spans="2:31" x14ac:dyDescent="0.25">
      <c r="B93" s="127">
        <v>14</v>
      </c>
      <c r="C93" s="43"/>
      <c r="D93" s="43">
        <v>1</v>
      </c>
      <c r="E93" s="43"/>
      <c r="F93" s="128"/>
      <c r="G93" s="43"/>
      <c r="H93" s="43"/>
      <c r="J93" s="152">
        <v>8</v>
      </c>
      <c r="K93" s="43">
        <v>1</v>
      </c>
      <c r="L93" s="43"/>
      <c r="M93" s="43"/>
      <c r="N93" s="128"/>
      <c r="R93" s="134" t="s">
        <v>18</v>
      </c>
      <c r="T93" s="134" t="s">
        <v>18</v>
      </c>
      <c r="U93" s="134" t="s">
        <v>18</v>
      </c>
      <c r="W93" t="s">
        <v>48</v>
      </c>
      <c r="AA93" s="163">
        <v>2</v>
      </c>
      <c r="AB93" s="162" t="s">
        <v>18</v>
      </c>
      <c r="AC93" s="114" t="b">
        <v>0</v>
      </c>
      <c r="AD93" s="162" t="s">
        <v>48</v>
      </c>
    </row>
    <row r="94" spans="2:31" x14ac:dyDescent="0.25">
      <c r="B94" s="127">
        <v>14</v>
      </c>
      <c r="C94" s="43"/>
      <c r="D94" s="43"/>
      <c r="E94" s="43"/>
      <c r="F94" s="128">
        <v>1</v>
      </c>
      <c r="G94" s="43"/>
      <c r="H94" s="43"/>
      <c r="J94" s="152">
        <v>8</v>
      </c>
      <c r="K94" s="43">
        <v>1</v>
      </c>
      <c r="L94" s="43"/>
      <c r="M94" s="43"/>
      <c r="N94" s="128"/>
      <c r="R94" s="134" t="s">
        <v>18</v>
      </c>
      <c r="T94" s="134" t="s">
        <v>18</v>
      </c>
      <c r="U94" s="134" t="s">
        <v>18</v>
      </c>
      <c r="W94" t="s">
        <v>48</v>
      </c>
      <c r="AA94" s="119">
        <v>39</v>
      </c>
      <c r="AB94" s="174" t="s">
        <v>18</v>
      </c>
      <c r="AC94" s="174" t="b">
        <v>0</v>
      </c>
      <c r="AD94" s="166" t="s">
        <v>48</v>
      </c>
    </row>
    <row r="95" spans="2:31" x14ac:dyDescent="0.25">
      <c r="B95" s="127">
        <v>14</v>
      </c>
      <c r="C95" s="43"/>
      <c r="D95" s="43"/>
      <c r="E95" s="43"/>
      <c r="F95" s="128">
        <v>1</v>
      </c>
      <c r="G95" s="43"/>
      <c r="H95" s="43"/>
      <c r="J95" s="152">
        <v>8</v>
      </c>
      <c r="K95" s="43">
        <v>1</v>
      </c>
      <c r="L95" s="43"/>
      <c r="M95" s="43"/>
      <c r="N95" s="128"/>
      <c r="R95" s="134" t="s">
        <v>18</v>
      </c>
      <c r="T95" s="134" t="s">
        <v>18</v>
      </c>
      <c r="U95" s="134" t="s">
        <v>18</v>
      </c>
      <c r="W95" t="s">
        <v>48</v>
      </c>
      <c r="AA95" s="119">
        <v>38</v>
      </c>
      <c r="AB95" s="174" t="s">
        <v>18</v>
      </c>
      <c r="AC95" s="174" t="b">
        <v>0</v>
      </c>
      <c r="AD95" s="166" t="s">
        <v>48</v>
      </c>
    </row>
    <row r="96" spans="2:31" x14ac:dyDescent="0.25">
      <c r="B96" s="127">
        <v>14</v>
      </c>
      <c r="C96" s="43"/>
      <c r="D96" s="43"/>
      <c r="E96" s="43"/>
      <c r="F96" s="128">
        <v>1</v>
      </c>
      <c r="G96" s="43"/>
      <c r="H96" s="43"/>
      <c r="J96" s="152">
        <v>8</v>
      </c>
      <c r="K96" s="43">
        <v>1</v>
      </c>
      <c r="L96" s="43"/>
      <c r="M96" s="43"/>
      <c r="N96" s="128"/>
      <c r="R96" s="134" t="s">
        <v>18</v>
      </c>
      <c r="T96" s="134" t="s">
        <v>18</v>
      </c>
      <c r="U96" s="134" t="s">
        <v>18</v>
      </c>
      <c r="W96" t="s">
        <v>48</v>
      </c>
      <c r="AA96" s="163">
        <v>18</v>
      </c>
      <c r="AB96" s="162" t="s">
        <v>18</v>
      </c>
      <c r="AC96" s="114" t="b">
        <v>0</v>
      </c>
      <c r="AD96" s="162" t="s">
        <v>48</v>
      </c>
    </row>
    <row r="97" spans="2:30" x14ac:dyDescent="0.25">
      <c r="B97" s="127">
        <v>14</v>
      </c>
      <c r="C97" s="43">
        <v>1</v>
      </c>
      <c r="D97" s="43"/>
      <c r="E97" s="43"/>
      <c r="F97" s="128"/>
      <c r="G97" s="43"/>
      <c r="H97" s="43"/>
      <c r="J97" s="152">
        <v>8</v>
      </c>
      <c r="K97" s="43">
        <v>1</v>
      </c>
      <c r="L97" s="43"/>
      <c r="M97" s="43"/>
      <c r="N97" s="128"/>
      <c r="R97" s="134" t="s">
        <v>18</v>
      </c>
      <c r="T97" s="134" t="s">
        <v>18</v>
      </c>
      <c r="U97" s="134" t="s">
        <v>18</v>
      </c>
      <c r="W97" t="s">
        <v>48</v>
      </c>
      <c r="AA97" s="163">
        <v>17</v>
      </c>
      <c r="AB97" s="162" t="s">
        <v>18</v>
      </c>
      <c r="AC97" s="114" t="b">
        <v>0</v>
      </c>
      <c r="AD97" s="162" t="s">
        <v>48</v>
      </c>
    </row>
    <row r="98" spans="2:30" x14ac:dyDescent="0.25">
      <c r="B98" s="127">
        <v>14</v>
      </c>
      <c r="C98" s="43">
        <v>1</v>
      </c>
      <c r="D98" s="43"/>
      <c r="E98" s="43"/>
      <c r="F98" s="128"/>
      <c r="G98" s="43"/>
      <c r="H98" s="43"/>
      <c r="J98" s="152">
        <v>8</v>
      </c>
      <c r="K98" s="43">
        <v>1</v>
      </c>
      <c r="L98" s="43"/>
      <c r="M98" s="43"/>
      <c r="N98" s="128"/>
      <c r="R98" s="134" t="s">
        <v>18</v>
      </c>
      <c r="T98" s="134" t="s">
        <v>18</v>
      </c>
      <c r="U98" s="134" t="s">
        <v>18</v>
      </c>
      <c r="W98" t="s">
        <v>48</v>
      </c>
      <c r="AA98" s="119">
        <v>9</v>
      </c>
      <c r="AB98" s="166" t="s">
        <v>18</v>
      </c>
      <c r="AC98" s="112" t="b">
        <v>0</v>
      </c>
      <c r="AD98" s="166" t="s">
        <v>48</v>
      </c>
    </row>
    <row r="99" spans="2:30" x14ac:dyDescent="0.25">
      <c r="B99" s="127">
        <v>14</v>
      </c>
      <c r="C99" s="43">
        <v>1</v>
      </c>
      <c r="D99" s="43"/>
      <c r="E99" s="43"/>
      <c r="F99" s="128"/>
      <c r="G99" s="43"/>
      <c r="H99" s="43"/>
      <c r="J99" s="152">
        <v>8</v>
      </c>
      <c r="K99" s="43">
        <v>1</v>
      </c>
      <c r="L99" s="43"/>
      <c r="M99" s="43"/>
      <c r="N99" s="128"/>
      <c r="R99" s="134" t="s">
        <v>18</v>
      </c>
      <c r="T99" s="134" t="s">
        <v>18</v>
      </c>
      <c r="U99" s="134" t="s">
        <v>18</v>
      </c>
      <c r="W99" t="s">
        <v>48</v>
      </c>
      <c r="AA99" s="119">
        <v>1</v>
      </c>
      <c r="AB99" s="166" t="s">
        <v>18</v>
      </c>
      <c r="AC99" s="112" t="b">
        <v>0</v>
      </c>
      <c r="AD99" s="166" t="s">
        <v>48</v>
      </c>
    </row>
    <row r="100" spans="2:30" x14ac:dyDescent="0.25">
      <c r="B100" s="127">
        <v>14</v>
      </c>
      <c r="C100" s="43">
        <v>1</v>
      </c>
      <c r="D100" s="43"/>
      <c r="E100" s="43"/>
      <c r="F100" s="128"/>
      <c r="G100" s="43"/>
      <c r="H100" s="43"/>
      <c r="J100" s="152">
        <v>8</v>
      </c>
      <c r="K100" s="43">
        <v>1</v>
      </c>
      <c r="L100" s="43"/>
      <c r="M100" s="43"/>
      <c r="N100" s="128"/>
      <c r="R100" s="134" t="s">
        <v>18</v>
      </c>
      <c r="T100" s="134" t="s">
        <v>18</v>
      </c>
      <c r="U100" s="134" t="s">
        <v>18</v>
      </c>
      <c r="W100" t="s">
        <v>48</v>
      </c>
      <c r="AA100" s="163">
        <v>2</v>
      </c>
      <c r="AB100" s="162" t="s">
        <v>18</v>
      </c>
      <c r="AC100" s="114" t="b">
        <v>0</v>
      </c>
      <c r="AD100" s="162" t="s">
        <v>48</v>
      </c>
    </row>
    <row r="101" spans="2:30" x14ac:dyDescent="0.25">
      <c r="B101" s="127">
        <v>14</v>
      </c>
      <c r="C101" s="43">
        <v>1</v>
      </c>
      <c r="D101" s="43"/>
      <c r="E101" s="43"/>
      <c r="F101" s="128"/>
      <c r="G101" s="43"/>
      <c r="H101" s="43"/>
      <c r="J101" s="152">
        <v>8</v>
      </c>
      <c r="K101" s="43">
        <v>1</v>
      </c>
      <c r="L101" s="43"/>
      <c r="M101" s="43"/>
      <c r="N101" s="128"/>
      <c r="Q101" s="43"/>
      <c r="R101" s="134" t="s">
        <v>18</v>
      </c>
      <c r="T101" s="134" t="s">
        <v>18</v>
      </c>
      <c r="U101" s="134" t="s">
        <v>18</v>
      </c>
      <c r="W101" t="s">
        <v>48</v>
      </c>
      <c r="AA101" s="119">
        <v>7</v>
      </c>
      <c r="AB101" s="166" t="s">
        <v>18</v>
      </c>
      <c r="AC101" s="112" t="b">
        <v>0</v>
      </c>
      <c r="AD101" s="166" t="s">
        <v>48</v>
      </c>
    </row>
    <row r="102" spans="2:30" x14ac:dyDescent="0.25">
      <c r="B102" s="127">
        <v>14</v>
      </c>
      <c r="C102" s="43">
        <v>1</v>
      </c>
      <c r="D102" s="43"/>
      <c r="E102" s="43"/>
      <c r="F102" s="128"/>
      <c r="G102" s="43"/>
      <c r="H102" s="43"/>
      <c r="J102" s="152">
        <v>8</v>
      </c>
      <c r="K102" s="43">
        <v>1</v>
      </c>
      <c r="L102" s="43"/>
      <c r="M102" s="43"/>
      <c r="N102" s="128"/>
      <c r="Q102" s="43"/>
      <c r="R102" s="134" t="s">
        <v>18</v>
      </c>
      <c r="T102" s="134" t="s">
        <v>18</v>
      </c>
      <c r="U102" s="134" t="s">
        <v>18</v>
      </c>
      <c r="W102" t="s">
        <v>48</v>
      </c>
      <c r="AA102" s="163">
        <v>7</v>
      </c>
      <c r="AB102" s="162" t="s">
        <v>18</v>
      </c>
      <c r="AC102" s="114" t="b">
        <v>0</v>
      </c>
      <c r="AD102" s="162" t="s">
        <v>48</v>
      </c>
    </row>
    <row r="103" spans="2:30" ht="15.75" thickBot="1" x14ac:dyDescent="0.3">
      <c r="B103" s="127">
        <v>14</v>
      </c>
      <c r="C103" s="43">
        <v>1</v>
      </c>
      <c r="D103" s="43"/>
      <c r="E103" s="43"/>
      <c r="F103" s="128"/>
      <c r="G103" s="43"/>
      <c r="H103" s="43"/>
      <c r="J103" s="152">
        <v>8</v>
      </c>
      <c r="K103" s="43">
        <v>1</v>
      </c>
      <c r="L103" s="43"/>
      <c r="M103" s="43"/>
      <c r="N103" s="128"/>
      <c r="R103" s="138" t="s">
        <v>18</v>
      </c>
      <c r="T103" s="138" t="s">
        <v>18</v>
      </c>
      <c r="U103" s="138" t="s">
        <v>18</v>
      </c>
      <c r="W103" t="s">
        <v>48</v>
      </c>
    </row>
    <row r="104" spans="2:30" ht="30.75" thickTop="1" x14ac:dyDescent="0.25">
      <c r="B104" s="127">
        <v>14</v>
      </c>
      <c r="C104" s="43">
        <v>1</v>
      </c>
      <c r="D104" s="43"/>
      <c r="E104" s="43"/>
      <c r="F104" s="128"/>
      <c r="G104" s="43"/>
      <c r="H104" s="43"/>
      <c r="J104" s="152">
        <v>8</v>
      </c>
      <c r="K104" s="43">
        <v>1</v>
      </c>
      <c r="L104" s="43"/>
      <c r="M104" s="43"/>
      <c r="N104" s="128"/>
      <c r="Q104" s="275" t="s">
        <v>117</v>
      </c>
      <c r="R104" s="43">
        <f>IF($AA$105,AVERAGE(R4:R103),AVERAGEIF(R4:R103,"&gt;"&amp;0))</f>
        <v>1.4150793650793652</v>
      </c>
      <c r="S104" s="43">
        <f>IF($AA$105,AVERAGE(S4:S90),AVERAGEIF(S4:S90,"&gt;"&amp;0))</f>
        <v>1.3653206778206777</v>
      </c>
      <c r="T104" s="43">
        <f>IF($AA$105,AVERAGE(T4:T103),AVERAGEIF(T4:T103,"&gt;"&amp;0))</f>
        <v>1.4864583333333334</v>
      </c>
      <c r="U104" s="43">
        <f>IF($AA$105,AVERAGE(U4:U103),AVERAGEIF(U4:U103,"&gt;"&amp;0))</f>
        <v>1.3430762852404641</v>
      </c>
    </row>
    <row r="105" spans="2:30" ht="30" x14ac:dyDescent="0.25">
      <c r="B105" s="127">
        <v>14</v>
      </c>
      <c r="C105" s="43">
        <v>1</v>
      </c>
      <c r="D105" s="43"/>
      <c r="E105" s="43"/>
      <c r="F105" s="128"/>
      <c r="G105" s="43"/>
      <c r="H105" s="43"/>
      <c r="J105" s="152">
        <v>8</v>
      </c>
      <c r="K105" s="43">
        <v>1</v>
      </c>
      <c r="L105" s="43"/>
      <c r="M105" s="43"/>
      <c r="N105" s="128"/>
      <c r="Q105" s="276" t="s">
        <v>116</v>
      </c>
      <c r="R105" s="45">
        <f>COUNT(R4:R103)</f>
        <v>13</v>
      </c>
      <c r="S105" s="45">
        <f>COUNT(S4:S90)</f>
        <v>87</v>
      </c>
      <c r="T105" s="45">
        <f>COUNT(T4:T103)</f>
        <v>30</v>
      </c>
      <c r="U105" s="42">
        <f>COUNT(U4:U103)</f>
        <v>70</v>
      </c>
    </row>
    <row r="106" spans="2:30" x14ac:dyDescent="0.25">
      <c r="B106" s="127">
        <v>14</v>
      </c>
      <c r="C106" s="43">
        <v>1</v>
      </c>
      <c r="D106" s="43"/>
      <c r="E106" s="43"/>
      <c r="F106" s="128"/>
      <c r="G106" s="43"/>
      <c r="H106" s="43"/>
      <c r="J106" s="152">
        <v>8</v>
      </c>
      <c r="K106" s="43">
        <v>1</v>
      </c>
      <c r="L106" s="43"/>
      <c r="M106" s="43"/>
      <c r="N106" s="128"/>
    </row>
    <row r="107" spans="2:30" x14ac:dyDescent="0.25">
      <c r="B107" s="127">
        <v>14</v>
      </c>
      <c r="C107" s="43">
        <v>1</v>
      </c>
      <c r="D107" s="43"/>
      <c r="E107" s="43"/>
      <c r="F107" s="128"/>
      <c r="G107" s="43"/>
      <c r="H107" s="43"/>
      <c r="J107" s="152">
        <v>8</v>
      </c>
      <c r="K107" s="43">
        <v>1</v>
      </c>
      <c r="L107" s="43"/>
      <c r="M107" s="43"/>
      <c r="N107" s="128"/>
    </row>
    <row r="108" spans="2:30" x14ac:dyDescent="0.25">
      <c r="B108" s="127">
        <v>14</v>
      </c>
      <c r="C108" s="43">
        <v>1</v>
      </c>
      <c r="D108" s="43"/>
      <c r="E108" s="43"/>
      <c r="F108" s="128"/>
      <c r="G108" s="43"/>
      <c r="H108" s="43"/>
      <c r="J108" s="152">
        <v>8</v>
      </c>
      <c r="K108" s="43">
        <v>1</v>
      </c>
      <c r="L108" s="43"/>
      <c r="M108" s="43"/>
      <c r="N108" s="128"/>
    </row>
    <row r="109" spans="2:30" x14ac:dyDescent="0.25">
      <c r="B109" s="127">
        <v>14</v>
      </c>
      <c r="C109" s="43">
        <v>1</v>
      </c>
      <c r="D109" s="43"/>
      <c r="E109" s="43"/>
      <c r="F109" s="128"/>
      <c r="G109" s="43"/>
      <c r="H109" s="43"/>
      <c r="J109" s="127">
        <v>9</v>
      </c>
      <c r="K109" s="43"/>
      <c r="L109" s="43">
        <v>1</v>
      </c>
      <c r="M109" s="43"/>
      <c r="N109" s="128"/>
    </row>
    <row r="110" spans="2:30" x14ac:dyDescent="0.25">
      <c r="B110" s="127">
        <v>15</v>
      </c>
      <c r="C110" s="43"/>
      <c r="D110" s="43">
        <v>1</v>
      </c>
      <c r="E110" s="43"/>
      <c r="F110" s="128"/>
      <c r="G110" s="43"/>
      <c r="H110" s="43"/>
      <c r="J110" s="127">
        <v>9</v>
      </c>
      <c r="K110" s="43"/>
      <c r="L110" s="43">
        <v>1</v>
      </c>
      <c r="M110" s="43"/>
      <c r="N110" s="128"/>
    </row>
    <row r="111" spans="2:30" x14ac:dyDescent="0.25">
      <c r="B111" s="127">
        <v>15</v>
      </c>
      <c r="C111" s="43"/>
      <c r="D111" s="43">
        <v>1</v>
      </c>
      <c r="E111" s="43"/>
      <c r="F111" s="128"/>
      <c r="G111" s="43"/>
      <c r="H111" s="43"/>
      <c r="J111" s="127">
        <v>9</v>
      </c>
      <c r="K111" s="43"/>
      <c r="L111" s="43">
        <v>1</v>
      </c>
      <c r="M111" s="43"/>
      <c r="N111" s="128"/>
    </row>
    <row r="112" spans="2:30" x14ac:dyDescent="0.25">
      <c r="B112" s="127">
        <v>15</v>
      </c>
      <c r="C112" s="43"/>
      <c r="D112" s="43">
        <v>1</v>
      </c>
      <c r="E112" s="43"/>
      <c r="F112" s="128"/>
      <c r="G112" s="43"/>
      <c r="H112" s="43"/>
      <c r="J112" s="127">
        <v>9</v>
      </c>
      <c r="K112" s="43"/>
      <c r="L112" s="43">
        <v>1</v>
      </c>
      <c r="M112" s="43"/>
      <c r="N112" s="128"/>
    </row>
    <row r="113" spans="2:14" x14ac:dyDescent="0.25">
      <c r="B113" s="127">
        <v>15</v>
      </c>
      <c r="C113" s="43"/>
      <c r="D113" s="43"/>
      <c r="E113" s="43"/>
      <c r="F113" s="128">
        <v>1</v>
      </c>
      <c r="G113" s="43"/>
      <c r="H113" s="43"/>
      <c r="J113" s="127">
        <v>9</v>
      </c>
      <c r="K113" s="43"/>
      <c r="L113" s="43">
        <v>1</v>
      </c>
      <c r="M113" s="43"/>
      <c r="N113" s="128"/>
    </row>
    <row r="114" spans="2:14" x14ac:dyDescent="0.25">
      <c r="B114" s="127">
        <v>15</v>
      </c>
      <c r="C114" s="43"/>
      <c r="D114" s="43"/>
      <c r="E114" s="43"/>
      <c r="F114" s="128">
        <v>1</v>
      </c>
      <c r="G114" s="43"/>
      <c r="H114" s="43"/>
      <c r="J114" s="127">
        <v>9</v>
      </c>
      <c r="K114" s="43"/>
      <c r="L114" s="43">
        <v>1</v>
      </c>
      <c r="M114" s="43"/>
      <c r="N114" s="128"/>
    </row>
    <row r="115" spans="2:14" x14ac:dyDescent="0.25">
      <c r="B115" s="127">
        <v>15</v>
      </c>
      <c r="C115" s="43"/>
      <c r="D115" s="43"/>
      <c r="E115" s="43"/>
      <c r="F115" s="128">
        <v>1</v>
      </c>
      <c r="G115" s="43"/>
      <c r="H115" s="43"/>
      <c r="J115" s="127">
        <v>9</v>
      </c>
      <c r="K115" s="43"/>
      <c r="L115" s="43">
        <v>1</v>
      </c>
      <c r="M115" s="43"/>
      <c r="N115" s="128"/>
    </row>
    <row r="116" spans="2:14" x14ac:dyDescent="0.25">
      <c r="B116" s="127">
        <v>15</v>
      </c>
      <c r="C116" s="43">
        <v>1</v>
      </c>
      <c r="D116" s="43"/>
      <c r="E116" s="43"/>
      <c r="F116" s="128"/>
      <c r="G116" s="43"/>
      <c r="H116" s="43"/>
      <c r="J116" s="127">
        <v>9</v>
      </c>
      <c r="K116" s="43"/>
      <c r="L116" s="43">
        <v>1</v>
      </c>
      <c r="M116" s="43"/>
      <c r="N116" s="128"/>
    </row>
    <row r="117" spans="2:14" x14ac:dyDescent="0.25">
      <c r="B117" s="127">
        <v>15</v>
      </c>
      <c r="C117" s="43">
        <v>1</v>
      </c>
      <c r="D117" s="43"/>
      <c r="E117" s="43"/>
      <c r="F117" s="128"/>
      <c r="G117" s="43"/>
      <c r="H117" s="43"/>
      <c r="J117" s="127">
        <v>9</v>
      </c>
      <c r="K117" s="43"/>
      <c r="L117" s="43">
        <v>1</v>
      </c>
      <c r="M117" s="43"/>
      <c r="N117" s="128"/>
    </row>
    <row r="118" spans="2:14" x14ac:dyDescent="0.25">
      <c r="B118" s="127">
        <v>15</v>
      </c>
      <c r="C118" s="43">
        <v>1</v>
      </c>
      <c r="D118" s="43"/>
      <c r="E118" s="43"/>
      <c r="F118" s="128"/>
      <c r="G118" s="43"/>
      <c r="H118" s="43"/>
      <c r="J118" s="127">
        <v>9</v>
      </c>
      <c r="K118" s="43"/>
      <c r="L118" s="43">
        <v>1</v>
      </c>
      <c r="M118" s="43"/>
      <c r="N118" s="128"/>
    </row>
    <row r="119" spans="2:14" x14ac:dyDescent="0.25">
      <c r="B119" s="127">
        <v>16</v>
      </c>
      <c r="C119" s="43"/>
      <c r="D119" s="43">
        <v>1</v>
      </c>
      <c r="E119" s="43"/>
      <c r="F119" s="128"/>
      <c r="G119" s="43"/>
      <c r="H119" s="43"/>
      <c r="J119" s="127">
        <v>9</v>
      </c>
      <c r="K119" s="43"/>
      <c r="L119" s="43">
        <v>1</v>
      </c>
      <c r="M119" s="43"/>
      <c r="N119" s="128"/>
    </row>
    <row r="120" spans="2:14" x14ac:dyDescent="0.25">
      <c r="B120" s="127">
        <v>16</v>
      </c>
      <c r="C120" s="43"/>
      <c r="D120" s="43">
        <v>1</v>
      </c>
      <c r="E120" s="43"/>
      <c r="F120" s="128"/>
      <c r="G120" s="43"/>
      <c r="H120" s="43"/>
      <c r="J120" s="127">
        <v>9</v>
      </c>
      <c r="K120" s="43"/>
      <c r="L120" s="43">
        <v>1</v>
      </c>
      <c r="M120" s="43"/>
      <c r="N120" s="128"/>
    </row>
    <row r="121" spans="2:14" x14ac:dyDescent="0.25">
      <c r="B121" s="127">
        <v>16</v>
      </c>
      <c r="C121" s="43"/>
      <c r="D121" s="43">
        <v>1</v>
      </c>
      <c r="E121" s="43"/>
      <c r="F121" s="128"/>
      <c r="G121" s="43"/>
      <c r="H121" s="43"/>
      <c r="J121" s="127">
        <v>9</v>
      </c>
      <c r="K121" s="43"/>
      <c r="L121" s="43">
        <v>1</v>
      </c>
      <c r="M121" s="43"/>
      <c r="N121" s="128"/>
    </row>
    <row r="122" spans="2:14" x14ac:dyDescent="0.25">
      <c r="B122" s="127">
        <v>16</v>
      </c>
      <c r="C122" s="43"/>
      <c r="D122" s="43"/>
      <c r="E122" s="43"/>
      <c r="F122" s="128">
        <v>1</v>
      </c>
      <c r="G122" s="43"/>
      <c r="H122" s="43"/>
      <c r="J122" s="127">
        <v>9</v>
      </c>
      <c r="K122" s="43"/>
      <c r="L122" s="43">
        <v>1</v>
      </c>
      <c r="M122" s="43"/>
      <c r="N122" s="128"/>
    </row>
    <row r="123" spans="2:14" x14ac:dyDescent="0.25">
      <c r="B123" s="127">
        <v>16</v>
      </c>
      <c r="C123" s="43">
        <v>1</v>
      </c>
      <c r="D123" s="43"/>
      <c r="E123" s="43"/>
      <c r="F123" s="128"/>
      <c r="G123" s="43"/>
      <c r="H123" s="43"/>
      <c r="J123" s="127">
        <v>9</v>
      </c>
      <c r="K123" s="43"/>
      <c r="L123" s="43"/>
      <c r="M123" s="43">
        <v>1</v>
      </c>
      <c r="N123" s="128"/>
    </row>
    <row r="124" spans="2:14" x14ac:dyDescent="0.25">
      <c r="B124" s="127">
        <v>16</v>
      </c>
      <c r="C124" s="43">
        <v>1</v>
      </c>
      <c r="D124" s="43"/>
      <c r="E124" s="43"/>
      <c r="F124" s="128"/>
      <c r="G124" s="43"/>
      <c r="H124" s="43"/>
      <c r="J124" s="127">
        <v>9</v>
      </c>
      <c r="K124" s="43"/>
      <c r="L124" s="43"/>
      <c r="M124" s="43">
        <v>1</v>
      </c>
      <c r="N124" s="128"/>
    </row>
    <row r="125" spans="2:14" x14ac:dyDescent="0.25">
      <c r="B125" s="127">
        <v>16</v>
      </c>
      <c r="C125" s="43">
        <v>1</v>
      </c>
      <c r="D125" s="43"/>
      <c r="E125" s="43"/>
      <c r="F125" s="128"/>
      <c r="G125" s="43"/>
      <c r="H125" s="43"/>
      <c r="J125" s="127">
        <v>9</v>
      </c>
      <c r="K125" s="43"/>
      <c r="L125" s="43"/>
      <c r="M125" s="43"/>
      <c r="N125" s="128">
        <v>1</v>
      </c>
    </row>
    <row r="126" spans="2:14" x14ac:dyDescent="0.25">
      <c r="B126" s="127">
        <v>17</v>
      </c>
      <c r="C126" s="43"/>
      <c r="D126" s="43">
        <v>1</v>
      </c>
      <c r="E126" s="43"/>
      <c r="F126" s="128"/>
      <c r="G126" s="43"/>
      <c r="H126" s="43"/>
      <c r="J126" s="127">
        <v>9</v>
      </c>
      <c r="K126" s="43"/>
      <c r="L126" s="43"/>
      <c r="M126" s="43"/>
      <c r="N126" s="128">
        <v>1</v>
      </c>
    </row>
    <row r="127" spans="2:14" x14ac:dyDescent="0.25">
      <c r="B127" s="127">
        <v>17</v>
      </c>
      <c r="C127" s="43"/>
      <c r="D127" s="43">
        <v>1</v>
      </c>
      <c r="E127" s="43"/>
      <c r="F127" s="128"/>
      <c r="G127" s="43"/>
      <c r="H127" s="43"/>
      <c r="J127" s="127">
        <v>9</v>
      </c>
      <c r="K127" s="43"/>
      <c r="L127" s="43"/>
      <c r="M127" s="43"/>
      <c r="N127" s="128">
        <v>1</v>
      </c>
    </row>
    <row r="128" spans="2:14" x14ac:dyDescent="0.25">
      <c r="B128" s="127">
        <v>17</v>
      </c>
      <c r="C128" s="43"/>
      <c r="D128" s="43">
        <v>1</v>
      </c>
      <c r="E128" s="43"/>
      <c r="F128" s="128"/>
      <c r="G128" s="43"/>
      <c r="H128" s="43"/>
      <c r="J128" s="127">
        <v>9</v>
      </c>
      <c r="K128" s="43"/>
      <c r="L128" s="43"/>
      <c r="M128" s="43"/>
      <c r="N128" s="128">
        <v>1</v>
      </c>
    </row>
    <row r="129" spans="2:14" x14ac:dyDescent="0.25">
      <c r="B129" s="127">
        <v>17</v>
      </c>
      <c r="C129" s="43"/>
      <c r="D129" s="43">
        <v>1</v>
      </c>
      <c r="E129" s="43"/>
      <c r="F129" s="128"/>
      <c r="G129" s="43"/>
      <c r="H129" s="43"/>
      <c r="J129" s="127">
        <v>9</v>
      </c>
      <c r="K129" s="43"/>
      <c r="L129" s="43"/>
      <c r="M129" s="43"/>
      <c r="N129" s="128">
        <v>1</v>
      </c>
    </row>
    <row r="130" spans="2:14" x14ac:dyDescent="0.25">
      <c r="B130" s="127">
        <v>17</v>
      </c>
      <c r="C130" s="43"/>
      <c r="D130" s="43">
        <v>1</v>
      </c>
      <c r="E130" s="43"/>
      <c r="F130" s="128"/>
      <c r="G130" s="43"/>
      <c r="H130" s="43"/>
      <c r="J130" s="152">
        <v>9</v>
      </c>
      <c r="K130" s="43">
        <v>1</v>
      </c>
      <c r="L130" s="43"/>
      <c r="M130" s="43"/>
      <c r="N130" s="128"/>
    </row>
    <row r="131" spans="2:14" x14ac:dyDescent="0.25">
      <c r="B131" s="127">
        <v>17</v>
      </c>
      <c r="C131" s="43"/>
      <c r="D131" s="43"/>
      <c r="E131" s="43">
        <v>1</v>
      </c>
      <c r="F131" s="128"/>
      <c r="G131" s="43"/>
      <c r="H131" s="43"/>
      <c r="J131" s="152">
        <v>9</v>
      </c>
      <c r="K131" s="43">
        <v>1</v>
      </c>
      <c r="L131" s="43"/>
      <c r="M131" s="43"/>
      <c r="N131" s="128"/>
    </row>
    <row r="132" spans="2:14" x14ac:dyDescent="0.25">
      <c r="B132" s="127">
        <v>17</v>
      </c>
      <c r="C132" s="43"/>
      <c r="D132" s="43"/>
      <c r="E132" s="43"/>
      <c r="F132" s="128">
        <v>1</v>
      </c>
      <c r="G132" s="43"/>
      <c r="H132" s="43"/>
      <c r="J132" s="152">
        <v>9</v>
      </c>
      <c r="K132" s="43">
        <v>1</v>
      </c>
      <c r="L132" s="43"/>
      <c r="M132" s="43"/>
      <c r="N132" s="128"/>
    </row>
    <row r="133" spans="2:14" x14ac:dyDescent="0.25">
      <c r="B133" s="127">
        <v>17</v>
      </c>
      <c r="C133" s="43"/>
      <c r="D133" s="43"/>
      <c r="E133" s="43"/>
      <c r="F133" s="128">
        <v>1</v>
      </c>
      <c r="G133" s="43"/>
      <c r="H133" s="43"/>
      <c r="J133" s="152">
        <v>9</v>
      </c>
      <c r="K133" s="43">
        <v>1</v>
      </c>
      <c r="L133" s="43"/>
      <c r="M133" s="43"/>
      <c r="N133" s="128"/>
    </row>
    <row r="134" spans="2:14" x14ac:dyDescent="0.25">
      <c r="B134" s="127">
        <v>17</v>
      </c>
      <c r="C134" s="43"/>
      <c r="D134" s="43"/>
      <c r="E134" s="43"/>
      <c r="F134" s="128">
        <v>1</v>
      </c>
      <c r="G134" s="43"/>
      <c r="H134" s="43"/>
      <c r="J134" s="152">
        <v>9</v>
      </c>
      <c r="K134" s="43">
        <v>1</v>
      </c>
      <c r="L134" s="43"/>
      <c r="M134" s="43"/>
      <c r="N134" s="128"/>
    </row>
    <row r="135" spans="2:14" x14ac:dyDescent="0.25">
      <c r="B135" s="127">
        <v>17</v>
      </c>
      <c r="C135" s="43">
        <v>1</v>
      </c>
      <c r="D135" s="43"/>
      <c r="E135" s="43"/>
      <c r="F135" s="128"/>
      <c r="G135" s="43"/>
      <c r="H135" s="43"/>
      <c r="J135" s="152">
        <v>9</v>
      </c>
      <c r="K135" s="43">
        <v>1</v>
      </c>
      <c r="L135" s="43"/>
      <c r="M135" s="43"/>
      <c r="N135" s="128"/>
    </row>
    <row r="136" spans="2:14" x14ac:dyDescent="0.25">
      <c r="B136" s="127">
        <v>17</v>
      </c>
      <c r="C136" s="43">
        <v>1</v>
      </c>
      <c r="D136" s="43"/>
      <c r="E136" s="43"/>
      <c r="F136" s="128"/>
      <c r="G136" s="43"/>
      <c r="H136" s="43"/>
      <c r="J136" s="152">
        <v>9</v>
      </c>
      <c r="K136" s="43">
        <v>1</v>
      </c>
      <c r="L136" s="43"/>
      <c r="M136" s="43"/>
      <c r="N136" s="128"/>
    </row>
    <row r="137" spans="2:14" x14ac:dyDescent="0.25">
      <c r="B137" s="127">
        <v>17</v>
      </c>
      <c r="C137" s="43">
        <v>1</v>
      </c>
      <c r="D137" s="43"/>
      <c r="E137" s="43"/>
      <c r="F137" s="128"/>
      <c r="G137" s="43"/>
      <c r="H137" s="43"/>
      <c r="J137" s="152">
        <v>9</v>
      </c>
      <c r="K137" s="43">
        <v>1</v>
      </c>
      <c r="L137" s="43"/>
      <c r="M137" s="43"/>
      <c r="N137" s="128"/>
    </row>
    <row r="138" spans="2:14" x14ac:dyDescent="0.25">
      <c r="B138" s="127">
        <v>17</v>
      </c>
      <c r="C138" s="43">
        <v>1</v>
      </c>
      <c r="D138" s="43"/>
      <c r="E138" s="43"/>
      <c r="F138" s="128"/>
      <c r="G138" s="43"/>
      <c r="H138" s="43"/>
      <c r="J138" s="152">
        <v>9</v>
      </c>
      <c r="K138" s="43">
        <v>1</v>
      </c>
      <c r="L138" s="43"/>
      <c r="M138" s="43"/>
      <c r="N138" s="128"/>
    </row>
    <row r="139" spans="2:14" x14ac:dyDescent="0.25">
      <c r="B139" s="127">
        <v>17</v>
      </c>
      <c r="C139" s="43">
        <v>1</v>
      </c>
      <c r="D139" s="43"/>
      <c r="E139" s="43"/>
      <c r="F139" s="128"/>
      <c r="G139" s="43"/>
      <c r="H139" s="43"/>
      <c r="J139" s="152">
        <v>9</v>
      </c>
      <c r="K139" s="43">
        <v>1</v>
      </c>
      <c r="L139" s="43"/>
      <c r="M139" s="43"/>
      <c r="N139" s="128"/>
    </row>
    <row r="140" spans="2:14" x14ac:dyDescent="0.25">
      <c r="B140" s="127">
        <v>17</v>
      </c>
      <c r="C140" s="43">
        <v>1</v>
      </c>
      <c r="D140" s="43"/>
      <c r="E140" s="43"/>
      <c r="F140" s="128"/>
      <c r="G140" s="43"/>
      <c r="H140" s="43"/>
      <c r="J140" s="152">
        <v>9</v>
      </c>
      <c r="K140" s="43">
        <v>1</v>
      </c>
      <c r="L140" s="43"/>
      <c r="M140" s="43"/>
      <c r="N140" s="128"/>
    </row>
    <row r="141" spans="2:14" x14ac:dyDescent="0.25">
      <c r="B141" s="127">
        <v>18</v>
      </c>
      <c r="C141" s="43"/>
      <c r="D141" s="43">
        <v>1</v>
      </c>
      <c r="E141" s="43"/>
      <c r="F141" s="128"/>
      <c r="G141" s="43"/>
      <c r="H141" s="43"/>
      <c r="J141" s="152">
        <v>9</v>
      </c>
      <c r="K141" s="43">
        <v>1</v>
      </c>
      <c r="L141" s="43"/>
      <c r="M141" s="43"/>
      <c r="N141" s="128"/>
    </row>
    <row r="142" spans="2:14" x14ac:dyDescent="0.25">
      <c r="B142" s="127">
        <v>18</v>
      </c>
      <c r="C142" s="43"/>
      <c r="D142" s="43">
        <v>1</v>
      </c>
      <c r="E142" s="43"/>
      <c r="F142" s="128"/>
      <c r="G142" s="43"/>
      <c r="H142" s="43"/>
      <c r="J142" s="152">
        <v>9</v>
      </c>
      <c r="K142" s="43">
        <v>1</v>
      </c>
      <c r="L142" s="43"/>
      <c r="M142" s="43"/>
      <c r="N142" s="128"/>
    </row>
    <row r="143" spans="2:14" x14ac:dyDescent="0.25">
      <c r="B143" s="127">
        <v>18</v>
      </c>
      <c r="C143" s="43"/>
      <c r="D143" s="43">
        <v>1</v>
      </c>
      <c r="E143" s="43"/>
      <c r="F143" s="128"/>
      <c r="G143" s="43"/>
      <c r="H143" s="43"/>
      <c r="J143" s="152">
        <v>9</v>
      </c>
      <c r="K143" s="43">
        <v>1</v>
      </c>
      <c r="L143" s="43"/>
      <c r="M143" s="43"/>
      <c r="N143" s="128"/>
    </row>
    <row r="144" spans="2:14" x14ac:dyDescent="0.25">
      <c r="B144" s="127">
        <v>18</v>
      </c>
      <c r="C144" s="43"/>
      <c r="D144" s="43">
        <v>1</v>
      </c>
      <c r="E144" s="43"/>
      <c r="F144" s="128"/>
      <c r="G144" s="43"/>
      <c r="J144" s="152">
        <v>9</v>
      </c>
      <c r="K144" s="43">
        <v>1</v>
      </c>
      <c r="L144" s="43"/>
      <c r="M144" s="43"/>
      <c r="N144" s="128"/>
    </row>
    <row r="145" spans="2:14" x14ac:dyDescent="0.25">
      <c r="B145" s="127">
        <v>18</v>
      </c>
      <c r="C145" s="43"/>
      <c r="D145" s="43">
        <v>1</v>
      </c>
      <c r="E145" s="43"/>
      <c r="F145" s="128"/>
      <c r="G145" s="43"/>
      <c r="J145" s="152">
        <v>9</v>
      </c>
      <c r="K145" s="43">
        <v>1</v>
      </c>
      <c r="L145" s="43"/>
      <c r="M145" s="43"/>
      <c r="N145" s="128"/>
    </row>
    <row r="146" spans="2:14" x14ac:dyDescent="0.25">
      <c r="B146" s="127">
        <v>18</v>
      </c>
      <c r="C146" s="43"/>
      <c r="D146" s="43">
        <v>1</v>
      </c>
      <c r="E146" s="43"/>
      <c r="F146" s="128"/>
      <c r="G146" s="43"/>
      <c r="J146" s="127">
        <v>10</v>
      </c>
      <c r="K146" s="43"/>
      <c r="L146" s="43">
        <v>1</v>
      </c>
      <c r="M146" s="43"/>
      <c r="N146" s="128"/>
    </row>
    <row r="147" spans="2:14" x14ac:dyDescent="0.25">
      <c r="B147" s="127">
        <v>18</v>
      </c>
      <c r="C147" s="43"/>
      <c r="D147" s="43">
        <v>1</v>
      </c>
      <c r="E147" s="43"/>
      <c r="F147" s="128"/>
      <c r="G147" s="43"/>
      <c r="J147" s="127">
        <v>10</v>
      </c>
      <c r="K147" s="43"/>
      <c r="L147" s="43">
        <v>1</v>
      </c>
      <c r="M147" s="43"/>
      <c r="N147" s="128"/>
    </row>
    <row r="148" spans="2:14" x14ac:dyDescent="0.25">
      <c r="B148" s="127">
        <v>18</v>
      </c>
      <c r="C148" s="43"/>
      <c r="D148" s="43"/>
      <c r="E148" s="43">
        <v>1</v>
      </c>
      <c r="F148" s="128"/>
      <c r="G148" s="43"/>
      <c r="J148" s="127">
        <v>10</v>
      </c>
      <c r="K148" s="43"/>
      <c r="L148" s="43">
        <v>1</v>
      </c>
      <c r="M148" s="43"/>
      <c r="N148" s="128"/>
    </row>
    <row r="149" spans="2:14" x14ac:dyDescent="0.25">
      <c r="B149" s="127">
        <v>18</v>
      </c>
      <c r="C149" s="43"/>
      <c r="D149" s="43"/>
      <c r="E149" s="43">
        <v>1</v>
      </c>
      <c r="F149" s="128"/>
      <c r="G149" s="43"/>
      <c r="J149" s="127">
        <v>10</v>
      </c>
      <c r="K149" s="43"/>
      <c r="L149" s="43">
        <v>1</v>
      </c>
      <c r="M149" s="43"/>
      <c r="N149" s="128"/>
    </row>
    <row r="150" spans="2:14" x14ac:dyDescent="0.25">
      <c r="B150" s="127">
        <v>18</v>
      </c>
      <c r="C150" s="43"/>
      <c r="D150" s="43"/>
      <c r="E150" s="43"/>
      <c r="F150" s="128">
        <v>1</v>
      </c>
      <c r="G150" s="43"/>
      <c r="J150" s="127">
        <v>10</v>
      </c>
      <c r="K150" s="43"/>
      <c r="L150" s="43">
        <v>1</v>
      </c>
      <c r="M150" s="43"/>
      <c r="N150" s="128"/>
    </row>
    <row r="151" spans="2:14" x14ac:dyDescent="0.25">
      <c r="B151" s="127">
        <v>18</v>
      </c>
      <c r="C151" s="43"/>
      <c r="D151" s="43"/>
      <c r="E151" s="43"/>
      <c r="F151" s="128">
        <v>1</v>
      </c>
      <c r="G151" s="43"/>
      <c r="J151" s="127">
        <v>10</v>
      </c>
      <c r="K151" s="43"/>
      <c r="L151" s="43"/>
      <c r="M151" s="43">
        <v>1</v>
      </c>
      <c r="N151" s="128"/>
    </row>
    <row r="152" spans="2:14" x14ac:dyDescent="0.25">
      <c r="B152" s="127">
        <v>18</v>
      </c>
      <c r="C152" s="43">
        <v>1</v>
      </c>
      <c r="D152" s="43"/>
      <c r="E152" s="43"/>
      <c r="F152" s="128"/>
      <c r="G152" s="43"/>
      <c r="J152" s="152">
        <v>10</v>
      </c>
      <c r="K152" s="43">
        <v>1</v>
      </c>
      <c r="L152" s="43"/>
      <c r="M152" s="43"/>
      <c r="N152" s="128"/>
    </row>
    <row r="153" spans="2:14" x14ac:dyDescent="0.25">
      <c r="B153" s="127">
        <v>18</v>
      </c>
      <c r="C153" s="43">
        <v>1</v>
      </c>
      <c r="D153" s="43"/>
      <c r="E153" s="43"/>
      <c r="F153" s="128"/>
      <c r="G153" s="43"/>
      <c r="J153" s="152">
        <v>10</v>
      </c>
      <c r="K153" s="43">
        <v>1</v>
      </c>
      <c r="L153" s="43"/>
      <c r="M153" s="43"/>
      <c r="N153" s="128"/>
    </row>
    <row r="154" spans="2:14" x14ac:dyDescent="0.25">
      <c r="B154" s="127">
        <v>18</v>
      </c>
      <c r="C154" s="43">
        <v>1</v>
      </c>
      <c r="D154" s="43"/>
      <c r="E154" s="43"/>
      <c r="F154" s="128"/>
      <c r="G154" s="43"/>
      <c r="J154" s="152">
        <v>10</v>
      </c>
      <c r="K154" s="43">
        <v>1</v>
      </c>
      <c r="L154" s="43"/>
      <c r="M154" s="43"/>
      <c r="N154" s="128"/>
    </row>
    <row r="155" spans="2:14" x14ac:dyDescent="0.25">
      <c r="B155" s="127">
        <v>18</v>
      </c>
      <c r="C155" s="43">
        <v>1</v>
      </c>
      <c r="D155" s="43"/>
      <c r="E155" s="43"/>
      <c r="F155" s="128"/>
      <c r="G155" s="43"/>
      <c r="J155" s="152">
        <v>10</v>
      </c>
      <c r="K155" s="43">
        <v>1</v>
      </c>
      <c r="L155" s="43"/>
      <c r="M155" s="43"/>
      <c r="N155" s="128"/>
    </row>
    <row r="156" spans="2:14" x14ac:dyDescent="0.25">
      <c r="B156" s="127">
        <v>18</v>
      </c>
      <c r="C156" s="43">
        <v>1</v>
      </c>
      <c r="D156" s="43"/>
      <c r="E156" s="43"/>
      <c r="F156" s="128"/>
      <c r="G156" s="43"/>
      <c r="J156" s="152">
        <v>10</v>
      </c>
      <c r="K156" s="43">
        <v>1</v>
      </c>
      <c r="L156" s="43"/>
      <c r="M156" s="43"/>
      <c r="N156" s="128"/>
    </row>
    <row r="157" spans="2:14" x14ac:dyDescent="0.25">
      <c r="B157" s="127">
        <v>18</v>
      </c>
      <c r="C157" s="43">
        <v>1</v>
      </c>
      <c r="D157" s="43"/>
      <c r="E157" s="43"/>
      <c r="F157" s="128"/>
      <c r="G157" s="43"/>
      <c r="J157" s="152">
        <v>10</v>
      </c>
      <c r="K157" s="43">
        <v>1</v>
      </c>
      <c r="L157" s="43"/>
      <c r="M157" s="43"/>
      <c r="N157" s="128"/>
    </row>
    <row r="158" spans="2:14" x14ac:dyDescent="0.25">
      <c r="B158" s="127">
        <v>18</v>
      </c>
      <c r="C158" s="43">
        <v>1</v>
      </c>
      <c r="D158" s="43"/>
      <c r="E158" s="43"/>
      <c r="F158" s="128"/>
      <c r="G158" s="43"/>
      <c r="J158" s="127">
        <v>11</v>
      </c>
      <c r="K158" s="43"/>
      <c r="L158" s="43">
        <v>1</v>
      </c>
      <c r="M158" s="43"/>
      <c r="N158" s="128"/>
    </row>
    <row r="159" spans="2:14" x14ac:dyDescent="0.25">
      <c r="B159" s="127">
        <v>18</v>
      </c>
      <c r="C159" s="43">
        <v>1</v>
      </c>
      <c r="D159" s="43"/>
      <c r="E159" s="43"/>
      <c r="F159" s="128"/>
      <c r="G159" s="43"/>
      <c r="J159" s="127">
        <v>11</v>
      </c>
      <c r="K159" s="43"/>
      <c r="L159" s="43">
        <v>1</v>
      </c>
      <c r="M159" s="43"/>
      <c r="N159" s="128"/>
    </row>
    <row r="160" spans="2:14" x14ac:dyDescent="0.25">
      <c r="B160" s="127">
        <v>18</v>
      </c>
      <c r="C160" s="43">
        <v>1</v>
      </c>
      <c r="D160" s="43"/>
      <c r="E160" s="43"/>
      <c r="F160" s="128"/>
      <c r="G160" s="43"/>
      <c r="J160" s="127">
        <v>11</v>
      </c>
      <c r="K160" s="43"/>
      <c r="L160" s="43">
        <v>1</v>
      </c>
      <c r="M160" s="43"/>
      <c r="N160" s="128"/>
    </row>
    <row r="161" spans="2:17" x14ac:dyDescent="0.25">
      <c r="B161" s="127">
        <v>19</v>
      </c>
      <c r="C161" s="43">
        <v>1</v>
      </c>
      <c r="D161" s="43"/>
      <c r="E161" s="43"/>
      <c r="F161" s="128"/>
      <c r="G161" s="43"/>
      <c r="J161" s="127">
        <v>11</v>
      </c>
      <c r="K161" s="43"/>
      <c r="L161" s="43">
        <v>1</v>
      </c>
      <c r="M161" s="43"/>
      <c r="N161" s="128"/>
    </row>
    <row r="162" spans="2:17" x14ac:dyDescent="0.25">
      <c r="B162" s="127">
        <v>19</v>
      </c>
      <c r="C162" s="43">
        <v>1</v>
      </c>
      <c r="D162" s="43"/>
      <c r="E162" s="43"/>
      <c r="F162" s="128"/>
      <c r="G162" s="43"/>
      <c r="J162" s="127">
        <v>11</v>
      </c>
      <c r="K162" s="43"/>
      <c r="L162" s="43">
        <v>1</v>
      </c>
      <c r="M162" s="43"/>
      <c r="N162" s="128"/>
    </row>
    <row r="163" spans="2:17" x14ac:dyDescent="0.25">
      <c r="B163" s="127">
        <v>19</v>
      </c>
      <c r="C163" s="43">
        <v>1</v>
      </c>
      <c r="D163" s="43"/>
      <c r="E163" s="43"/>
      <c r="F163" s="128"/>
      <c r="G163" s="43"/>
      <c r="J163" s="127">
        <v>11</v>
      </c>
      <c r="K163" s="43"/>
      <c r="L163" s="43">
        <v>1</v>
      </c>
      <c r="M163" s="43"/>
      <c r="N163" s="128"/>
    </row>
    <row r="164" spans="2:17" x14ac:dyDescent="0.25">
      <c r="B164" s="127">
        <v>21</v>
      </c>
      <c r="C164" s="43"/>
      <c r="D164" s="43">
        <v>1</v>
      </c>
      <c r="E164" s="43"/>
      <c r="F164" s="128"/>
      <c r="G164" s="43"/>
      <c r="J164" s="127">
        <v>11</v>
      </c>
      <c r="K164" s="43"/>
      <c r="L164" s="43">
        <v>1</v>
      </c>
      <c r="M164" s="43"/>
      <c r="N164" s="128"/>
      <c r="P164" s="127">
        <v>1</v>
      </c>
      <c r="Q164">
        <f t="shared" ref="Q164:Q179" si="2">COUNTIFS($J$4:$J$163,P164,$K$4:$K$163,1)</f>
        <v>1</v>
      </c>
    </row>
    <row r="165" spans="2:17" x14ac:dyDescent="0.25">
      <c r="B165" s="127">
        <v>21</v>
      </c>
      <c r="C165" s="43"/>
      <c r="D165" s="43">
        <v>1</v>
      </c>
      <c r="E165" s="43"/>
      <c r="F165" s="128"/>
      <c r="G165" s="43"/>
      <c r="J165" s="127">
        <v>11</v>
      </c>
      <c r="K165" s="43"/>
      <c r="L165" s="43">
        <v>1</v>
      </c>
      <c r="M165" s="43"/>
      <c r="N165" s="128"/>
      <c r="P165" s="127">
        <v>2</v>
      </c>
      <c r="Q165">
        <f t="shared" si="2"/>
        <v>0</v>
      </c>
    </row>
    <row r="166" spans="2:17" x14ac:dyDescent="0.25">
      <c r="B166" s="127">
        <v>21</v>
      </c>
      <c r="C166" s="43"/>
      <c r="D166" s="43">
        <v>1</v>
      </c>
      <c r="E166" s="43"/>
      <c r="F166" s="128"/>
      <c r="G166" s="43"/>
      <c r="J166" s="127">
        <v>11</v>
      </c>
      <c r="K166" s="43"/>
      <c r="L166" s="43"/>
      <c r="M166" s="43">
        <v>1</v>
      </c>
      <c r="N166" s="128"/>
      <c r="P166" s="127">
        <v>3</v>
      </c>
      <c r="Q166">
        <f t="shared" si="2"/>
        <v>0</v>
      </c>
    </row>
    <row r="167" spans="2:17" x14ac:dyDescent="0.25">
      <c r="B167" s="127">
        <v>21</v>
      </c>
      <c r="C167" s="43"/>
      <c r="D167" s="43">
        <v>1</v>
      </c>
      <c r="E167" s="43"/>
      <c r="F167" s="128"/>
      <c r="G167" s="43"/>
      <c r="J167" s="127">
        <v>11</v>
      </c>
      <c r="K167" s="43"/>
      <c r="L167" s="43"/>
      <c r="M167" s="43">
        <v>1</v>
      </c>
      <c r="N167" s="128"/>
      <c r="P167" s="127">
        <v>4</v>
      </c>
      <c r="Q167">
        <f t="shared" si="2"/>
        <v>1</v>
      </c>
    </row>
    <row r="168" spans="2:17" x14ac:dyDescent="0.25">
      <c r="B168" s="127">
        <v>21</v>
      </c>
      <c r="C168" s="43"/>
      <c r="D168" s="43">
        <v>1</v>
      </c>
      <c r="E168" s="43"/>
      <c r="F168" s="128"/>
      <c r="G168" s="43"/>
      <c r="J168" s="127">
        <v>11</v>
      </c>
      <c r="K168" s="43"/>
      <c r="L168" s="43"/>
      <c r="M168" s="43">
        <v>1</v>
      </c>
      <c r="N168" s="128"/>
      <c r="P168" s="127">
        <v>7</v>
      </c>
      <c r="Q168">
        <f t="shared" si="2"/>
        <v>23</v>
      </c>
    </row>
    <row r="169" spans="2:17" x14ac:dyDescent="0.25">
      <c r="B169" s="127">
        <v>21</v>
      </c>
      <c r="C169" s="43"/>
      <c r="D169" s="43">
        <v>1</v>
      </c>
      <c r="E169" s="43"/>
      <c r="F169" s="128"/>
      <c r="G169" s="43"/>
      <c r="J169" s="127">
        <v>11</v>
      </c>
      <c r="K169" s="43"/>
      <c r="L169" s="43"/>
      <c r="M169" s="43"/>
      <c r="N169" s="128">
        <v>1</v>
      </c>
      <c r="P169" s="127">
        <v>8</v>
      </c>
      <c r="Q169">
        <f t="shared" si="2"/>
        <v>17</v>
      </c>
    </row>
    <row r="170" spans="2:17" x14ac:dyDescent="0.25">
      <c r="B170" s="127">
        <v>21</v>
      </c>
      <c r="C170" s="43"/>
      <c r="D170" s="43">
        <v>1</v>
      </c>
      <c r="E170" s="43"/>
      <c r="F170" s="128"/>
      <c r="J170" s="152">
        <v>11</v>
      </c>
      <c r="K170" s="43">
        <v>1</v>
      </c>
      <c r="L170" s="43"/>
      <c r="M170" s="43"/>
      <c r="N170" s="128"/>
      <c r="P170" s="127">
        <v>9</v>
      </c>
      <c r="Q170">
        <f t="shared" si="2"/>
        <v>16</v>
      </c>
    </row>
    <row r="171" spans="2:17" x14ac:dyDescent="0.25">
      <c r="B171" s="127">
        <v>21</v>
      </c>
      <c r="C171" s="43"/>
      <c r="D171" s="43">
        <v>1</v>
      </c>
      <c r="E171" s="43"/>
      <c r="F171" s="128"/>
      <c r="J171" s="152">
        <v>11</v>
      </c>
      <c r="K171" s="43">
        <v>1</v>
      </c>
      <c r="L171" s="43"/>
      <c r="M171" s="43"/>
      <c r="N171" s="128"/>
      <c r="P171" s="127">
        <v>10</v>
      </c>
      <c r="Q171">
        <f t="shared" si="2"/>
        <v>6</v>
      </c>
    </row>
    <row r="172" spans="2:17" x14ac:dyDescent="0.25">
      <c r="B172" s="127">
        <v>21</v>
      </c>
      <c r="C172" s="43"/>
      <c r="D172" s="43">
        <v>1</v>
      </c>
      <c r="E172" s="43"/>
      <c r="F172" s="128"/>
      <c r="J172" s="152">
        <v>11</v>
      </c>
      <c r="K172" s="43">
        <v>1</v>
      </c>
      <c r="L172" s="43"/>
      <c r="M172" s="43"/>
      <c r="N172" s="128"/>
      <c r="P172" s="127">
        <v>11</v>
      </c>
      <c r="Q172">
        <f t="shared" si="2"/>
        <v>0</v>
      </c>
    </row>
    <row r="173" spans="2:17" x14ac:dyDescent="0.25">
      <c r="B173" s="127">
        <v>21</v>
      </c>
      <c r="C173" s="43"/>
      <c r="D173" s="43">
        <v>1</v>
      </c>
      <c r="E173" s="43"/>
      <c r="F173" s="128"/>
      <c r="J173" s="152">
        <v>11</v>
      </c>
      <c r="K173" s="43">
        <v>1</v>
      </c>
      <c r="L173" s="43"/>
      <c r="M173" s="43"/>
      <c r="N173" s="128"/>
      <c r="P173" s="127">
        <v>14</v>
      </c>
      <c r="Q173">
        <f t="shared" si="2"/>
        <v>0</v>
      </c>
    </row>
    <row r="174" spans="2:17" x14ac:dyDescent="0.25">
      <c r="B174" s="127">
        <v>21</v>
      </c>
      <c r="C174" s="43"/>
      <c r="D174" s="43"/>
      <c r="E174" s="43">
        <v>1</v>
      </c>
      <c r="F174" s="128"/>
      <c r="J174" s="152">
        <v>11</v>
      </c>
      <c r="K174" s="43">
        <v>1</v>
      </c>
      <c r="L174" s="43"/>
      <c r="M174" s="43"/>
      <c r="N174" s="128"/>
      <c r="P174" s="127">
        <v>15</v>
      </c>
      <c r="Q174">
        <f t="shared" si="2"/>
        <v>0</v>
      </c>
    </row>
    <row r="175" spans="2:17" x14ac:dyDescent="0.25">
      <c r="B175" s="127">
        <v>21</v>
      </c>
      <c r="C175" s="43"/>
      <c r="D175" s="43"/>
      <c r="E175" s="43"/>
      <c r="F175" s="128">
        <v>1</v>
      </c>
      <c r="J175" s="152">
        <v>11</v>
      </c>
      <c r="K175" s="43">
        <v>1</v>
      </c>
      <c r="L175" s="43"/>
      <c r="M175" s="43"/>
      <c r="N175" s="128"/>
      <c r="P175" s="127">
        <v>16</v>
      </c>
      <c r="Q175">
        <f t="shared" si="2"/>
        <v>0</v>
      </c>
    </row>
    <row r="176" spans="2:17" x14ac:dyDescent="0.25">
      <c r="B176" s="127">
        <v>21</v>
      </c>
      <c r="C176" s="43"/>
      <c r="D176" s="43"/>
      <c r="E176" s="43"/>
      <c r="F176" s="128">
        <v>1</v>
      </c>
      <c r="J176" s="152">
        <v>11</v>
      </c>
      <c r="K176" s="43">
        <v>1</v>
      </c>
      <c r="L176" s="43"/>
      <c r="M176" s="43"/>
      <c r="N176" s="128"/>
      <c r="P176" s="127">
        <v>18</v>
      </c>
      <c r="Q176">
        <f t="shared" si="2"/>
        <v>0</v>
      </c>
    </row>
    <row r="177" spans="2:17" x14ac:dyDescent="0.25">
      <c r="B177" s="127">
        <v>21</v>
      </c>
      <c r="C177" s="43"/>
      <c r="D177" s="43"/>
      <c r="E177" s="43"/>
      <c r="F177" s="128">
        <v>1</v>
      </c>
      <c r="J177" s="152">
        <v>11</v>
      </c>
      <c r="K177" s="43">
        <v>1</v>
      </c>
      <c r="L177" s="43"/>
      <c r="M177" s="43"/>
      <c r="N177" s="128"/>
      <c r="P177" s="127">
        <v>21</v>
      </c>
      <c r="Q177">
        <f t="shared" si="2"/>
        <v>0</v>
      </c>
    </row>
    <row r="178" spans="2:17" x14ac:dyDescent="0.25">
      <c r="B178" s="127">
        <v>21</v>
      </c>
      <c r="C178" s="43">
        <v>1</v>
      </c>
      <c r="D178" s="43"/>
      <c r="E178" s="43"/>
      <c r="F178" s="128"/>
      <c r="J178" s="152">
        <v>11</v>
      </c>
      <c r="K178" s="43">
        <v>1</v>
      </c>
      <c r="L178" s="43"/>
      <c r="M178" s="43"/>
      <c r="N178" s="128"/>
      <c r="P178" s="127">
        <v>22</v>
      </c>
      <c r="Q178">
        <f t="shared" si="2"/>
        <v>0</v>
      </c>
    </row>
    <row r="179" spans="2:17" x14ac:dyDescent="0.25">
      <c r="B179" s="127">
        <v>21</v>
      </c>
      <c r="C179" s="43">
        <v>1</v>
      </c>
      <c r="D179" s="43"/>
      <c r="E179" s="43"/>
      <c r="F179" s="128"/>
      <c r="J179" s="152">
        <v>11</v>
      </c>
      <c r="K179" s="43">
        <v>1</v>
      </c>
      <c r="L179" s="43"/>
      <c r="M179" s="43"/>
      <c r="N179" s="128"/>
      <c r="P179" s="127">
        <v>23</v>
      </c>
      <c r="Q179">
        <f t="shared" si="2"/>
        <v>0</v>
      </c>
    </row>
    <row r="180" spans="2:17" x14ac:dyDescent="0.25">
      <c r="B180" s="127">
        <v>21</v>
      </c>
      <c r="C180" s="43">
        <v>1</v>
      </c>
      <c r="D180" s="43"/>
      <c r="E180" s="43"/>
      <c r="F180" s="128"/>
      <c r="J180" s="152">
        <v>11</v>
      </c>
      <c r="K180" s="43">
        <v>1</v>
      </c>
      <c r="L180" s="43"/>
      <c r="M180" s="43"/>
      <c r="N180" s="128"/>
    </row>
    <row r="181" spans="2:17" x14ac:dyDescent="0.25">
      <c r="B181" s="127">
        <v>21</v>
      </c>
      <c r="C181" s="43">
        <v>1</v>
      </c>
      <c r="D181" s="43"/>
      <c r="E181" s="43"/>
      <c r="F181" s="128"/>
      <c r="J181" s="127">
        <v>14</v>
      </c>
      <c r="K181" s="43"/>
      <c r="L181" s="43">
        <v>1</v>
      </c>
      <c r="M181" s="43"/>
      <c r="N181" s="128"/>
    </row>
    <row r="182" spans="2:17" x14ac:dyDescent="0.25">
      <c r="B182" s="127">
        <v>21</v>
      </c>
      <c r="C182" s="43">
        <v>1</v>
      </c>
      <c r="D182" s="43"/>
      <c r="E182" s="43"/>
      <c r="F182" s="128"/>
      <c r="J182" s="127">
        <v>14</v>
      </c>
      <c r="K182" s="43"/>
      <c r="L182" s="43">
        <v>1</v>
      </c>
      <c r="M182" s="43"/>
      <c r="N182" s="128"/>
    </row>
    <row r="183" spans="2:17" x14ac:dyDescent="0.25">
      <c r="B183" s="127">
        <v>21</v>
      </c>
      <c r="C183" s="43">
        <v>1</v>
      </c>
      <c r="D183" s="43"/>
      <c r="E183" s="43"/>
      <c r="F183" s="128"/>
      <c r="J183" s="127">
        <v>14</v>
      </c>
      <c r="K183" s="43"/>
      <c r="L183" s="43">
        <v>1</v>
      </c>
      <c r="M183" s="43"/>
      <c r="N183" s="128"/>
    </row>
    <row r="184" spans="2:17" x14ac:dyDescent="0.25">
      <c r="B184" s="127">
        <v>21</v>
      </c>
      <c r="C184" s="43">
        <v>1</v>
      </c>
      <c r="D184" s="43"/>
      <c r="E184" s="43"/>
      <c r="F184" s="128"/>
      <c r="J184" s="127">
        <v>14</v>
      </c>
      <c r="K184" s="43"/>
      <c r="L184" s="43">
        <v>1</v>
      </c>
      <c r="M184" s="43"/>
      <c r="N184" s="128"/>
    </row>
    <row r="185" spans="2:17" x14ac:dyDescent="0.25">
      <c r="B185" s="127">
        <v>21</v>
      </c>
      <c r="C185" s="43">
        <v>1</v>
      </c>
      <c r="D185" s="43"/>
      <c r="E185" s="43"/>
      <c r="F185" s="128"/>
      <c r="J185" s="127">
        <v>14</v>
      </c>
      <c r="K185" s="43"/>
      <c r="L185" s="43">
        <v>1</v>
      </c>
      <c r="M185" s="43"/>
      <c r="N185" s="128"/>
    </row>
    <row r="186" spans="2:17" x14ac:dyDescent="0.25">
      <c r="B186" s="127">
        <v>21</v>
      </c>
      <c r="C186" s="43">
        <v>1</v>
      </c>
      <c r="D186" s="43"/>
      <c r="E186" s="43"/>
      <c r="F186" s="128"/>
      <c r="J186" s="127">
        <v>14</v>
      </c>
      <c r="K186" s="43"/>
      <c r="L186" s="43">
        <v>1</v>
      </c>
      <c r="M186" s="43"/>
      <c r="N186" s="128"/>
    </row>
    <row r="187" spans="2:17" x14ac:dyDescent="0.25">
      <c r="B187" s="127">
        <v>21</v>
      </c>
      <c r="C187" s="43">
        <v>1</v>
      </c>
      <c r="D187" s="43"/>
      <c r="E187" s="43"/>
      <c r="F187" s="128"/>
      <c r="J187" s="127">
        <v>14</v>
      </c>
      <c r="K187" s="43"/>
      <c r="L187" s="43">
        <v>1</v>
      </c>
      <c r="M187" s="43"/>
      <c r="N187" s="128"/>
    </row>
    <row r="188" spans="2:17" x14ac:dyDescent="0.25">
      <c r="B188" s="127">
        <v>21</v>
      </c>
      <c r="C188" s="43">
        <v>1</v>
      </c>
      <c r="D188" s="43"/>
      <c r="E188" s="43"/>
      <c r="F188" s="128"/>
      <c r="J188" s="127">
        <v>14</v>
      </c>
      <c r="K188" s="43"/>
      <c r="L188" s="43">
        <v>1</v>
      </c>
      <c r="M188" s="43"/>
      <c r="N188" s="128"/>
    </row>
    <row r="189" spans="2:17" x14ac:dyDescent="0.25">
      <c r="B189" s="127">
        <v>22</v>
      </c>
      <c r="C189" s="43"/>
      <c r="D189" s="43">
        <v>1</v>
      </c>
      <c r="E189" s="43"/>
      <c r="F189" s="128"/>
      <c r="J189" s="127">
        <v>14</v>
      </c>
      <c r="K189" s="43"/>
      <c r="L189" s="43">
        <v>1</v>
      </c>
      <c r="M189" s="43"/>
      <c r="N189" s="128"/>
    </row>
    <row r="190" spans="2:17" x14ac:dyDescent="0.25">
      <c r="B190" s="127">
        <v>22</v>
      </c>
      <c r="C190" s="43"/>
      <c r="D190" s="43">
        <v>1</v>
      </c>
      <c r="E190" s="43"/>
      <c r="F190" s="128"/>
      <c r="G190" s="43"/>
      <c r="J190" s="127">
        <v>14</v>
      </c>
      <c r="K190" s="43"/>
      <c r="L190" s="43">
        <v>1</v>
      </c>
      <c r="M190" s="43"/>
      <c r="N190" s="128"/>
    </row>
    <row r="191" spans="2:17" x14ac:dyDescent="0.25">
      <c r="B191" s="127">
        <v>22</v>
      </c>
      <c r="C191" s="43"/>
      <c r="D191" s="43"/>
      <c r="E191" s="43"/>
      <c r="F191" s="128">
        <v>1</v>
      </c>
      <c r="G191" s="43"/>
      <c r="J191" s="127">
        <v>14</v>
      </c>
      <c r="K191" s="43"/>
      <c r="L191" s="43">
        <v>1</v>
      </c>
      <c r="M191" s="43"/>
      <c r="N191" s="128"/>
    </row>
    <row r="192" spans="2:17" x14ac:dyDescent="0.25">
      <c r="B192" s="127">
        <v>22</v>
      </c>
      <c r="C192" s="43">
        <v>1</v>
      </c>
      <c r="D192" s="43"/>
      <c r="E192" s="43"/>
      <c r="F192" s="128"/>
      <c r="G192" s="43"/>
      <c r="J192" s="127">
        <v>14</v>
      </c>
      <c r="K192" s="43"/>
      <c r="L192" s="43">
        <v>1</v>
      </c>
      <c r="M192" s="43"/>
      <c r="N192" s="128"/>
    </row>
    <row r="193" spans="2:14" x14ac:dyDescent="0.25">
      <c r="B193" s="127">
        <v>22</v>
      </c>
      <c r="C193" s="43">
        <v>1</v>
      </c>
      <c r="D193" s="43"/>
      <c r="E193" s="43"/>
      <c r="F193" s="128"/>
      <c r="G193" s="43"/>
      <c r="J193" s="127">
        <v>14</v>
      </c>
      <c r="K193" s="43"/>
      <c r="L193" s="43">
        <v>1</v>
      </c>
      <c r="M193" s="43"/>
      <c r="N193" s="128"/>
    </row>
    <row r="194" spans="2:14" x14ac:dyDescent="0.25">
      <c r="B194" s="127">
        <v>23</v>
      </c>
      <c r="C194" s="43"/>
      <c r="D194" s="43">
        <v>1</v>
      </c>
      <c r="E194" s="43"/>
      <c r="F194" s="128"/>
      <c r="G194" s="43"/>
      <c r="J194" s="127">
        <v>14</v>
      </c>
      <c r="K194" s="43"/>
      <c r="L194" s="43">
        <v>1</v>
      </c>
      <c r="M194" s="43"/>
      <c r="N194" s="128"/>
    </row>
    <row r="195" spans="2:14" x14ac:dyDescent="0.25">
      <c r="B195" s="127">
        <v>23</v>
      </c>
      <c r="C195" s="43"/>
      <c r="D195" s="43">
        <v>1</v>
      </c>
      <c r="E195" s="43"/>
      <c r="F195" s="128"/>
      <c r="G195" s="43"/>
      <c r="J195" s="127">
        <v>14</v>
      </c>
      <c r="K195" s="43"/>
      <c r="L195" s="43"/>
      <c r="M195" s="43">
        <v>1</v>
      </c>
      <c r="N195" s="128"/>
    </row>
    <row r="196" spans="2:14" x14ac:dyDescent="0.25">
      <c r="B196" s="127">
        <v>23</v>
      </c>
      <c r="C196" s="43"/>
      <c r="D196" s="43"/>
      <c r="E196" s="43"/>
      <c r="F196" s="128">
        <v>1</v>
      </c>
      <c r="G196" s="43"/>
      <c r="J196" s="127">
        <v>14</v>
      </c>
      <c r="K196" s="43"/>
      <c r="L196" s="43"/>
      <c r="M196" s="43">
        <v>1</v>
      </c>
      <c r="N196" s="128"/>
    </row>
    <row r="197" spans="2:14" x14ac:dyDescent="0.25">
      <c r="B197" s="127">
        <v>23</v>
      </c>
      <c r="C197" s="43">
        <v>1</v>
      </c>
      <c r="D197" s="43"/>
      <c r="E197" s="43"/>
      <c r="F197" s="128"/>
      <c r="G197" s="43"/>
      <c r="J197" s="127">
        <v>14</v>
      </c>
      <c r="K197" s="43"/>
      <c r="L197" s="43"/>
      <c r="M197" s="43">
        <v>1</v>
      </c>
      <c r="N197" s="128"/>
    </row>
    <row r="198" spans="2:14" x14ac:dyDescent="0.25">
      <c r="B198" s="127">
        <v>23</v>
      </c>
      <c r="C198" s="43">
        <v>1</v>
      </c>
      <c r="D198" s="43"/>
      <c r="E198" s="43"/>
      <c r="F198" s="128"/>
      <c r="G198" s="43"/>
      <c r="J198" s="127">
        <v>14</v>
      </c>
      <c r="K198" s="43"/>
      <c r="L198" s="43"/>
      <c r="M198" s="43">
        <v>1</v>
      </c>
      <c r="N198" s="128"/>
    </row>
    <row r="199" spans="2:14" x14ac:dyDescent="0.25">
      <c r="B199" s="127">
        <v>24</v>
      </c>
      <c r="C199" s="43"/>
      <c r="D199" s="43">
        <v>1</v>
      </c>
      <c r="E199" s="43"/>
      <c r="F199" s="128"/>
      <c r="G199" s="43"/>
      <c r="J199" s="127">
        <v>14</v>
      </c>
      <c r="K199" s="43"/>
      <c r="L199" s="43"/>
      <c r="M199" s="43">
        <v>1</v>
      </c>
      <c r="N199" s="128"/>
    </row>
    <row r="200" spans="2:14" x14ac:dyDescent="0.25">
      <c r="B200" s="127">
        <v>24</v>
      </c>
      <c r="C200" s="43"/>
      <c r="D200" s="43">
        <v>1</v>
      </c>
      <c r="E200" s="43"/>
      <c r="F200" s="128"/>
      <c r="G200" s="43"/>
      <c r="J200" s="127">
        <v>14</v>
      </c>
      <c r="K200" s="43"/>
      <c r="L200" s="43"/>
      <c r="M200" s="43"/>
      <c r="N200" s="128">
        <v>1</v>
      </c>
    </row>
    <row r="201" spans="2:14" x14ac:dyDescent="0.25">
      <c r="B201" s="127">
        <v>24</v>
      </c>
      <c r="C201" s="43"/>
      <c r="D201" s="43">
        <v>1</v>
      </c>
      <c r="E201" s="43"/>
      <c r="F201" s="128"/>
      <c r="G201" s="43"/>
      <c r="J201" s="127">
        <v>14</v>
      </c>
      <c r="K201" s="43"/>
      <c r="L201" s="43"/>
      <c r="M201" s="43"/>
      <c r="N201" s="128">
        <v>1</v>
      </c>
    </row>
    <row r="202" spans="2:14" x14ac:dyDescent="0.25">
      <c r="B202" s="127">
        <v>24</v>
      </c>
      <c r="C202" s="43">
        <v>1</v>
      </c>
      <c r="D202" s="43"/>
      <c r="E202" s="43"/>
      <c r="F202" s="128"/>
      <c r="G202" s="43"/>
      <c r="J202" s="127">
        <v>14</v>
      </c>
      <c r="K202" s="43"/>
      <c r="L202" s="43"/>
      <c r="M202" s="43"/>
      <c r="N202" s="128">
        <v>1</v>
      </c>
    </row>
    <row r="203" spans="2:14" x14ac:dyDescent="0.25">
      <c r="B203" s="127">
        <v>24</v>
      </c>
      <c r="C203" s="43">
        <v>1</v>
      </c>
      <c r="D203" s="43"/>
      <c r="E203" s="43"/>
      <c r="F203" s="128"/>
      <c r="G203" s="43"/>
      <c r="J203" s="127">
        <v>14</v>
      </c>
      <c r="K203" s="43"/>
      <c r="L203" s="43"/>
      <c r="M203" s="43"/>
      <c r="N203" s="128">
        <v>1</v>
      </c>
    </row>
    <row r="204" spans="2:14" x14ac:dyDescent="0.25">
      <c r="B204" s="127">
        <v>24</v>
      </c>
      <c r="C204" s="43">
        <v>1</v>
      </c>
      <c r="D204" s="43"/>
      <c r="E204" s="43"/>
      <c r="F204" s="128"/>
      <c r="G204" s="43"/>
      <c r="J204" s="127">
        <v>14</v>
      </c>
      <c r="K204" s="43"/>
      <c r="L204" s="43"/>
      <c r="M204" s="43"/>
      <c r="N204" s="128">
        <v>1</v>
      </c>
    </row>
    <row r="205" spans="2:14" x14ac:dyDescent="0.25">
      <c r="B205" s="127">
        <v>25</v>
      </c>
      <c r="C205" s="43"/>
      <c r="D205" s="43">
        <v>1</v>
      </c>
      <c r="E205" s="43"/>
      <c r="F205" s="128"/>
      <c r="G205" s="43"/>
      <c r="J205" s="127">
        <v>14</v>
      </c>
      <c r="K205" s="43"/>
      <c r="L205" s="43"/>
      <c r="M205" s="43"/>
      <c r="N205" s="128">
        <v>1</v>
      </c>
    </row>
    <row r="206" spans="2:14" x14ac:dyDescent="0.25">
      <c r="B206" s="127">
        <v>25</v>
      </c>
      <c r="C206" s="43"/>
      <c r="D206" s="43"/>
      <c r="E206" s="43"/>
      <c r="F206" s="128">
        <v>1</v>
      </c>
      <c r="G206" s="43"/>
      <c r="J206" s="127">
        <v>14</v>
      </c>
      <c r="K206" s="43"/>
      <c r="L206" s="43"/>
      <c r="M206" s="43"/>
      <c r="N206" s="128">
        <v>1</v>
      </c>
    </row>
    <row r="207" spans="2:14" x14ac:dyDescent="0.25">
      <c r="B207" s="127">
        <v>25</v>
      </c>
      <c r="C207" s="43">
        <v>1</v>
      </c>
      <c r="D207" s="43"/>
      <c r="E207" s="43"/>
      <c r="F207" s="128"/>
      <c r="G207" s="43"/>
      <c r="J207" s="127">
        <v>14</v>
      </c>
      <c r="K207" s="43"/>
      <c r="L207" s="43"/>
      <c r="M207" s="43"/>
      <c r="N207" s="128">
        <v>1</v>
      </c>
    </row>
    <row r="208" spans="2:14" x14ac:dyDescent="0.25">
      <c r="B208" s="127">
        <v>28</v>
      </c>
      <c r="C208" s="43"/>
      <c r="D208" s="43">
        <v>1</v>
      </c>
      <c r="E208" s="43"/>
      <c r="F208" s="128"/>
      <c r="G208" s="43"/>
      <c r="J208" s="152">
        <v>14</v>
      </c>
      <c r="K208" s="43">
        <v>1</v>
      </c>
      <c r="L208" s="43"/>
      <c r="M208" s="43"/>
      <c r="N208" s="128"/>
    </row>
    <row r="209" spans="2:14" x14ac:dyDescent="0.25">
      <c r="B209" s="127">
        <v>28</v>
      </c>
      <c r="C209" s="43"/>
      <c r="D209" s="43">
        <v>1</v>
      </c>
      <c r="E209" s="43"/>
      <c r="F209" s="128"/>
      <c r="G209" s="43"/>
      <c r="J209" s="152">
        <v>14</v>
      </c>
      <c r="K209" s="43">
        <v>1</v>
      </c>
      <c r="L209" s="43"/>
      <c r="M209" s="43"/>
      <c r="N209" s="128"/>
    </row>
    <row r="210" spans="2:14" x14ac:dyDescent="0.25">
      <c r="B210" s="127">
        <v>28</v>
      </c>
      <c r="C210" s="43"/>
      <c r="D210" s="43">
        <v>1</v>
      </c>
      <c r="E210" s="43"/>
      <c r="F210" s="128"/>
      <c r="G210" s="43"/>
      <c r="J210" s="152">
        <v>14</v>
      </c>
      <c r="K210" s="43">
        <v>1</v>
      </c>
      <c r="L210" s="43"/>
      <c r="M210" s="43"/>
      <c r="N210" s="128"/>
    </row>
    <row r="211" spans="2:14" x14ac:dyDescent="0.25">
      <c r="B211" s="127">
        <v>28</v>
      </c>
      <c r="C211" s="43"/>
      <c r="D211" s="43">
        <v>1</v>
      </c>
      <c r="E211" s="43"/>
      <c r="F211" s="128"/>
      <c r="G211" s="43"/>
      <c r="J211" s="152">
        <v>14</v>
      </c>
      <c r="K211" s="43">
        <v>1</v>
      </c>
      <c r="L211" s="43"/>
      <c r="M211" s="43"/>
      <c r="N211" s="128"/>
    </row>
    <row r="212" spans="2:14" x14ac:dyDescent="0.25">
      <c r="B212" s="127">
        <v>28</v>
      </c>
      <c r="C212" s="43"/>
      <c r="D212" s="43">
        <v>1</v>
      </c>
      <c r="E212" s="43"/>
      <c r="F212" s="128"/>
      <c r="G212" s="43"/>
      <c r="J212" s="152">
        <v>14</v>
      </c>
      <c r="K212" s="43">
        <v>1</v>
      </c>
      <c r="L212" s="43"/>
      <c r="M212" s="43"/>
      <c r="N212" s="128"/>
    </row>
    <row r="213" spans="2:14" x14ac:dyDescent="0.25">
      <c r="B213" s="127">
        <v>28</v>
      </c>
      <c r="C213" s="43"/>
      <c r="D213" s="43">
        <v>1</v>
      </c>
      <c r="E213" s="43"/>
      <c r="F213" s="128"/>
      <c r="G213" s="43"/>
      <c r="J213" s="152">
        <v>14</v>
      </c>
      <c r="K213" s="43">
        <v>1</v>
      </c>
      <c r="L213" s="43"/>
      <c r="M213" s="43"/>
      <c r="N213" s="128"/>
    </row>
    <row r="214" spans="2:14" x14ac:dyDescent="0.25">
      <c r="B214" s="127">
        <v>28</v>
      </c>
      <c r="C214" s="43"/>
      <c r="D214" s="43">
        <v>1</v>
      </c>
      <c r="E214" s="43"/>
      <c r="F214" s="128"/>
      <c r="G214" s="43"/>
      <c r="J214" s="152">
        <v>14</v>
      </c>
      <c r="K214" s="43">
        <v>1</v>
      </c>
      <c r="L214" s="43"/>
      <c r="M214" s="43"/>
      <c r="N214" s="128"/>
    </row>
    <row r="215" spans="2:14" x14ac:dyDescent="0.25">
      <c r="B215" s="127">
        <v>28</v>
      </c>
      <c r="C215" s="43"/>
      <c r="D215" s="43">
        <v>1</v>
      </c>
      <c r="E215" s="43"/>
      <c r="F215" s="128"/>
      <c r="G215" s="43"/>
      <c r="J215" s="152">
        <v>14</v>
      </c>
      <c r="K215" s="43">
        <v>1</v>
      </c>
      <c r="L215" s="43"/>
      <c r="M215" s="43"/>
      <c r="N215" s="128"/>
    </row>
    <row r="216" spans="2:14" x14ac:dyDescent="0.25">
      <c r="B216" s="127">
        <v>28</v>
      </c>
      <c r="C216" s="43"/>
      <c r="D216" s="43"/>
      <c r="E216" s="43"/>
      <c r="F216" s="128">
        <v>1</v>
      </c>
      <c r="J216" s="152">
        <v>14</v>
      </c>
      <c r="K216" s="43">
        <v>1</v>
      </c>
      <c r="L216" s="43"/>
      <c r="M216" s="43"/>
      <c r="N216" s="128"/>
    </row>
    <row r="217" spans="2:14" x14ac:dyDescent="0.25">
      <c r="B217" s="127">
        <v>28</v>
      </c>
      <c r="C217" s="43"/>
      <c r="D217" s="43"/>
      <c r="E217" s="43"/>
      <c r="F217" s="128">
        <v>1</v>
      </c>
      <c r="J217" s="152">
        <v>14</v>
      </c>
      <c r="K217" s="43">
        <v>1</v>
      </c>
      <c r="L217" s="43"/>
      <c r="M217" s="43"/>
      <c r="N217" s="128"/>
    </row>
    <row r="218" spans="2:14" x14ac:dyDescent="0.25">
      <c r="B218" s="127">
        <v>28</v>
      </c>
      <c r="C218" s="43">
        <v>1</v>
      </c>
      <c r="D218" s="43"/>
      <c r="E218" s="43"/>
      <c r="F218" s="128"/>
      <c r="J218" s="152">
        <v>14</v>
      </c>
      <c r="K218" s="43">
        <v>1</v>
      </c>
      <c r="L218" s="43"/>
      <c r="M218" s="43"/>
      <c r="N218" s="128"/>
    </row>
    <row r="219" spans="2:14" x14ac:dyDescent="0.25">
      <c r="B219" s="127">
        <v>28</v>
      </c>
      <c r="C219" s="43">
        <v>1</v>
      </c>
      <c r="D219" s="43"/>
      <c r="E219" s="43"/>
      <c r="F219" s="128"/>
      <c r="J219" s="152">
        <v>14</v>
      </c>
      <c r="K219" s="43">
        <v>1</v>
      </c>
      <c r="L219" s="43"/>
      <c r="M219" s="43"/>
      <c r="N219" s="128"/>
    </row>
    <row r="220" spans="2:14" x14ac:dyDescent="0.25">
      <c r="B220" s="127">
        <v>28</v>
      </c>
      <c r="C220" s="43">
        <v>1</v>
      </c>
      <c r="D220" s="43"/>
      <c r="E220" s="43"/>
      <c r="F220" s="128"/>
      <c r="J220" s="152">
        <v>14</v>
      </c>
      <c r="K220" s="43">
        <v>1</v>
      </c>
      <c r="L220" s="43"/>
      <c r="M220" s="43"/>
      <c r="N220" s="128"/>
    </row>
    <row r="221" spans="2:14" x14ac:dyDescent="0.25">
      <c r="B221" s="127">
        <v>28</v>
      </c>
      <c r="C221" s="43">
        <v>1</v>
      </c>
      <c r="D221" s="43"/>
      <c r="E221" s="43"/>
      <c r="F221" s="128"/>
      <c r="J221" s="152">
        <v>14</v>
      </c>
      <c r="K221" s="43">
        <v>1</v>
      </c>
      <c r="L221" s="43"/>
      <c r="M221" s="43"/>
      <c r="N221" s="128"/>
    </row>
    <row r="222" spans="2:14" x14ac:dyDescent="0.25">
      <c r="B222" s="127">
        <v>28</v>
      </c>
      <c r="C222" s="43">
        <v>1</v>
      </c>
      <c r="D222" s="43"/>
      <c r="E222" s="43"/>
      <c r="F222" s="128"/>
      <c r="J222" s="152">
        <v>14</v>
      </c>
      <c r="K222" s="43">
        <v>1</v>
      </c>
      <c r="L222" s="43"/>
      <c r="M222" s="43"/>
      <c r="N222" s="128"/>
    </row>
    <row r="223" spans="2:14" x14ac:dyDescent="0.25">
      <c r="B223" s="127">
        <v>28</v>
      </c>
      <c r="C223" s="43">
        <v>1</v>
      </c>
      <c r="D223" s="43"/>
      <c r="E223" s="43"/>
      <c r="F223" s="128"/>
      <c r="J223" s="152">
        <v>14</v>
      </c>
      <c r="K223" s="43">
        <v>1</v>
      </c>
      <c r="L223" s="43"/>
      <c r="M223" s="43"/>
      <c r="N223" s="128"/>
    </row>
    <row r="224" spans="2:14" x14ac:dyDescent="0.25">
      <c r="B224" s="127">
        <v>28</v>
      </c>
      <c r="C224" s="43">
        <v>1</v>
      </c>
      <c r="D224" s="43"/>
      <c r="E224" s="43"/>
      <c r="F224" s="128"/>
      <c r="J224" s="152">
        <v>14</v>
      </c>
      <c r="K224" s="43">
        <v>1</v>
      </c>
      <c r="L224" s="43"/>
      <c r="M224" s="43"/>
      <c r="N224" s="128"/>
    </row>
    <row r="225" spans="2:14" x14ac:dyDescent="0.25">
      <c r="B225" s="127">
        <v>28</v>
      </c>
      <c r="C225" s="43">
        <v>1</v>
      </c>
      <c r="D225" s="43"/>
      <c r="E225" s="43"/>
      <c r="F225" s="128"/>
      <c r="J225" s="152">
        <v>14</v>
      </c>
      <c r="K225" s="43">
        <v>1</v>
      </c>
      <c r="L225" s="43"/>
      <c r="M225" s="43"/>
      <c r="N225" s="128"/>
    </row>
    <row r="226" spans="2:14" x14ac:dyDescent="0.25">
      <c r="B226" s="127">
        <v>29</v>
      </c>
      <c r="C226" s="43"/>
      <c r="D226" s="43">
        <v>1</v>
      </c>
      <c r="E226" s="43"/>
      <c r="F226" s="128"/>
      <c r="J226" s="152">
        <v>14</v>
      </c>
      <c r="K226" s="43">
        <v>1</v>
      </c>
      <c r="L226" s="43"/>
      <c r="M226" s="43"/>
      <c r="N226" s="128"/>
    </row>
    <row r="227" spans="2:14" x14ac:dyDescent="0.25">
      <c r="B227" s="127">
        <v>29</v>
      </c>
      <c r="C227" s="43"/>
      <c r="D227" s="43">
        <v>1</v>
      </c>
      <c r="E227" s="43"/>
      <c r="F227" s="128"/>
      <c r="J227" s="127">
        <v>15</v>
      </c>
      <c r="K227" s="43"/>
      <c r="L227" s="43">
        <v>1</v>
      </c>
      <c r="M227" s="43"/>
      <c r="N227" s="128"/>
    </row>
    <row r="228" spans="2:14" x14ac:dyDescent="0.25">
      <c r="B228" s="127">
        <v>29</v>
      </c>
      <c r="C228" s="43"/>
      <c r="D228" s="43"/>
      <c r="E228" s="43">
        <v>1</v>
      </c>
      <c r="F228" s="128"/>
      <c r="J228" s="127">
        <v>15</v>
      </c>
      <c r="K228" s="43"/>
      <c r="L228" s="43">
        <v>1</v>
      </c>
      <c r="M228" s="43"/>
      <c r="N228" s="128"/>
    </row>
    <row r="229" spans="2:14" x14ac:dyDescent="0.25">
      <c r="B229" s="127">
        <v>29</v>
      </c>
      <c r="C229" s="43"/>
      <c r="D229" s="43"/>
      <c r="E229" s="43"/>
      <c r="F229" s="128">
        <v>1</v>
      </c>
      <c r="J229" s="127">
        <v>15</v>
      </c>
      <c r="K229" s="43"/>
      <c r="L229" s="43">
        <v>1</v>
      </c>
      <c r="M229" s="43"/>
      <c r="N229" s="128"/>
    </row>
    <row r="230" spans="2:14" x14ac:dyDescent="0.25">
      <c r="B230" s="127">
        <v>32</v>
      </c>
      <c r="C230" s="43"/>
      <c r="D230" s="43">
        <v>1</v>
      </c>
      <c r="E230" s="43"/>
      <c r="F230" s="128"/>
      <c r="J230" s="127">
        <v>15</v>
      </c>
      <c r="K230" s="43"/>
      <c r="L230" s="43">
        <v>1</v>
      </c>
      <c r="M230" s="43"/>
      <c r="N230" s="128"/>
    </row>
    <row r="231" spans="2:14" x14ac:dyDescent="0.25">
      <c r="B231" s="127">
        <v>32</v>
      </c>
      <c r="C231" s="43">
        <v>1</v>
      </c>
      <c r="D231" s="43"/>
      <c r="E231" s="43"/>
      <c r="F231" s="128"/>
      <c r="J231" s="127">
        <v>15</v>
      </c>
      <c r="K231" s="43"/>
      <c r="L231" s="43">
        <v>1</v>
      </c>
      <c r="M231" s="43"/>
      <c r="N231" s="128"/>
    </row>
    <row r="232" spans="2:14" x14ac:dyDescent="0.25">
      <c r="B232" s="127">
        <v>36</v>
      </c>
      <c r="C232" s="43"/>
      <c r="D232" s="43">
        <v>1</v>
      </c>
      <c r="E232" s="43"/>
      <c r="F232" s="128"/>
      <c r="J232" s="127">
        <v>15</v>
      </c>
      <c r="K232" s="43"/>
      <c r="L232" s="43"/>
      <c r="M232" s="43">
        <v>1</v>
      </c>
      <c r="N232" s="128"/>
    </row>
    <row r="233" spans="2:14" x14ac:dyDescent="0.25">
      <c r="B233" s="127">
        <v>36</v>
      </c>
      <c r="C233" s="43"/>
      <c r="D233" s="43">
        <v>1</v>
      </c>
      <c r="E233" s="43"/>
      <c r="F233" s="128"/>
      <c r="J233" s="127">
        <v>15</v>
      </c>
      <c r="K233" s="43"/>
      <c r="L233" s="43"/>
      <c r="M233" s="43">
        <v>1</v>
      </c>
      <c r="N233" s="128"/>
    </row>
    <row r="234" spans="2:14" x14ac:dyDescent="0.25">
      <c r="B234" s="127">
        <v>36</v>
      </c>
      <c r="C234" s="43">
        <v>1</v>
      </c>
      <c r="D234" s="43"/>
      <c r="E234" s="43"/>
      <c r="F234" s="128"/>
      <c r="J234" s="127">
        <v>15</v>
      </c>
      <c r="K234" s="43"/>
      <c r="L234" s="43"/>
      <c r="M234" s="43">
        <v>1</v>
      </c>
      <c r="N234" s="128"/>
    </row>
    <row r="235" spans="2:14" x14ac:dyDescent="0.25">
      <c r="B235" s="127">
        <v>36</v>
      </c>
      <c r="C235" s="43">
        <v>1</v>
      </c>
      <c r="D235" s="43"/>
      <c r="E235" s="43"/>
      <c r="F235" s="128"/>
      <c r="J235" s="127">
        <v>15</v>
      </c>
      <c r="K235" s="43"/>
      <c r="L235" s="43"/>
      <c r="M235" s="43">
        <v>1</v>
      </c>
      <c r="N235" s="128"/>
    </row>
    <row r="236" spans="2:14" x14ac:dyDescent="0.25">
      <c r="B236" s="127">
        <v>37</v>
      </c>
      <c r="C236" s="43"/>
      <c r="D236" s="43">
        <v>1</v>
      </c>
      <c r="E236" s="43"/>
      <c r="F236" s="128"/>
      <c r="J236" s="127">
        <v>15</v>
      </c>
      <c r="K236" s="43"/>
      <c r="L236" s="43"/>
      <c r="M236" s="43"/>
      <c r="N236" s="128">
        <v>1</v>
      </c>
    </row>
    <row r="237" spans="2:14" x14ac:dyDescent="0.25">
      <c r="B237" s="127">
        <v>37</v>
      </c>
      <c r="C237" s="43">
        <v>1</v>
      </c>
      <c r="D237" s="43"/>
      <c r="E237" s="43"/>
      <c r="F237" s="128"/>
      <c r="J237" s="127">
        <v>15</v>
      </c>
      <c r="K237" s="43"/>
      <c r="L237" s="43"/>
      <c r="M237" s="43"/>
      <c r="N237" s="128">
        <v>1</v>
      </c>
    </row>
    <row r="238" spans="2:14" x14ac:dyDescent="0.25">
      <c r="B238" s="127">
        <v>38</v>
      </c>
      <c r="C238" s="43"/>
      <c r="D238" s="43"/>
      <c r="E238" s="43">
        <v>1</v>
      </c>
      <c r="F238" s="128"/>
      <c r="J238" s="152">
        <v>15</v>
      </c>
      <c r="K238" s="43">
        <v>1</v>
      </c>
      <c r="L238" s="43"/>
      <c r="M238" s="43"/>
      <c r="N238" s="128"/>
    </row>
    <row r="239" spans="2:14" x14ac:dyDescent="0.25">
      <c r="B239" s="127">
        <v>38</v>
      </c>
      <c r="C239" s="43">
        <v>1</v>
      </c>
      <c r="D239" s="43"/>
      <c r="E239" s="43"/>
      <c r="F239" s="128"/>
      <c r="J239" s="152">
        <v>15</v>
      </c>
      <c r="K239" s="43">
        <v>1</v>
      </c>
      <c r="L239" s="43"/>
      <c r="M239" s="43"/>
      <c r="N239" s="128"/>
    </row>
    <row r="240" spans="2:14" x14ac:dyDescent="0.25">
      <c r="B240" s="127">
        <v>39</v>
      </c>
      <c r="C240" s="43"/>
      <c r="D240" s="43">
        <v>1</v>
      </c>
      <c r="E240" s="43"/>
      <c r="F240" s="128"/>
      <c r="J240" s="152">
        <v>15</v>
      </c>
      <c r="K240" s="43">
        <v>1</v>
      </c>
      <c r="L240" s="43"/>
      <c r="M240" s="43"/>
      <c r="N240" s="128"/>
    </row>
    <row r="241" spans="2:14" x14ac:dyDescent="0.25">
      <c r="B241" s="127">
        <v>39</v>
      </c>
      <c r="C241" s="43"/>
      <c r="D241" s="43"/>
      <c r="E241" s="43">
        <v>1</v>
      </c>
      <c r="F241" s="128"/>
      <c r="J241" s="152">
        <v>15</v>
      </c>
      <c r="K241" s="43">
        <v>1</v>
      </c>
      <c r="L241" s="43"/>
      <c r="M241" s="43"/>
      <c r="N241" s="128"/>
    </row>
    <row r="242" spans="2:14" x14ac:dyDescent="0.25">
      <c r="B242" s="127">
        <v>39</v>
      </c>
      <c r="C242" s="43">
        <v>1</v>
      </c>
      <c r="D242" s="43"/>
      <c r="E242" s="43"/>
      <c r="F242" s="128"/>
      <c r="J242" s="152">
        <v>15</v>
      </c>
      <c r="K242" s="43">
        <v>1</v>
      </c>
      <c r="L242" s="43"/>
      <c r="M242" s="43"/>
      <c r="N242" s="128"/>
    </row>
    <row r="243" spans="2:14" x14ac:dyDescent="0.25">
      <c r="B243" s="129">
        <v>39</v>
      </c>
      <c r="C243" s="45">
        <v>1</v>
      </c>
      <c r="D243" s="45"/>
      <c r="E243" s="45"/>
      <c r="F243" s="42"/>
      <c r="J243" s="152">
        <v>15</v>
      </c>
      <c r="K243" s="43">
        <v>1</v>
      </c>
      <c r="L243" s="43"/>
      <c r="M243" s="43"/>
      <c r="N243" s="128"/>
    </row>
    <row r="244" spans="2:14" x14ac:dyDescent="0.25">
      <c r="B244" s="152">
        <v>4</v>
      </c>
      <c r="G244">
        <v>1</v>
      </c>
      <c r="J244" s="152">
        <v>15</v>
      </c>
      <c r="K244" s="43">
        <v>1</v>
      </c>
      <c r="L244" s="43"/>
      <c r="M244" s="43"/>
      <c r="N244" s="128"/>
    </row>
    <row r="245" spans="2:14" x14ac:dyDescent="0.25">
      <c r="B245" s="152">
        <v>7</v>
      </c>
      <c r="G245">
        <v>1</v>
      </c>
      <c r="J245" s="152">
        <v>15</v>
      </c>
      <c r="K245" s="43">
        <v>1</v>
      </c>
      <c r="L245" s="43"/>
      <c r="M245" s="43"/>
      <c r="N245" s="128"/>
    </row>
    <row r="246" spans="2:14" x14ac:dyDescent="0.25">
      <c r="B246" s="152">
        <v>7</v>
      </c>
      <c r="G246">
        <v>1</v>
      </c>
      <c r="J246" s="152">
        <v>15</v>
      </c>
      <c r="K246" s="43">
        <v>1</v>
      </c>
      <c r="L246" s="43"/>
      <c r="M246" s="43"/>
      <c r="N246" s="128"/>
    </row>
    <row r="247" spans="2:14" x14ac:dyDescent="0.25">
      <c r="B247" s="152">
        <v>7</v>
      </c>
      <c r="G247">
        <v>1</v>
      </c>
      <c r="J247" s="127">
        <v>16</v>
      </c>
      <c r="K247" s="43"/>
      <c r="L247" s="43">
        <v>1</v>
      </c>
      <c r="M247" s="43"/>
      <c r="N247" s="128"/>
    </row>
    <row r="248" spans="2:14" x14ac:dyDescent="0.25">
      <c r="B248" s="152">
        <v>14</v>
      </c>
      <c r="G248">
        <v>1</v>
      </c>
      <c r="J248" s="127">
        <v>16</v>
      </c>
      <c r="K248" s="43"/>
      <c r="L248" s="43">
        <v>1</v>
      </c>
      <c r="M248" s="43"/>
      <c r="N248" s="128"/>
    </row>
    <row r="249" spans="2:14" x14ac:dyDescent="0.25">
      <c r="B249" s="152">
        <v>15</v>
      </c>
      <c r="G249">
        <v>1</v>
      </c>
      <c r="J249" s="127">
        <v>16</v>
      </c>
      <c r="K249" s="43"/>
      <c r="L249" s="43">
        <v>1</v>
      </c>
      <c r="M249" s="43"/>
      <c r="N249" s="128"/>
    </row>
    <row r="250" spans="2:14" x14ac:dyDescent="0.25">
      <c r="B250" s="152">
        <v>21</v>
      </c>
      <c r="G250">
        <v>1</v>
      </c>
      <c r="J250" s="127">
        <v>16</v>
      </c>
      <c r="K250" s="43"/>
      <c r="L250" s="43">
        <v>1</v>
      </c>
      <c r="M250" s="43"/>
      <c r="N250" s="128"/>
    </row>
    <row r="251" spans="2:14" x14ac:dyDescent="0.25">
      <c r="B251" s="152">
        <v>21</v>
      </c>
      <c r="G251">
        <v>1</v>
      </c>
      <c r="J251" s="127">
        <v>16</v>
      </c>
      <c r="K251" s="43"/>
      <c r="L251" s="43"/>
      <c r="M251" s="43"/>
      <c r="N251" s="128">
        <v>1</v>
      </c>
    </row>
    <row r="252" spans="2:14" x14ac:dyDescent="0.25">
      <c r="B252" s="152">
        <v>28</v>
      </c>
      <c r="G252">
        <v>1</v>
      </c>
      <c r="J252" s="152">
        <v>16</v>
      </c>
      <c r="K252" s="43">
        <v>1</v>
      </c>
      <c r="L252" s="43"/>
      <c r="M252" s="43"/>
      <c r="N252" s="128"/>
    </row>
    <row r="253" spans="2:14" x14ac:dyDescent="0.25">
      <c r="B253" s="152">
        <v>7</v>
      </c>
      <c r="H253">
        <v>1</v>
      </c>
      <c r="J253" s="152">
        <v>16</v>
      </c>
      <c r="K253" s="43">
        <v>1</v>
      </c>
      <c r="L253" s="43"/>
      <c r="M253" s="43"/>
      <c r="N253" s="128"/>
    </row>
    <row r="254" spans="2:14" x14ac:dyDescent="0.25">
      <c r="B254" s="152">
        <v>7</v>
      </c>
      <c r="H254">
        <v>1</v>
      </c>
      <c r="J254" s="152">
        <v>16</v>
      </c>
      <c r="K254" s="43">
        <v>1</v>
      </c>
      <c r="L254" s="43"/>
      <c r="M254" s="43"/>
      <c r="N254" s="128"/>
    </row>
    <row r="255" spans="2:14" x14ac:dyDescent="0.25">
      <c r="B255" s="152">
        <v>7</v>
      </c>
      <c r="H255">
        <v>1</v>
      </c>
      <c r="J255" s="152">
        <v>16</v>
      </c>
      <c r="K255" s="43">
        <v>1</v>
      </c>
      <c r="L255" s="43"/>
      <c r="M255" s="43"/>
      <c r="N255" s="128"/>
    </row>
    <row r="256" spans="2:14" x14ac:dyDescent="0.25">
      <c r="B256" s="152">
        <v>7</v>
      </c>
      <c r="H256">
        <v>1</v>
      </c>
      <c r="J256" s="127">
        <v>18</v>
      </c>
      <c r="K256" s="43"/>
      <c r="L256" s="43">
        <v>1</v>
      </c>
      <c r="M256" s="43"/>
      <c r="N256" s="128"/>
    </row>
    <row r="257" spans="2:18" x14ac:dyDescent="0.25">
      <c r="B257" s="152">
        <v>8</v>
      </c>
      <c r="H257">
        <v>1</v>
      </c>
      <c r="J257" s="127">
        <v>18</v>
      </c>
      <c r="K257" s="43"/>
      <c r="L257" s="43">
        <v>1</v>
      </c>
      <c r="M257" s="43"/>
      <c r="N257" s="128"/>
    </row>
    <row r="258" spans="2:18" x14ac:dyDescent="0.25">
      <c r="B258" s="152">
        <v>9</v>
      </c>
      <c r="H258">
        <v>1</v>
      </c>
      <c r="J258" s="127">
        <v>18</v>
      </c>
      <c r="K258" s="43"/>
      <c r="L258" s="43"/>
      <c r="M258" s="43">
        <v>1</v>
      </c>
      <c r="N258" s="128"/>
    </row>
    <row r="259" spans="2:18" x14ac:dyDescent="0.25">
      <c r="B259" s="152">
        <v>10</v>
      </c>
      <c r="H259">
        <v>1</v>
      </c>
      <c r="J259" s="152">
        <v>18</v>
      </c>
      <c r="K259" s="43">
        <v>1</v>
      </c>
      <c r="L259" s="43"/>
      <c r="M259" s="43"/>
      <c r="N259" s="128"/>
    </row>
    <row r="260" spans="2:18" x14ac:dyDescent="0.25">
      <c r="B260" s="152">
        <v>10</v>
      </c>
      <c r="H260">
        <v>1</v>
      </c>
      <c r="J260" s="152">
        <v>18</v>
      </c>
      <c r="K260" s="43">
        <v>1</v>
      </c>
      <c r="L260" s="43"/>
      <c r="M260" s="43"/>
      <c r="N260" s="128"/>
    </row>
    <row r="261" spans="2:18" x14ac:dyDescent="0.25">
      <c r="B261" s="152">
        <v>11</v>
      </c>
      <c r="H261">
        <v>1</v>
      </c>
      <c r="J261" s="152">
        <v>18</v>
      </c>
      <c r="K261" s="43">
        <v>1</v>
      </c>
      <c r="L261" s="43"/>
      <c r="M261" s="43"/>
      <c r="N261" s="128"/>
    </row>
    <row r="262" spans="2:18" x14ac:dyDescent="0.25">
      <c r="B262" s="152">
        <v>11</v>
      </c>
      <c r="H262">
        <v>1</v>
      </c>
      <c r="J262" s="127">
        <v>21</v>
      </c>
      <c r="K262" s="43"/>
      <c r="L262" s="43">
        <v>1</v>
      </c>
      <c r="M262" s="43"/>
      <c r="N262" s="128"/>
    </row>
    <row r="263" spans="2:18" x14ac:dyDescent="0.25">
      <c r="B263" s="152">
        <v>11</v>
      </c>
      <c r="H263">
        <v>1</v>
      </c>
      <c r="J263" s="127">
        <v>21</v>
      </c>
      <c r="K263" s="43"/>
      <c r="L263" s="43">
        <v>1</v>
      </c>
      <c r="M263" s="43"/>
      <c r="N263" s="128"/>
    </row>
    <row r="264" spans="2:18" x14ac:dyDescent="0.25">
      <c r="B264" s="152">
        <v>14</v>
      </c>
      <c r="H264">
        <v>1</v>
      </c>
      <c r="J264" s="152">
        <v>21</v>
      </c>
      <c r="K264" s="43">
        <v>1</v>
      </c>
      <c r="L264" s="43"/>
      <c r="M264" s="43"/>
      <c r="N264" s="128"/>
    </row>
    <row r="265" spans="2:18" x14ac:dyDescent="0.25">
      <c r="B265" s="152">
        <v>14</v>
      </c>
      <c r="H265">
        <v>1</v>
      </c>
      <c r="I265" s="43"/>
      <c r="J265" s="152">
        <v>21</v>
      </c>
      <c r="K265" s="43">
        <v>1</v>
      </c>
      <c r="L265" s="43"/>
      <c r="M265" s="43"/>
      <c r="N265" s="128"/>
      <c r="Q265">
        <v>1</v>
      </c>
      <c r="R265">
        <v>1</v>
      </c>
    </row>
    <row r="266" spans="2:18" x14ac:dyDescent="0.25">
      <c r="B266" s="152">
        <v>14</v>
      </c>
      <c r="H266">
        <v>1</v>
      </c>
      <c r="J266" s="127">
        <v>22</v>
      </c>
      <c r="K266" s="43"/>
      <c r="L266" s="43">
        <v>1</v>
      </c>
      <c r="M266" s="43"/>
      <c r="N266" s="128"/>
    </row>
    <row r="267" spans="2:18" x14ac:dyDescent="0.25">
      <c r="B267" s="152">
        <v>14</v>
      </c>
      <c r="H267">
        <v>1</v>
      </c>
      <c r="J267" s="127">
        <v>22</v>
      </c>
      <c r="K267" s="43"/>
      <c r="L267" s="43">
        <v>1</v>
      </c>
      <c r="M267" s="43"/>
      <c r="N267" s="128"/>
    </row>
    <row r="268" spans="2:18" x14ac:dyDescent="0.25">
      <c r="B268" s="152">
        <v>14</v>
      </c>
      <c r="H268">
        <v>1</v>
      </c>
      <c r="J268" s="127">
        <v>22</v>
      </c>
      <c r="K268" s="43"/>
      <c r="L268" s="43">
        <v>1</v>
      </c>
      <c r="M268" s="43"/>
      <c r="N268" s="128"/>
      <c r="Q268">
        <v>4</v>
      </c>
      <c r="R268">
        <v>1</v>
      </c>
    </row>
    <row r="269" spans="2:18" x14ac:dyDescent="0.25">
      <c r="B269" s="152">
        <v>14</v>
      </c>
      <c r="H269">
        <v>1</v>
      </c>
      <c r="J269" s="127">
        <v>22</v>
      </c>
      <c r="K269" s="43"/>
      <c r="L269" s="43"/>
      <c r="M269" s="43">
        <v>1</v>
      </c>
      <c r="N269" s="128"/>
      <c r="Q269">
        <v>7</v>
      </c>
      <c r="R269">
        <v>23</v>
      </c>
    </row>
    <row r="270" spans="2:18" x14ac:dyDescent="0.25">
      <c r="B270" s="152">
        <v>14</v>
      </c>
      <c r="H270">
        <v>1</v>
      </c>
      <c r="J270" s="127">
        <v>22</v>
      </c>
      <c r="K270" s="43"/>
      <c r="L270" s="43"/>
      <c r="M270" s="43"/>
      <c r="N270" s="128">
        <v>1</v>
      </c>
      <c r="Q270">
        <v>8</v>
      </c>
      <c r="R270">
        <v>17</v>
      </c>
    </row>
    <row r="271" spans="2:18" x14ac:dyDescent="0.25">
      <c r="B271" s="152">
        <v>14</v>
      </c>
      <c r="H271">
        <v>1</v>
      </c>
      <c r="J271" s="152">
        <v>22</v>
      </c>
      <c r="K271" s="43">
        <v>1</v>
      </c>
      <c r="L271" s="43"/>
      <c r="M271" s="43"/>
      <c r="N271" s="128"/>
      <c r="Q271">
        <v>9</v>
      </c>
      <c r="R271">
        <v>16</v>
      </c>
    </row>
    <row r="272" spans="2:18" x14ac:dyDescent="0.25">
      <c r="B272" s="152">
        <v>14</v>
      </c>
      <c r="H272">
        <v>1</v>
      </c>
      <c r="J272" s="152">
        <v>22</v>
      </c>
      <c r="K272" s="43">
        <v>1</v>
      </c>
      <c r="L272" s="43"/>
      <c r="M272" s="43"/>
      <c r="N272" s="128"/>
      <c r="Q272">
        <v>10</v>
      </c>
      <c r="R272">
        <v>6</v>
      </c>
    </row>
    <row r="273" spans="2:18" x14ac:dyDescent="0.25">
      <c r="B273" s="152">
        <v>14</v>
      </c>
      <c r="H273">
        <v>1</v>
      </c>
      <c r="J273" s="152">
        <v>22</v>
      </c>
      <c r="K273" s="43">
        <v>1</v>
      </c>
      <c r="L273" s="43"/>
      <c r="M273" s="43"/>
      <c r="N273" s="128"/>
      <c r="Q273">
        <v>11</v>
      </c>
      <c r="R273">
        <v>11</v>
      </c>
    </row>
    <row r="274" spans="2:18" x14ac:dyDescent="0.25">
      <c r="B274" s="152">
        <v>14</v>
      </c>
      <c r="H274">
        <v>1</v>
      </c>
      <c r="J274" s="152">
        <v>22</v>
      </c>
      <c r="K274" s="43">
        <v>1</v>
      </c>
      <c r="L274" s="43"/>
      <c r="M274" s="43"/>
      <c r="N274" s="128"/>
      <c r="Q274">
        <v>14</v>
      </c>
      <c r="R274">
        <v>19</v>
      </c>
    </row>
    <row r="275" spans="2:18" x14ac:dyDescent="0.25">
      <c r="B275" s="152">
        <v>14</v>
      </c>
      <c r="H275">
        <v>1</v>
      </c>
      <c r="J275" s="127">
        <v>23</v>
      </c>
      <c r="K275" s="43"/>
      <c r="L275" s="43">
        <v>1</v>
      </c>
      <c r="M275" s="43"/>
      <c r="N275" s="128"/>
      <c r="Q275">
        <v>15</v>
      </c>
      <c r="R275">
        <v>9</v>
      </c>
    </row>
    <row r="276" spans="2:18" x14ac:dyDescent="0.25">
      <c r="B276" s="152">
        <v>15</v>
      </c>
      <c r="H276">
        <v>1</v>
      </c>
      <c r="J276" s="127">
        <v>23</v>
      </c>
      <c r="K276" s="43"/>
      <c r="L276" s="43">
        <v>1</v>
      </c>
      <c r="M276" s="43"/>
      <c r="N276" s="128"/>
      <c r="Q276">
        <v>16</v>
      </c>
      <c r="R276">
        <v>4</v>
      </c>
    </row>
    <row r="277" spans="2:18" x14ac:dyDescent="0.25">
      <c r="B277" s="152">
        <v>15</v>
      </c>
      <c r="H277">
        <v>1</v>
      </c>
      <c r="J277" s="127">
        <v>23</v>
      </c>
      <c r="K277" s="43"/>
      <c r="L277" s="43">
        <v>1</v>
      </c>
      <c r="M277" s="43"/>
      <c r="N277" s="128"/>
      <c r="Q277">
        <v>18</v>
      </c>
      <c r="R277">
        <v>3</v>
      </c>
    </row>
    <row r="278" spans="2:18" x14ac:dyDescent="0.25">
      <c r="B278" s="152">
        <v>16</v>
      </c>
      <c r="H278">
        <v>1</v>
      </c>
      <c r="J278" s="127">
        <v>23</v>
      </c>
      <c r="K278" s="43"/>
      <c r="L278" s="43">
        <v>1</v>
      </c>
      <c r="M278" s="43"/>
      <c r="N278" s="128"/>
      <c r="Q278">
        <v>21</v>
      </c>
      <c r="R278">
        <v>2</v>
      </c>
    </row>
    <row r="279" spans="2:18" x14ac:dyDescent="0.25">
      <c r="B279" s="152">
        <v>16</v>
      </c>
      <c r="H279">
        <v>1</v>
      </c>
      <c r="J279" s="127">
        <v>23</v>
      </c>
      <c r="K279" s="43"/>
      <c r="L279" s="43"/>
      <c r="M279" s="43"/>
      <c r="N279" s="128">
        <v>1</v>
      </c>
      <c r="Q279">
        <v>22</v>
      </c>
      <c r="R279">
        <v>4</v>
      </c>
    </row>
    <row r="280" spans="2:18" x14ac:dyDescent="0.25">
      <c r="B280" s="152">
        <v>16</v>
      </c>
      <c r="H280">
        <v>1</v>
      </c>
      <c r="J280" s="152">
        <v>23</v>
      </c>
      <c r="K280" s="43">
        <v>1</v>
      </c>
      <c r="L280" s="43"/>
      <c r="M280" s="43"/>
      <c r="N280" s="128"/>
      <c r="Q280">
        <v>23</v>
      </c>
      <c r="R280">
        <v>4</v>
      </c>
    </row>
    <row r="281" spans="2:18" x14ac:dyDescent="0.25">
      <c r="B281" s="152">
        <v>17</v>
      </c>
      <c r="H281">
        <v>1</v>
      </c>
      <c r="J281" s="152">
        <v>23</v>
      </c>
      <c r="K281" s="43">
        <v>1</v>
      </c>
      <c r="L281" s="43"/>
      <c r="M281" s="43"/>
      <c r="N281" s="128"/>
    </row>
    <row r="282" spans="2:18" x14ac:dyDescent="0.25">
      <c r="B282" s="152">
        <v>17</v>
      </c>
      <c r="H282">
        <v>1</v>
      </c>
      <c r="J282" s="152">
        <v>23</v>
      </c>
      <c r="K282" s="43">
        <v>1</v>
      </c>
      <c r="L282" s="43"/>
      <c r="M282" s="43"/>
      <c r="N282" s="128"/>
    </row>
    <row r="283" spans="2:18" x14ac:dyDescent="0.25">
      <c r="B283" s="152">
        <v>17</v>
      </c>
      <c r="H283">
        <v>1</v>
      </c>
      <c r="J283" s="154">
        <v>23</v>
      </c>
      <c r="K283" s="45">
        <v>1</v>
      </c>
      <c r="L283" s="45"/>
      <c r="M283" s="45"/>
      <c r="N283" s="42"/>
    </row>
    <row r="284" spans="2:18" x14ac:dyDescent="0.25">
      <c r="B284" s="152">
        <v>17</v>
      </c>
      <c r="H284">
        <v>1</v>
      </c>
      <c r="J284" s="153"/>
    </row>
    <row r="285" spans="2:18" x14ac:dyDescent="0.25">
      <c r="B285" s="152">
        <v>17</v>
      </c>
      <c r="H285">
        <v>1</v>
      </c>
    </row>
    <row r="286" spans="2:18" x14ac:dyDescent="0.25">
      <c r="B286" s="152">
        <v>18</v>
      </c>
      <c r="H286">
        <v>1</v>
      </c>
    </row>
    <row r="287" spans="2:18" x14ac:dyDescent="0.25">
      <c r="B287" s="152">
        <v>18</v>
      </c>
      <c r="H287">
        <v>1</v>
      </c>
    </row>
    <row r="288" spans="2:18" x14ac:dyDescent="0.25">
      <c r="B288" s="152">
        <v>18</v>
      </c>
      <c r="H288">
        <v>1</v>
      </c>
    </row>
    <row r="289" spans="2:8" x14ac:dyDescent="0.25">
      <c r="B289" s="152">
        <v>18</v>
      </c>
      <c r="H289">
        <v>1</v>
      </c>
    </row>
    <row r="290" spans="2:8" x14ac:dyDescent="0.25">
      <c r="B290" s="152">
        <v>18</v>
      </c>
      <c r="H290">
        <v>1</v>
      </c>
    </row>
    <row r="291" spans="2:8" x14ac:dyDescent="0.25">
      <c r="B291" s="152">
        <v>18</v>
      </c>
      <c r="H291">
        <v>1</v>
      </c>
    </row>
    <row r="292" spans="2:8" x14ac:dyDescent="0.25">
      <c r="B292" s="152">
        <v>18</v>
      </c>
      <c r="H292">
        <v>1</v>
      </c>
    </row>
    <row r="293" spans="2:8" x14ac:dyDescent="0.25">
      <c r="B293" s="152">
        <v>21</v>
      </c>
      <c r="H293">
        <v>1</v>
      </c>
    </row>
    <row r="294" spans="2:8" x14ac:dyDescent="0.25">
      <c r="B294" s="152">
        <v>21</v>
      </c>
      <c r="H294">
        <v>1</v>
      </c>
    </row>
    <row r="295" spans="2:8" x14ac:dyDescent="0.25">
      <c r="B295" s="152">
        <v>21</v>
      </c>
      <c r="H295">
        <v>1</v>
      </c>
    </row>
    <row r="296" spans="2:8" x14ac:dyDescent="0.25">
      <c r="B296" s="152">
        <v>21</v>
      </c>
      <c r="H296">
        <v>1</v>
      </c>
    </row>
    <row r="297" spans="2:8" x14ac:dyDescent="0.25">
      <c r="B297" s="152">
        <v>21</v>
      </c>
      <c r="H297">
        <v>1</v>
      </c>
    </row>
    <row r="298" spans="2:8" x14ac:dyDescent="0.25">
      <c r="B298" s="152">
        <v>21</v>
      </c>
      <c r="H298">
        <v>1</v>
      </c>
    </row>
    <row r="299" spans="2:8" x14ac:dyDescent="0.25">
      <c r="B299" s="152">
        <v>21</v>
      </c>
      <c r="H299">
        <v>1</v>
      </c>
    </row>
    <row r="300" spans="2:8" x14ac:dyDescent="0.25">
      <c r="B300" s="152">
        <v>21</v>
      </c>
      <c r="H300">
        <v>1</v>
      </c>
    </row>
    <row r="301" spans="2:8" x14ac:dyDescent="0.25">
      <c r="B301" s="152">
        <v>22</v>
      </c>
      <c r="H301">
        <v>1</v>
      </c>
    </row>
    <row r="302" spans="2:8" x14ac:dyDescent="0.25">
      <c r="B302" s="152">
        <v>22</v>
      </c>
      <c r="H302">
        <v>1</v>
      </c>
    </row>
    <row r="303" spans="2:8" x14ac:dyDescent="0.25">
      <c r="B303" s="152">
        <v>23</v>
      </c>
      <c r="H303">
        <v>1</v>
      </c>
    </row>
    <row r="304" spans="2:8" x14ac:dyDescent="0.25">
      <c r="B304" s="152">
        <v>23</v>
      </c>
      <c r="H304">
        <v>1</v>
      </c>
    </row>
    <row r="305" spans="2:8" x14ac:dyDescent="0.25">
      <c r="B305" s="152">
        <v>24</v>
      </c>
      <c r="H305">
        <v>1</v>
      </c>
    </row>
    <row r="306" spans="2:8" x14ac:dyDescent="0.25">
      <c r="B306" s="152">
        <v>24</v>
      </c>
      <c r="H306">
        <v>1</v>
      </c>
    </row>
    <row r="307" spans="2:8" x14ac:dyDescent="0.25">
      <c r="B307" s="152">
        <v>24</v>
      </c>
      <c r="H307">
        <v>1</v>
      </c>
    </row>
    <row r="308" spans="2:8" x14ac:dyDescent="0.25">
      <c r="B308" s="152">
        <v>25</v>
      </c>
      <c r="H308">
        <v>1</v>
      </c>
    </row>
    <row r="309" spans="2:8" x14ac:dyDescent="0.25">
      <c r="B309" s="152">
        <v>28</v>
      </c>
      <c r="H309">
        <v>1</v>
      </c>
    </row>
    <row r="310" spans="2:8" x14ac:dyDescent="0.25">
      <c r="B310" s="152">
        <v>28</v>
      </c>
      <c r="H310">
        <v>1</v>
      </c>
    </row>
    <row r="311" spans="2:8" x14ac:dyDescent="0.25">
      <c r="B311" s="152">
        <v>28</v>
      </c>
      <c r="H311">
        <v>1</v>
      </c>
    </row>
    <row r="312" spans="2:8" x14ac:dyDescent="0.25">
      <c r="B312" s="152">
        <v>28</v>
      </c>
      <c r="H312">
        <v>1</v>
      </c>
    </row>
    <row r="313" spans="2:8" x14ac:dyDescent="0.25">
      <c r="B313" s="152">
        <v>28</v>
      </c>
      <c r="H313">
        <v>1</v>
      </c>
    </row>
    <row r="314" spans="2:8" x14ac:dyDescent="0.25">
      <c r="B314" s="152">
        <v>28</v>
      </c>
      <c r="H314">
        <v>1</v>
      </c>
    </row>
    <row r="315" spans="2:8" x14ac:dyDescent="0.25">
      <c r="B315" s="152">
        <v>28</v>
      </c>
      <c r="H315">
        <v>1</v>
      </c>
    </row>
    <row r="316" spans="2:8" x14ac:dyDescent="0.25">
      <c r="B316" s="152">
        <v>29</v>
      </c>
      <c r="H316">
        <v>1</v>
      </c>
    </row>
    <row r="317" spans="2:8" x14ac:dyDescent="0.25">
      <c r="B317" s="152">
        <v>29</v>
      </c>
      <c r="H317">
        <v>1</v>
      </c>
    </row>
    <row r="318" spans="2:8" x14ac:dyDescent="0.25">
      <c r="B318" s="152">
        <v>32</v>
      </c>
      <c r="H318">
        <v>1</v>
      </c>
    </row>
    <row r="319" spans="2:8" x14ac:dyDescent="0.25">
      <c r="B319" s="152">
        <v>36</v>
      </c>
      <c r="H319">
        <v>1</v>
      </c>
    </row>
    <row r="320" spans="2:8" x14ac:dyDescent="0.25">
      <c r="B320" s="152">
        <v>36</v>
      </c>
      <c r="H320">
        <v>1</v>
      </c>
    </row>
    <row r="321" spans="2:8" x14ac:dyDescent="0.25">
      <c r="B321" s="152">
        <v>37</v>
      </c>
      <c r="H321">
        <v>1</v>
      </c>
    </row>
    <row r="322" spans="2:8" x14ac:dyDescent="0.25">
      <c r="B322" s="152">
        <v>39</v>
      </c>
      <c r="H322">
        <v>1</v>
      </c>
    </row>
  </sheetData>
  <sortState ref="AA3:AD102">
    <sortCondition ref="AB3:AB102"/>
  </sortState>
  <mergeCells count="5">
    <mergeCell ref="B2:F2"/>
    <mergeCell ref="J2:N2"/>
    <mergeCell ref="R2:U2"/>
    <mergeCell ref="G2:G3"/>
    <mergeCell ref="H2:H3"/>
  </mergeCells>
  <conditionalFormatting sqref="AC3:AC102">
    <cfRule type="cellIs" dxfId="1" priority="2" operator="equal">
      <formula>FALSE</formula>
    </cfRule>
  </conditionalFormatting>
  <conditionalFormatting sqref="AD3:AD102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3</vt:i4>
      </vt:variant>
    </vt:vector>
  </HeadingPairs>
  <TitlesOfParts>
    <vt:vector size="16" baseType="lpstr">
      <vt:lpstr>Albopictus PCR</vt:lpstr>
      <vt:lpstr>Aegypti PCR</vt:lpstr>
      <vt:lpstr>Albopictus Blood</vt:lpstr>
      <vt:lpstr>Aegypti Blood</vt:lpstr>
      <vt:lpstr>Albopictus Mortality</vt:lpstr>
      <vt:lpstr>Aegypti Mortality</vt:lpstr>
      <vt:lpstr>Albopictus Eggs</vt:lpstr>
      <vt:lpstr>Aegypti Eggs</vt:lpstr>
      <vt:lpstr>Albopictus Wings</vt:lpstr>
      <vt:lpstr>Aegypti Wings</vt:lpstr>
      <vt:lpstr>Sheet2</vt:lpstr>
      <vt:lpstr>Sheet1</vt:lpstr>
      <vt:lpstr>Tables for Graph Pad</vt:lpstr>
      <vt:lpstr>AEG Eggs</vt:lpstr>
      <vt:lpstr>Aegypti Eggs wrt Time</vt:lpstr>
      <vt:lpstr>Albo 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Nicholas.Mathias</dc:creator>
  <cp:lastModifiedBy>Nicholas.Mathias</cp:lastModifiedBy>
  <cp:lastPrinted>2017-06-02T13:00:01Z</cp:lastPrinted>
  <dcterms:created xsi:type="dcterms:W3CDTF">2017-05-25T18:27:19Z</dcterms:created>
  <dcterms:modified xsi:type="dcterms:W3CDTF">2017-08-29T23:09:27Z</dcterms:modified>
</cp:coreProperties>
</file>