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2995" windowHeight="11055" activeTab="1"/>
  </bookViews>
  <sheets>
    <sheet name="Battery Capacity Calculation" sheetId="2" r:id="rId1"/>
    <sheet name="Data Capactity Calculation" sheetId="4" r:id="rId2"/>
    <sheet name="Battery Life Estimates" sheetId="3" r:id="rId3"/>
  </sheets>
  <calcPr calcId="145621"/>
  <fileRecoveryPr repairLoad="1"/>
</workbook>
</file>

<file path=xl/calcChain.xml><?xml version="1.0" encoding="utf-8"?>
<calcChain xmlns="http://schemas.openxmlformats.org/spreadsheetml/2006/main">
  <c r="C5" i="4" l="1"/>
  <c r="C8" i="4" s="1"/>
  <c r="D9" i="3" l="1"/>
  <c r="D18" i="3"/>
  <c r="F18" i="3" s="1"/>
  <c r="L19" i="3"/>
  <c r="L18" i="3"/>
  <c r="M14" i="3"/>
  <c r="M13" i="3"/>
  <c r="M12" i="3"/>
  <c r="M11" i="3"/>
  <c r="M10" i="3"/>
  <c r="M9" i="3"/>
  <c r="L14" i="3"/>
  <c r="L13" i="3"/>
  <c r="L11" i="3"/>
  <c r="L12" i="3"/>
  <c r="L10" i="3"/>
  <c r="L9" i="3"/>
  <c r="H4" i="3"/>
  <c r="H3" i="3"/>
  <c r="D6" i="2"/>
  <c r="D10" i="2" s="1"/>
  <c r="C6" i="2"/>
  <c r="C10" i="2" s="1"/>
  <c r="E9" i="3"/>
  <c r="G9" i="3" s="1"/>
  <c r="D10" i="3"/>
  <c r="E10" i="3" s="1"/>
  <c r="G10" i="3" s="1"/>
  <c r="D11" i="3"/>
  <c r="F11" i="3" s="1"/>
  <c r="D12" i="3"/>
  <c r="E12" i="3" s="1"/>
  <c r="G12" i="3" s="1"/>
  <c r="D13" i="3"/>
  <c r="F13" i="3" s="1"/>
  <c r="D14" i="3"/>
  <c r="E14" i="3" s="1"/>
  <c r="G14" i="3" s="1"/>
  <c r="D19" i="3"/>
  <c r="E19" i="3" s="1"/>
  <c r="G19" i="3" s="1"/>
  <c r="D20" i="3"/>
  <c r="F20" i="3" s="1"/>
  <c r="D21" i="3"/>
  <c r="E21" i="3" s="1"/>
  <c r="G21" i="3" s="1"/>
  <c r="D22" i="3"/>
  <c r="F22" i="3" s="1"/>
  <c r="D23" i="3"/>
  <c r="F23" i="3" s="1"/>
  <c r="F12" i="3" l="1"/>
  <c r="H12" i="3" s="1"/>
  <c r="I12" i="3" s="1"/>
  <c r="N12" i="3" s="1"/>
  <c r="P12" i="3" s="1"/>
  <c r="E23" i="3"/>
  <c r="F19" i="3"/>
  <c r="H19" i="3" s="1"/>
  <c r="I19" i="3" s="1"/>
  <c r="N19" i="3" s="1"/>
  <c r="P19" i="3" s="1"/>
  <c r="E13" i="3"/>
  <c r="G13" i="3" s="1"/>
  <c r="H13" i="3" s="1"/>
  <c r="E20" i="3"/>
  <c r="G20" i="3" s="1"/>
  <c r="H20" i="3" s="1"/>
  <c r="J20" i="3" s="1"/>
  <c r="O20" i="3" s="1"/>
  <c r="Q20" i="3" s="1"/>
  <c r="F9" i="3"/>
  <c r="H9" i="3" s="1"/>
  <c r="E22" i="3"/>
  <c r="G22" i="3" s="1"/>
  <c r="H22" i="3" s="1"/>
  <c r="I22" i="3" s="1"/>
  <c r="N22" i="3" s="1"/>
  <c r="P22" i="3" s="1"/>
  <c r="E18" i="3"/>
  <c r="E11" i="3"/>
  <c r="F21" i="3"/>
  <c r="H21" i="3" s="1"/>
  <c r="F14" i="3"/>
  <c r="H14" i="3" s="1"/>
  <c r="F10" i="3"/>
  <c r="H10" i="3" s="1"/>
  <c r="G18" i="3" l="1"/>
  <c r="H18" i="3" s="1"/>
  <c r="G23" i="3"/>
  <c r="H23" i="3" s="1"/>
  <c r="G11" i="3"/>
  <c r="H11" i="3" s="1"/>
  <c r="J12" i="3"/>
  <c r="O12" i="3" s="1"/>
  <c r="Q12" i="3" s="1"/>
  <c r="J13" i="3"/>
  <c r="O13" i="3" s="1"/>
  <c r="Q13" i="3" s="1"/>
  <c r="I13" i="3"/>
  <c r="N13" i="3" s="1"/>
  <c r="P13" i="3" s="1"/>
  <c r="J19" i="3"/>
  <c r="O19" i="3" s="1"/>
  <c r="Q19" i="3" s="1"/>
  <c r="I20" i="3"/>
  <c r="N20" i="3" s="1"/>
  <c r="P20" i="3" s="1"/>
  <c r="J9" i="3"/>
  <c r="O9" i="3" s="1"/>
  <c r="Q9" i="3" s="1"/>
  <c r="I9" i="3"/>
  <c r="N9" i="3" s="1"/>
  <c r="P9" i="3" s="1"/>
  <c r="J22" i="3"/>
  <c r="O22" i="3" s="1"/>
  <c r="Q22" i="3" s="1"/>
  <c r="I10" i="3"/>
  <c r="N10" i="3" s="1"/>
  <c r="P10" i="3" s="1"/>
  <c r="J10" i="3"/>
  <c r="O10" i="3" s="1"/>
  <c r="Q10" i="3" s="1"/>
  <c r="I21" i="3"/>
  <c r="N21" i="3" s="1"/>
  <c r="P21" i="3" s="1"/>
  <c r="J21" i="3"/>
  <c r="O21" i="3" s="1"/>
  <c r="Q21" i="3" s="1"/>
  <c r="J14" i="3"/>
  <c r="O14" i="3" s="1"/>
  <c r="Q14" i="3" s="1"/>
  <c r="I14" i="3"/>
  <c r="N14" i="3" s="1"/>
  <c r="P14" i="3" s="1"/>
  <c r="I23" i="3" l="1"/>
  <c r="N23" i="3" s="1"/>
  <c r="P23" i="3" s="1"/>
  <c r="J23" i="3"/>
  <c r="O23" i="3" s="1"/>
  <c r="Q23" i="3" s="1"/>
  <c r="J18" i="3"/>
  <c r="O18" i="3" s="1"/>
  <c r="Q18" i="3" s="1"/>
  <c r="I18" i="3"/>
  <c r="N18" i="3" s="1"/>
  <c r="P18" i="3" s="1"/>
  <c r="J11" i="3"/>
  <c r="O11" i="3" s="1"/>
  <c r="Q11" i="3" s="1"/>
  <c r="I11" i="3"/>
  <c r="N11" i="3" s="1"/>
  <c r="P11" i="3" s="1"/>
</calcChain>
</file>

<file path=xl/sharedStrings.xml><?xml version="1.0" encoding="utf-8"?>
<sst xmlns="http://schemas.openxmlformats.org/spreadsheetml/2006/main" count="70" uniqueCount="43">
  <si>
    <t>uA</t>
  </si>
  <si>
    <t>mA</t>
  </si>
  <si>
    <t>seconds</t>
  </si>
  <si>
    <t>Deployment</t>
  </si>
  <si>
    <t>Calibration</t>
  </si>
  <si>
    <t>Average Power Use</t>
  </si>
  <si>
    <t>Asleep</t>
  </si>
  <si>
    <t>Sampling</t>
  </si>
  <si>
    <t>Sample Length</t>
  </si>
  <si>
    <t>Sample Interval (minutes)</t>
  </si>
  <si>
    <t>Sample Interval (seconds)</t>
  </si>
  <si>
    <t>% time on</t>
  </si>
  <si>
    <t>% time asleep</t>
  </si>
  <si>
    <t>mAh/day (Sampling)</t>
  </si>
  <si>
    <t>mAh/day (Asleep)</t>
  </si>
  <si>
    <t>mA/day (total)</t>
  </si>
  <si>
    <t>Estimated Battery Life (Lithium)</t>
  </si>
  <si>
    <t>Lithium</t>
  </si>
  <si>
    <t>Alkaline</t>
  </si>
  <si>
    <t>Operating Voltage</t>
  </si>
  <si>
    <t>AA Total Energy</t>
  </si>
  <si>
    <t>Watt-Hours</t>
  </si>
  <si>
    <t>mAh</t>
  </si>
  <si>
    <t>V</t>
  </si>
  <si>
    <t>Boost Converter Efficiency</t>
  </si>
  <si>
    <t>%</t>
  </si>
  <si>
    <t xml:space="preserve">AA Rated Voltage </t>
  </si>
  <si>
    <t>AA Rated Capacity</t>
  </si>
  <si>
    <t>AA Capacity at Operating  Voltage</t>
  </si>
  <si>
    <t># of Batteries in Series</t>
  </si>
  <si>
    <t>Derating for Cold</t>
  </si>
  <si>
    <t>Estimated Battery Life (Alkaline)</t>
  </si>
  <si>
    <t>Units</t>
  </si>
  <si>
    <t>Battery Capacity</t>
  </si>
  <si>
    <t>Number of Samples (Lithium)</t>
  </si>
  <si>
    <t>Number of Samples (Alkaline)</t>
  </si>
  <si>
    <t>Size Per sample</t>
  </si>
  <si>
    <t>Size of 4 GB Disk (bytes)</t>
  </si>
  <si>
    <t xml:space="preserve">Max number of Samples </t>
  </si>
  <si>
    <t>Data Capacity (4GB microSD Card)</t>
  </si>
  <si>
    <t>Samples on disk</t>
  </si>
  <si>
    <t xml:space="preserve">Size on disk (bytes) </t>
  </si>
  <si>
    <t xml:space="preserve">Size of Sampint file on disk (bytes)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</si>
</sst>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\ &quot;Days&quot;"/>
    <numFmt numFmtId="166" formatCode="0.0\ &quot;Days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2" borderId="1" xfId="0" applyFont="1" applyFill="1" applyBorder="1"/>
    <xf numFmtId="10" fontId="0" fillId="0" borderId="1" xfId="0" applyNumberFormat="1" applyBorder="1"/>
    <xf numFmtId="164" fontId="0" fillId="0" borderId="1" xfId="0" applyNumberFormat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10" fontId="0" fillId="0" borderId="10" xfId="0" applyNumberFormat="1" applyBorder="1"/>
    <xf numFmtId="164" fontId="0" fillId="0" borderId="10" xfId="0" applyNumberFormat="1" applyBorder="1"/>
    <xf numFmtId="0" fontId="1" fillId="2" borderId="14" xfId="0" applyFont="1" applyFill="1" applyBorder="1"/>
    <xf numFmtId="10" fontId="0" fillId="0" borderId="2" xfId="0" applyNumberFormat="1" applyBorder="1"/>
    <xf numFmtId="164" fontId="0" fillId="0" borderId="2" xfId="0" applyNumberFormat="1" applyBorder="1"/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3" borderId="14" xfId="0" applyFont="1" applyFill="1" applyBorder="1"/>
    <xf numFmtId="0" fontId="0" fillId="0" borderId="6" xfId="0" applyBorder="1"/>
    <xf numFmtId="0" fontId="0" fillId="0" borderId="11" xfId="0" applyBorder="1"/>
    <xf numFmtId="0" fontId="0" fillId="0" borderId="8" xfId="0" applyBorder="1" applyAlignment="1">
      <alignment wrapText="1"/>
    </xf>
    <xf numFmtId="0" fontId="0" fillId="0" borderId="12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0" fillId="0" borderId="13" xfId="0" applyBorder="1"/>
    <xf numFmtId="0" fontId="1" fillId="2" borderId="2" xfId="0" applyFont="1" applyFill="1" applyBorder="1"/>
    <xf numFmtId="0" fontId="0" fillId="0" borderId="15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1" xfId="0" applyFont="1" applyFill="1" applyBorder="1"/>
    <xf numFmtId="1" fontId="1" fillId="4" borderId="10" xfId="0" applyNumberFormat="1" applyFont="1" applyFill="1" applyBorder="1"/>
    <xf numFmtId="165" fontId="0" fillId="4" borderId="2" xfId="0" applyNumberFormat="1" applyFill="1" applyBorder="1"/>
    <xf numFmtId="165" fontId="0" fillId="4" borderId="15" xfId="0" applyNumberFormat="1" applyFill="1" applyBorder="1"/>
    <xf numFmtId="165" fontId="0" fillId="4" borderId="1" xfId="0" applyNumberFormat="1" applyFill="1" applyBorder="1"/>
    <xf numFmtId="165" fontId="0" fillId="4" borderId="12" xfId="0" applyNumberFormat="1" applyFill="1" applyBorder="1"/>
    <xf numFmtId="166" fontId="0" fillId="4" borderId="12" xfId="0" applyNumberFormat="1" applyFill="1" applyBorder="1"/>
    <xf numFmtId="166" fontId="0" fillId="4" borderId="1" xfId="0" applyNumberFormat="1" applyFill="1" applyBorder="1"/>
    <xf numFmtId="166" fontId="0" fillId="4" borderId="10" xfId="0" applyNumberFormat="1" applyFill="1" applyBorder="1"/>
    <xf numFmtId="166" fontId="0" fillId="4" borderId="13" xfId="0" applyNumberFormat="1" applyFill="1" applyBorder="1"/>
    <xf numFmtId="165" fontId="0" fillId="4" borderId="10" xfId="0" applyNumberFormat="1" applyFill="1" applyBorder="1"/>
    <xf numFmtId="165" fontId="0" fillId="4" borderId="13" xfId="0" applyNumberFormat="1" applyFill="1" applyBorder="1"/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0" fillId="0" borderId="9" xfId="0" applyBorder="1"/>
    <xf numFmtId="0" fontId="1" fillId="2" borderId="10" xfId="0" applyFont="1" applyFill="1" applyBorder="1"/>
    <xf numFmtId="0" fontId="1" fillId="2" borderId="7" xfId="0" applyFont="1" applyFill="1" applyBorder="1"/>
    <xf numFmtId="0" fontId="0" fillId="0" borderId="0" xfId="0" applyBorder="1"/>
    <xf numFmtId="0" fontId="1" fillId="0" borderId="0" xfId="0" applyFont="1" applyFill="1" applyBorder="1"/>
    <xf numFmtId="1" fontId="1" fillId="0" borderId="7" xfId="0" applyNumberFormat="1" applyFont="1" applyFill="1" applyBorder="1"/>
    <xf numFmtId="1" fontId="1" fillId="0" borderId="10" xfId="0" applyNumberFormat="1" applyFont="1" applyFill="1" applyBorder="1"/>
    <xf numFmtId="10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/>
    <xf numFmtId="0" fontId="1" fillId="0" borderId="6" xfId="0" applyFont="1" applyFill="1" applyBorder="1"/>
    <xf numFmtId="165" fontId="0" fillId="0" borderId="7" xfId="0" applyNumberFormat="1" applyFill="1" applyBorder="1"/>
    <xf numFmtId="0" fontId="1" fillId="0" borderId="8" xfId="0" applyFont="1" applyFill="1" applyBorder="1"/>
    <xf numFmtId="165" fontId="0" fillId="0" borderId="1" xfId="0" applyNumberFormat="1" applyFill="1" applyBorder="1"/>
    <xf numFmtId="0" fontId="1" fillId="0" borderId="9" xfId="0" applyFont="1" applyFill="1" applyBorder="1"/>
    <xf numFmtId="165" fontId="0" fillId="0" borderId="10" xfId="0" applyNumberFormat="1" applyFill="1" applyBorder="1"/>
    <xf numFmtId="0" fontId="1" fillId="0" borderId="22" xfId="0" applyFont="1" applyFill="1" applyBorder="1"/>
    <xf numFmtId="0" fontId="1" fillId="0" borderId="23" xfId="0" applyFont="1" applyFill="1" applyBorder="1"/>
    <xf numFmtId="0" fontId="1" fillId="0" borderId="24" xfId="0" applyFont="1" applyFill="1" applyBorder="1"/>
    <xf numFmtId="0" fontId="1" fillId="0" borderId="17" xfId="0" applyFont="1" applyFill="1" applyBorder="1" applyAlignment="1">
      <alignment horizontal="center" wrapText="1"/>
    </xf>
    <xf numFmtId="0" fontId="1" fillId="0" borderId="18" xfId="0" applyFont="1" applyFill="1" applyBorder="1" applyAlignment="1">
      <alignment horizontal="center" wrapText="1"/>
    </xf>
    <xf numFmtId="0" fontId="1" fillId="0" borderId="7" xfId="0" applyNumberFormat="1" applyFont="1" applyFill="1" applyBorder="1"/>
    <xf numFmtId="0" fontId="1" fillId="0" borderId="1" xfId="0" applyNumberFormat="1" applyFont="1" applyFill="1" applyBorder="1"/>
    <xf numFmtId="0" fontId="1" fillId="0" borderId="10" xfId="0" applyNumberFormat="1" applyFont="1" applyFill="1" applyBorder="1"/>
    <xf numFmtId="166" fontId="0" fillId="0" borderId="1" xfId="0" applyNumberFormat="1" applyFill="1" applyBorder="1"/>
    <xf numFmtId="166" fontId="0" fillId="0" borderId="10" xfId="0" applyNumberFormat="1" applyFill="1" applyBorder="1"/>
    <xf numFmtId="166" fontId="0" fillId="0" borderId="7" xfId="0" applyNumberFormat="1" applyFill="1" applyBorder="1"/>
    <xf numFmtId="0" fontId="1" fillId="0" borderId="25" xfId="0" applyFont="1" applyBorder="1" applyAlignment="1">
      <alignment horizontal="center" wrapText="1"/>
    </xf>
    <xf numFmtId="3" fontId="0" fillId="0" borderId="26" xfId="0" applyNumberFormat="1" applyFill="1" applyBorder="1"/>
    <xf numFmtId="3" fontId="0" fillId="0" borderId="27" xfId="0" applyNumberFormat="1" applyFill="1" applyBorder="1"/>
    <xf numFmtId="3" fontId="0" fillId="0" borderId="28" xfId="0" applyNumberFormat="1" applyFill="1" applyBorder="1"/>
    <xf numFmtId="3" fontId="0" fillId="0" borderId="0" xfId="0" applyNumberFormat="1"/>
    <xf numFmtId="3" fontId="0" fillId="0" borderId="11" xfId="0" applyNumberFormat="1" applyFill="1" applyBorder="1"/>
    <xf numFmtId="3" fontId="0" fillId="0" borderId="12" xfId="0" applyNumberFormat="1" applyFill="1" applyBorder="1"/>
    <xf numFmtId="3" fontId="0" fillId="0" borderId="13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"/>
  <sheetViews>
    <sheetView workbookViewId="0">
      <selection activeCell="I37" sqref="I37"/>
    </sheetView>
  </sheetViews>
  <sheetFormatPr defaultRowHeight="15" x14ac:dyDescent="0.25"/>
  <cols>
    <col min="2" max="2" width="19.7109375" customWidth="1"/>
    <col min="3" max="3" width="8.5703125" customWidth="1"/>
    <col min="4" max="4" width="9.140625" customWidth="1"/>
    <col min="5" max="5" width="11" customWidth="1"/>
  </cols>
  <sheetData>
    <row r="1" spans="2:5" ht="15.75" thickBot="1" x14ac:dyDescent="0.3"/>
    <row r="2" spans="2:5" ht="15.75" thickBot="1" x14ac:dyDescent="0.3">
      <c r="C2" s="26" t="s">
        <v>17</v>
      </c>
      <c r="D2" s="27" t="s">
        <v>18</v>
      </c>
      <c r="E2" s="28" t="s">
        <v>32</v>
      </c>
    </row>
    <row r="3" spans="2:5" x14ac:dyDescent="0.25">
      <c r="B3" s="17" t="s">
        <v>26</v>
      </c>
      <c r="C3" s="24">
        <v>1.5</v>
      </c>
      <c r="D3" s="24">
        <v>1.5</v>
      </c>
      <c r="E3" s="25" t="s">
        <v>23</v>
      </c>
    </row>
    <row r="4" spans="2:5" ht="30" x14ac:dyDescent="0.25">
      <c r="B4" s="19" t="s">
        <v>29</v>
      </c>
      <c r="C4" s="1">
        <v>2</v>
      </c>
      <c r="D4" s="1">
        <v>2</v>
      </c>
      <c r="E4" s="20"/>
    </row>
    <row r="5" spans="2:5" x14ac:dyDescent="0.25">
      <c r="B5" s="21" t="s">
        <v>27</v>
      </c>
      <c r="C5" s="1">
        <v>3500</v>
      </c>
      <c r="D5" s="1">
        <v>2000</v>
      </c>
      <c r="E5" s="20" t="s">
        <v>22</v>
      </c>
    </row>
    <row r="6" spans="2:5" x14ac:dyDescent="0.25">
      <c r="B6" s="21" t="s">
        <v>20</v>
      </c>
      <c r="C6" s="29">
        <f>C5*C3*C4</f>
        <v>10500</v>
      </c>
      <c r="D6" s="29">
        <f>D5*D3*D4</f>
        <v>6000</v>
      </c>
      <c r="E6" s="20" t="s">
        <v>21</v>
      </c>
    </row>
    <row r="7" spans="2:5" x14ac:dyDescent="0.25">
      <c r="B7" s="21" t="s">
        <v>19</v>
      </c>
      <c r="C7" s="1">
        <v>5.2</v>
      </c>
      <c r="D7" s="1">
        <v>5.2</v>
      </c>
      <c r="E7" s="20" t="s">
        <v>23</v>
      </c>
    </row>
    <row r="8" spans="2:5" ht="30" x14ac:dyDescent="0.25">
      <c r="B8" s="19" t="s">
        <v>24</v>
      </c>
      <c r="C8" s="1">
        <v>94</v>
      </c>
      <c r="D8" s="1">
        <v>94</v>
      </c>
      <c r="E8" s="20" t="s">
        <v>25</v>
      </c>
    </row>
    <row r="9" spans="2:5" x14ac:dyDescent="0.25">
      <c r="B9" s="19" t="s">
        <v>30</v>
      </c>
      <c r="C9" s="1">
        <v>100</v>
      </c>
      <c r="D9" s="1">
        <v>75</v>
      </c>
      <c r="E9" s="20" t="s">
        <v>25</v>
      </c>
    </row>
    <row r="10" spans="2:5" ht="30.75" thickBot="1" x14ac:dyDescent="0.3">
      <c r="B10" s="22" t="s">
        <v>28</v>
      </c>
      <c r="C10" s="30">
        <f>C6/C7*(C8/100)*(C9/100)</f>
        <v>1898.0769230769229</v>
      </c>
      <c r="D10" s="30">
        <f>D6/D7*(D8/100)*(D9/100)</f>
        <v>813.46153846153834</v>
      </c>
      <c r="E10" s="2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"/>
  <sheetViews>
    <sheetView tabSelected="1" workbookViewId="0">
      <selection activeCell="C3" sqref="C3:C8"/>
    </sheetView>
  </sheetViews>
  <sheetFormatPr defaultRowHeight="15" x14ac:dyDescent="0.25"/>
  <cols>
    <col min="2" max="2" width="32.5703125" bestFit="1" customWidth="1"/>
    <col min="3" max="3" width="13.85546875" customWidth="1"/>
    <col min="4" max="4" width="15" bestFit="1" customWidth="1"/>
    <col min="5" max="5" width="15.140625" bestFit="1" customWidth="1"/>
    <col min="6" max="6" width="22.42578125" bestFit="1" customWidth="1"/>
    <col min="7" max="7" width="25" customWidth="1"/>
  </cols>
  <sheetData>
    <row r="3" spans="2:3" x14ac:dyDescent="0.25">
      <c r="B3" t="s">
        <v>40</v>
      </c>
      <c r="C3" s="76">
        <v>45577</v>
      </c>
    </row>
    <row r="4" spans="2:3" x14ac:dyDescent="0.25">
      <c r="B4" t="s">
        <v>41</v>
      </c>
      <c r="C4" s="76">
        <v>2654208</v>
      </c>
    </row>
    <row r="5" spans="2:3" x14ac:dyDescent="0.25">
      <c r="B5" t="s">
        <v>36</v>
      </c>
      <c r="C5">
        <f>C4/C3</f>
        <v>58.235689053689363</v>
      </c>
    </row>
    <row r="6" spans="2:3" x14ac:dyDescent="0.25">
      <c r="B6" t="s">
        <v>42</v>
      </c>
      <c r="C6" s="76">
        <v>32768</v>
      </c>
    </row>
    <row r="7" spans="2:3" x14ac:dyDescent="0.25">
      <c r="B7" t="s">
        <v>37</v>
      </c>
      <c r="C7" s="76">
        <v>3954081792</v>
      </c>
    </row>
    <row r="8" spans="2:3" x14ac:dyDescent="0.25">
      <c r="B8" t="s">
        <v>38</v>
      </c>
      <c r="C8" s="76">
        <f>(C7-C6)/C5</f>
        <v>67897351.061728388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23"/>
  <sheetViews>
    <sheetView workbookViewId="0">
      <selection activeCell="M42" sqref="M42"/>
    </sheetView>
  </sheetViews>
  <sheetFormatPr defaultRowHeight="15" x14ac:dyDescent="0.25"/>
  <cols>
    <col min="3" max="3" width="14.5703125" customWidth="1"/>
    <col min="6" max="6" width="10.85546875" customWidth="1"/>
    <col min="7" max="7" width="9.140625" bestFit="1" customWidth="1"/>
    <col min="9" max="10" width="12.5703125" customWidth="1"/>
    <col min="12" max="13" width="9.7109375" customWidth="1"/>
    <col min="14" max="15" width="11.140625" bestFit="1" customWidth="1"/>
    <col min="16" max="17" width="11.140625" customWidth="1"/>
    <col min="18" max="18" width="13.140625" bestFit="1" customWidth="1"/>
  </cols>
  <sheetData>
    <row r="1" spans="3:18" ht="15.75" thickBot="1" x14ac:dyDescent="0.3"/>
    <row r="2" spans="3:18" ht="15.75" thickBot="1" x14ac:dyDescent="0.3">
      <c r="C2" s="84" t="s">
        <v>5</v>
      </c>
      <c r="D2" s="85"/>
      <c r="E2" s="86"/>
      <c r="G2" s="84" t="s">
        <v>33</v>
      </c>
      <c r="H2" s="85"/>
      <c r="I2" s="86"/>
    </row>
    <row r="3" spans="3:18" x14ac:dyDescent="0.25">
      <c r="C3" s="17" t="s">
        <v>6</v>
      </c>
      <c r="D3" s="46">
        <v>2</v>
      </c>
      <c r="E3" s="18" t="s">
        <v>0</v>
      </c>
      <c r="G3" s="17" t="s">
        <v>17</v>
      </c>
      <c r="H3" s="49">
        <f>'Battery Capacity Calculation'!C10</f>
        <v>1898.0769230769229</v>
      </c>
      <c r="I3" s="18" t="s">
        <v>22</v>
      </c>
    </row>
    <row r="4" spans="3:18" ht="15.75" thickBot="1" x14ac:dyDescent="0.3">
      <c r="C4" s="21" t="s">
        <v>7</v>
      </c>
      <c r="D4" s="1">
        <v>60</v>
      </c>
      <c r="E4" s="20" t="s">
        <v>1</v>
      </c>
      <c r="G4" s="44" t="s">
        <v>18</v>
      </c>
      <c r="H4" s="50">
        <f>'Battery Capacity Calculation'!D10</f>
        <v>813.46153846153834</v>
      </c>
      <c r="I4" s="23" t="s">
        <v>22</v>
      </c>
    </row>
    <row r="5" spans="3:18" ht="15.75" thickBot="1" x14ac:dyDescent="0.3">
      <c r="C5" s="44" t="s">
        <v>8</v>
      </c>
      <c r="D5" s="45">
        <v>1</v>
      </c>
      <c r="E5" s="23" t="s">
        <v>2</v>
      </c>
      <c r="G5" s="47"/>
      <c r="H5" s="48"/>
      <c r="I5" s="47"/>
    </row>
    <row r="6" spans="3:18" ht="15.75" thickBot="1" x14ac:dyDescent="0.3">
      <c r="C6" s="47"/>
      <c r="D6" s="48"/>
      <c r="E6" s="47"/>
      <c r="G6" s="47"/>
      <c r="H6" s="48"/>
      <c r="I6" s="47"/>
    </row>
    <row r="7" spans="3:18" ht="15.75" thickBot="1" x14ac:dyDescent="0.3">
      <c r="C7" s="80" t="s">
        <v>3</v>
      </c>
      <c r="D7" s="81"/>
      <c r="E7" s="81"/>
      <c r="F7" s="81"/>
      <c r="G7" s="82"/>
      <c r="H7" s="82"/>
      <c r="I7" s="82"/>
      <c r="J7" s="83"/>
      <c r="L7" s="80" t="s">
        <v>3</v>
      </c>
      <c r="M7" s="81"/>
      <c r="N7" s="81"/>
      <c r="O7" s="81"/>
      <c r="P7" s="81"/>
      <c r="Q7" s="81"/>
      <c r="R7" s="87"/>
    </row>
    <row r="8" spans="3:18" ht="45.75" thickBot="1" x14ac:dyDescent="0.3">
      <c r="C8" s="13" t="s">
        <v>9</v>
      </c>
      <c r="D8" s="14" t="s">
        <v>11</v>
      </c>
      <c r="E8" s="14" t="s">
        <v>12</v>
      </c>
      <c r="F8" s="14" t="s">
        <v>13</v>
      </c>
      <c r="G8" s="14" t="s">
        <v>14</v>
      </c>
      <c r="H8" s="14" t="s">
        <v>15</v>
      </c>
      <c r="I8" s="14" t="s">
        <v>16</v>
      </c>
      <c r="J8" s="15" t="s">
        <v>31</v>
      </c>
      <c r="L8" s="41" t="s">
        <v>9</v>
      </c>
      <c r="M8" s="42" t="s">
        <v>10</v>
      </c>
      <c r="N8" s="42" t="s">
        <v>16</v>
      </c>
      <c r="O8" s="42" t="s">
        <v>31</v>
      </c>
      <c r="P8" s="72" t="s">
        <v>34</v>
      </c>
      <c r="Q8" s="72" t="s">
        <v>35</v>
      </c>
      <c r="R8" s="43" t="s">
        <v>39</v>
      </c>
    </row>
    <row r="9" spans="3:18" x14ac:dyDescent="0.25">
      <c r="C9" s="10">
        <v>120</v>
      </c>
      <c r="D9" s="11">
        <f>'Battery Life Estimates'!$D$5/(C9*60)</f>
        <v>1.3888888888888889E-4</v>
      </c>
      <c r="E9" s="11">
        <f t="shared" ref="E9:E14" si="0">1-D9</f>
        <v>0.99986111111111109</v>
      </c>
      <c r="F9" s="12">
        <f>D9*'Battery Life Estimates'!$D$4*24</f>
        <v>0.2</v>
      </c>
      <c r="G9" s="12">
        <f>E9*('Battery Life Estimates'!$D$3/1000)*24</f>
        <v>4.7993333333333332E-2</v>
      </c>
      <c r="H9" s="12">
        <f t="shared" ref="H9:H14" si="1">G9+F9</f>
        <v>0.24799333333333334</v>
      </c>
      <c r="I9" s="31">
        <f>'Battery Capacity Calculation'!$C$10/'Battery Life Estimates'!H9</f>
        <v>7653.7417258942023</v>
      </c>
      <c r="J9" s="32">
        <f>'Battery Capacity Calculation'!$D$10/'Battery Life Estimates'!H9</f>
        <v>3280.1750253832292</v>
      </c>
      <c r="L9" s="55">
        <f t="shared" ref="L9:L14" si="2">C9</f>
        <v>120</v>
      </c>
      <c r="M9" s="66">
        <f t="shared" ref="M9:M14" si="3">L9*60</f>
        <v>7200</v>
      </c>
      <c r="N9" s="56">
        <f>'Battery Life Estimates'!I9</f>
        <v>7653.7417258942023</v>
      </c>
      <c r="O9" s="56">
        <f>'Battery Life Estimates'!J9</f>
        <v>3280.1750253832292</v>
      </c>
      <c r="P9" s="73">
        <f>N9*24*60/$L9</f>
        <v>91844.900710730435</v>
      </c>
      <c r="Q9" s="73">
        <f>O9*24*60/$L9</f>
        <v>39362.100304598753</v>
      </c>
      <c r="R9" s="77">
        <v>67897351.061728388</v>
      </c>
    </row>
    <row r="10" spans="3:18" x14ac:dyDescent="0.25">
      <c r="C10" s="4">
        <v>60</v>
      </c>
      <c r="D10" s="2">
        <f>'Battery Life Estimates'!$D$5/(C10*60)</f>
        <v>2.7777777777777778E-4</v>
      </c>
      <c r="E10" s="2">
        <f t="shared" si="0"/>
        <v>0.99972222222222218</v>
      </c>
      <c r="F10" s="3">
        <f>D10*'Battery Life Estimates'!$D$4*24</f>
        <v>0.4</v>
      </c>
      <c r="G10" s="3">
        <f>E10*('Battery Life Estimates'!$D$3/1000)*24</f>
        <v>4.7986666666666664E-2</v>
      </c>
      <c r="H10" s="3">
        <f t="shared" si="1"/>
        <v>0.4479866666666667</v>
      </c>
      <c r="I10" s="33">
        <f>'Battery Capacity Calculation'!$C$10/'Battery Life Estimates'!H10</f>
        <v>4236.9049445152896</v>
      </c>
      <c r="J10" s="34">
        <f>'Battery Capacity Calculation'!$D$10/'Battery Life Estimates'!H10</f>
        <v>1815.8164047922667</v>
      </c>
      <c r="L10" s="57">
        <f t="shared" si="2"/>
        <v>60</v>
      </c>
      <c r="M10" s="67">
        <f t="shared" si="3"/>
        <v>3600</v>
      </c>
      <c r="N10" s="58">
        <f>'Battery Life Estimates'!I10</f>
        <v>4236.9049445152896</v>
      </c>
      <c r="O10" s="58">
        <f>'Battery Life Estimates'!J10</f>
        <v>1815.8164047922667</v>
      </c>
      <c r="P10" s="74">
        <f t="shared" ref="P10:Q14" si="4">N10*24*60/$L10</f>
        <v>101685.71866836696</v>
      </c>
      <c r="Q10" s="74">
        <f t="shared" si="4"/>
        <v>43579.593715014402</v>
      </c>
      <c r="R10" s="78">
        <v>67897351.061728388</v>
      </c>
    </row>
    <row r="11" spans="3:18" x14ac:dyDescent="0.25">
      <c r="C11" s="4">
        <v>30</v>
      </c>
      <c r="D11" s="2">
        <f>'Battery Life Estimates'!$D$5/(C11*60)</f>
        <v>5.5555555555555556E-4</v>
      </c>
      <c r="E11" s="2">
        <f t="shared" si="0"/>
        <v>0.99944444444444447</v>
      </c>
      <c r="F11" s="3">
        <f>D11*'Battery Life Estimates'!$D$4*24</f>
        <v>0.8</v>
      </c>
      <c r="G11" s="3">
        <f>E11*('Battery Life Estimates'!$D$3/1000)*24</f>
        <v>4.797333333333334E-2</v>
      </c>
      <c r="H11" s="3">
        <f t="shared" si="1"/>
        <v>0.84797333333333336</v>
      </c>
      <c r="I11" s="33">
        <f>'Battery Capacity Calculation'!$C$10/'Battery Life Estimates'!H11</f>
        <v>2238.3686472966006</v>
      </c>
      <c r="J11" s="34">
        <f>'Battery Capacity Calculation'!$D$10/'Battery Life Estimates'!H11</f>
        <v>959.30084884140024</v>
      </c>
      <c r="L11" s="57">
        <f t="shared" si="2"/>
        <v>30</v>
      </c>
      <c r="M11" s="67">
        <f t="shared" si="3"/>
        <v>1800</v>
      </c>
      <c r="N11" s="58">
        <f>'Battery Life Estimates'!I11</f>
        <v>2238.3686472966006</v>
      </c>
      <c r="O11" s="58">
        <f>'Battery Life Estimates'!J11</f>
        <v>959.30084884140024</v>
      </c>
      <c r="P11" s="74">
        <f t="shared" si="4"/>
        <v>107441.69507023683</v>
      </c>
      <c r="Q11" s="74">
        <f t="shared" si="4"/>
        <v>46046.440744387211</v>
      </c>
      <c r="R11" s="78">
        <v>67897351.061728388</v>
      </c>
    </row>
    <row r="12" spans="3:18" x14ac:dyDescent="0.25">
      <c r="C12" s="4">
        <v>15</v>
      </c>
      <c r="D12" s="2">
        <f>'Battery Life Estimates'!$D$5/(C12*60)</f>
        <v>1.1111111111111111E-3</v>
      </c>
      <c r="E12" s="2">
        <f t="shared" si="0"/>
        <v>0.99888888888888894</v>
      </c>
      <c r="F12" s="3">
        <f>D12*'Battery Life Estimates'!$D$4*24</f>
        <v>1.6</v>
      </c>
      <c r="G12" s="3">
        <f>E12*('Battery Life Estimates'!$D$3/1000)*24</f>
        <v>4.7946666666666672E-2</v>
      </c>
      <c r="H12" s="3">
        <f t="shared" si="1"/>
        <v>1.6479466666666667</v>
      </c>
      <c r="I12" s="33">
        <f>'Battery Capacity Calculation'!$C$10/'Battery Life Estimates'!H12</f>
        <v>1151.7829802806662</v>
      </c>
      <c r="J12" s="34">
        <f>'Battery Capacity Calculation'!$D$10/'Battery Life Estimates'!H12</f>
        <v>493.62127726314264</v>
      </c>
      <c r="L12" s="57">
        <f t="shared" si="2"/>
        <v>15</v>
      </c>
      <c r="M12" s="67">
        <f t="shared" si="3"/>
        <v>900</v>
      </c>
      <c r="N12" s="58">
        <f>'Battery Life Estimates'!I12</f>
        <v>1151.7829802806662</v>
      </c>
      <c r="O12" s="58">
        <f>'Battery Life Estimates'!J12</f>
        <v>493.62127726314264</v>
      </c>
      <c r="P12" s="74">
        <f t="shared" si="4"/>
        <v>110571.16610694394</v>
      </c>
      <c r="Q12" s="74">
        <f t="shared" si="4"/>
        <v>47387.642617261692</v>
      </c>
      <c r="R12" s="78">
        <v>67897351.061728388</v>
      </c>
    </row>
    <row r="13" spans="3:18" x14ac:dyDescent="0.25">
      <c r="C13" s="4">
        <v>10</v>
      </c>
      <c r="D13" s="2">
        <f>'Battery Life Estimates'!$D$5/(C13*60)</f>
        <v>1.6666666666666668E-3</v>
      </c>
      <c r="E13" s="2">
        <f t="shared" si="0"/>
        <v>0.99833333333333329</v>
      </c>
      <c r="F13" s="3">
        <f>D13*'Battery Life Estimates'!$D$4*24</f>
        <v>2.4000000000000004</v>
      </c>
      <c r="G13" s="3">
        <f>E13*('Battery Life Estimates'!$D$3/1000)*24</f>
        <v>4.7919999999999997E-2</v>
      </c>
      <c r="H13" s="3">
        <f t="shared" si="1"/>
        <v>2.4479200000000003</v>
      </c>
      <c r="I13" s="33">
        <f>'Battery Capacity Calculation'!$C$10/'Battery Life Estimates'!H13</f>
        <v>775.3835595431724</v>
      </c>
      <c r="J13" s="34">
        <f>'Battery Capacity Calculation'!$D$10/'Battery Life Estimates'!H13</f>
        <v>332.30723980421675</v>
      </c>
      <c r="L13" s="57">
        <f t="shared" si="2"/>
        <v>10</v>
      </c>
      <c r="M13" s="67">
        <f t="shared" si="3"/>
        <v>600</v>
      </c>
      <c r="N13" s="58">
        <f>'Battery Life Estimates'!I13</f>
        <v>775.3835595431724</v>
      </c>
      <c r="O13" s="58">
        <f>'Battery Life Estimates'!J13</f>
        <v>332.30723980421675</v>
      </c>
      <c r="P13" s="74">
        <f t="shared" si="4"/>
        <v>111655.23257421683</v>
      </c>
      <c r="Q13" s="74">
        <f t="shared" si="4"/>
        <v>47852.242531807206</v>
      </c>
      <c r="R13" s="78">
        <v>67897351.061728388</v>
      </c>
    </row>
    <row r="14" spans="3:18" ht="15.75" thickBot="1" x14ac:dyDescent="0.3">
      <c r="C14" s="5">
        <v>5</v>
      </c>
      <c r="D14" s="8">
        <f>'Battery Life Estimates'!$D$5/(C14*60)</f>
        <v>3.3333333333333335E-3</v>
      </c>
      <c r="E14" s="8">
        <f t="shared" si="0"/>
        <v>0.9966666666666667</v>
      </c>
      <c r="F14" s="9">
        <f>D14*'Battery Life Estimates'!$D$4*24</f>
        <v>4.8000000000000007</v>
      </c>
      <c r="G14" s="9">
        <f>E14*('Battery Life Estimates'!$D$3/1000)*24</f>
        <v>4.7840000000000008E-2</v>
      </c>
      <c r="H14" s="9">
        <f t="shared" si="1"/>
        <v>4.8478400000000006</v>
      </c>
      <c r="I14" s="39">
        <f>'Battery Capacity Calculation'!$C$10/'Battery Life Estimates'!H14</f>
        <v>391.53043893299338</v>
      </c>
      <c r="J14" s="40">
        <f>'Battery Capacity Calculation'!$D$10/'Battery Life Estimates'!H14</f>
        <v>167.79875954271145</v>
      </c>
      <c r="L14" s="59">
        <f t="shared" si="2"/>
        <v>5</v>
      </c>
      <c r="M14" s="68">
        <f t="shared" si="3"/>
        <v>300</v>
      </c>
      <c r="N14" s="60">
        <f>'Battery Life Estimates'!I14</f>
        <v>391.53043893299338</v>
      </c>
      <c r="O14" s="60">
        <f>'Battery Life Estimates'!J14</f>
        <v>167.79875954271145</v>
      </c>
      <c r="P14" s="75">
        <f t="shared" si="4"/>
        <v>112760.76641270211</v>
      </c>
      <c r="Q14" s="75">
        <f t="shared" si="4"/>
        <v>48326.042748300897</v>
      </c>
      <c r="R14" s="79">
        <v>67897351.061728388</v>
      </c>
    </row>
    <row r="15" spans="3:18" ht="15.75" thickBot="1" x14ac:dyDescent="0.3">
      <c r="C15" s="48"/>
      <c r="D15" s="51"/>
      <c r="E15" s="51"/>
      <c r="F15" s="52"/>
      <c r="G15" s="52"/>
      <c r="H15" s="52"/>
      <c r="I15" s="53"/>
      <c r="J15" s="53"/>
      <c r="K15" s="54"/>
      <c r="L15" s="54"/>
      <c r="M15" s="54"/>
      <c r="N15" s="54"/>
      <c r="O15" s="54"/>
      <c r="P15" s="54"/>
      <c r="Q15" s="54"/>
      <c r="R15" s="54"/>
    </row>
    <row r="16" spans="3:18" ht="15.75" thickBot="1" x14ac:dyDescent="0.3">
      <c r="C16" s="80" t="s">
        <v>4</v>
      </c>
      <c r="D16" s="81"/>
      <c r="E16" s="81"/>
      <c r="F16" s="81"/>
      <c r="G16" s="82"/>
      <c r="H16" s="82"/>
      <c r="I16" s="82"/>
      <c r="J16" s="83"/>
      <c r="L16" s="88" t="s">
        <v>4</v>
      </c>
      <c r="M16" s="89"/>
      <c r="N16" s="89"/>
      <c r="O16" s="89"/>
      <c r="P16" s="89"/>
      <c r="Q16" s="89"/>
      <c r="R16" s="90"/>
    </row>
    <row r="17" spans="3:18" ht="45.75" thickBot="1" x14ac:dyDescent="0.3">
      <c r="C17" s="13" t="s">
        <v>10</v>
      </c>
      <c r="D17" s="14" t="s">
        <v>11</v>
      </c>
      <c r="E17" s="14" t="s">
        <v>12</v>
      </c>
      <c r="F17" s="14" t="s">
        <v>13</v>
      </c>
      <c r="G17" s="14" t="s">
        <v>14</v>
      </c>
      <c r="H17" s="14" t="s">
        <v>15</v>
      </c>
      <c r="I17" s="14" t="s">
        <v>16</v>
      </c>
      <c r="J17" s="15" t="s">
        <v>31</v>
      </c>
      <c r="L17" s="41" t="s">
        <v>9</v>
      </c>
      <c r="M17" s="42" t="s">
        <v>10</v>
      </c>
      <c r="N17" s="64" t="s">
        <v>16</v>
      </c>
      <c r="O17" s="64" t="s">
        <v>31</v>
      </c>
      <c r="P17" s="72" t="s">
        <v>34</v>
      </c>
      <c r="Q17" s="72" t="s">
        <v>35</v>
      </c>
      <c r="R17" s="65" t="s">
        <v>39</v>
      </c>
    </row>
    <row r="18" spans="3:18" x14ac:dyDescent="0.25">
      <c r="C18" s="16">
        <v>120</v>
      </c>
      <c r="D18" s="11">
        <f>'Battery Life Estimates'!$D$5/(C18)</f>
        <v>8.3333333333333332E-3</v>
      </c>
      <c r="E18" s="11">
        <f t="shared" ref="E18:E23" si="5">1-D18</f>
        <v>0.9916666666666667</v>
      </c>
      <c r="F18" s="12">
        <f>D18*'Battery Life Estimates'!$D$4*24</f>
        <v>12</v>
      </c>
      <c r="G18" s="12">
        <f>E18*('Battery Life Estimates'!$D$3/1000)*24</f>
        <v>4.7600000000000003E-2</v>
      </c>
      <c r="H18" s="12">
        <f t="shared" ref="H18:H23" si="6">G18+F18</f>
        <v>12.047599999999999</v>
      </c>
      <c r="I18" s="31">
        <f>'Battery Capacity Calculation'!$C$10/'Battery Life Estimates'!H18</f>
        <v>157.548135983675</v>
      </c>
      <c r="J18" s="32">
        <f>'Battery Capacity Calculation'!$D$10/'Battery Life Estimates'!H18</f>
        <v>67.520629707289288</v>
      </c>
      <c r="L18" s="55">
        <f>M18/60</f>
        <v>2</v>
      </c>
      <c r="M18" s="61">
        <v>120</v>
      </c>
      <c r="N18" s="71">
        <f>'Battery Life Estimates'!I18</f>
        <v>157.548135983675</v>
      </c>
      <c r="O18" s="71">
        <f>'Battery Life Estimates'!J18</f>
        <v>67.520629707289288</v>
      </c>
      <c r="P18" s="73">
        <f>N18*24*60/$M18*60</f>
        <v>113434.65790824599</v>
      </c>
      <c r="Q18" s="73">
        <f>O18*24*60/$M18*60</f>
        <v>48614.853389248288</v>
      </c>
      <c r="R18" s="77">
        <v>67897351.061728388</v>
      </c>
    </row>
    <row r="19" spans="3:18" x14ac:dyDescent="0.25">
      <c r="C19" s="6">
        <v>60</v>
      </c>
      <c r="D19" s="2">
        <f>'Battery Life Estimates'!$D$5/(C19)</f>
        <v>1.6666666666666666E-2</v>
      </c>
      <c r="E19" s="2">
        <f t="shared" si="5"/>
        <v>0.98333333333333328</v>
      </c>
      <c r="F19" s="3">
        <f>D19*'Battery Life Estimates'!$D$4*24</f>
        <v>24</v>
      </c>
      <c r="G19" s="3">
        <f>E19*('Battery Life Estimates'!$D$3/1000)*24</f>
        <v>4.7199999999999992E-2</v>
      </c>
      <c r="H19" s="3">
        <f t="shared" si="6"/>
        <v>24.0472</v>
      </c>
      <c r="I19" s="33">
        <f>'Battery Capacity Calculation'!$C$10/'Battery Life Estimates'!H19</f>
        <v>78.931306891318854</v>
      </c>
      <c r="J19" s="34">
        <f>'Battery Capacity Calculation'!$D$10/'Battery Life Estimates'!H19</f>
        <v>33.827702953422367</v>
      </c>
      <c r="L19" s="57">
        <f>M19/60</f>
        <v>1</v>
      </c>
      <c r="M19" s="62">
        <v>60</v>
      </c>
      <c r="N19" s="69">
        <f>'Battery Life Estimates'!I19</f>
        <v>78.931306891318854</v>
      </c>
      <c r="O19" s="69">
        <f>'Battery Life Estimates'!J19</f>
        <v>33.827702953422367</v>
      </c>
      <c r="P19" s="74">
        <f t="shared" ref="P19:Q23" si="7">N19*24*60/$M19*60</f>
        <v>113661.08192349915</v>
      </c>
      <c r="Q19" s="74">
        <f t="shared" si="7"/>
        <v>48711.892252928206</v>
      </c>
      <c r="R19" s="78">
        <v>67897351.061728388</v>
      </c>
    </row>
    <row r="20" spans="3:18" x14ac:dyDescent="0.25">
      <c r="C20" s="6">
        <v>30</v>
      </c>
      <c r="D20" s="2">
        <f>'Battery Life Estimates'!$D$5/(C20)</f>
        <v>3.3333333333333333E-2</v>
      </c>
      <c r="E20" s="2">
        <f t="shared" si="5"/>
        <v>0.96666666666666667</v>
      </c>
      <c r="F20" s="3">
        <f>D20*'Battery Life Estimates'!$D$4*24</f>
        <v>48</v>
      </c>
      <c r="G20" s="3">
        <f>E20*('Battery Life Estimates'!$D$3/1000)*24</f>
        <v>4.6399999999999997E-2</v>
      </c>
      <c r="H20" s="3">
        <f t="shared" si="6"/>
        <v>48.046399999999998</v>
      </c>
      <c r="I20" s="33">
        <f>'Battery Capacity Calculation'!$C$10/'Battery Life Estimates'!H20</f>
        <v>39.505080985816271</v>
      </c>
      <c r="J20" s="35">
        <f>'Battery Capacity Calculation'!$D$10/'Battery Life Estimates'!H20</f>
        <v>16.930748993921259</v>
      </c>
      <c r="L20" s="57"/>
      <c r="M20" s="62">
        <v>30</v>
      </c>
      <c r="N20" s="69">
        <f>'Battery Life Estimates'!I20</f>
        <v>39.505080985816271</v>
      </c>
      <c r="O20" s="69">
        <f>'Battery Life Estimates'!J20</f>
        <v>16.930748993921259</v>
      </c>
      <c r="P20" s="74">
        <f t="shared" si="7"/>
        <v>113774.63323915085</v>
      </c>
      <c r="Q20" s="74">
        <f t="shared" si="7"/>
        <v>48760.557102493229</v>
      </c>
      <c r="R20" s="78">
        <v>67897351.061728388</v>
      </c>
    </row>
    <row r="21" spans="3:18" x14ac:dyDescent="0.25">
      <c r="C21" s="6">
        <v>15</v>
      </c>
      <c r="D21" s="2">
        <f>'Battery Life Estimates'!$D$5/(C21)</f>
        <v>6.6666666666666666E-2</v>
      </c>
      <c r="E21" s="2">
        <f t="shared" si="5"/>
        <v>0.93333333333333335</v>
      </c>
      <c r="F21" s="3">
        <f>D21*'Battery Life Estimates'!$D$4*24</f>
        <v>96</v>
      </c>
      <c r="G21" s="3">
        <f>E21*('Battery Life Estimates'!$D$3/1000)*24</f>
        <v>4.48E-2</v>
      </c>
      <c r="H21" s="3">
        <f t="shared" si="6"/>
        <v>96.044799999999995</v>
      </c>
      <c r="I21" s="36">
        <f>'Battery Capacity Calculation'!$C$10/'Battery Life Estimates'!H21</f>
        <v>19.762412156378304</v>
      </c>
      <c r="J21" s="35">
        <f>'Battery Capacity Calculation'!$D$10/'Battery Life Estimates'!H21</f>
        <v>8.4696052098764163</v>
      </c>
      <c r="L21" s="57"/>
      <c r="M21" s="62">
        <v>15</v>
      </c>
      <c r="N21" s="69">
        <f>'Battery Life Estimates'!I21</f>
        <v>19.762412156378304</v>
      </c>
      <c r="O21" s="69">
        <f>'Battery Life Estimates'!J21</f>
        <v>8.4696052098764163</v>
      </c>
      <c r="P21" s="74">
        <f t="shared" si="7"/>
        <v>113831.49402073903</v>
      </c>
      <c r="Q21" s="74">
        <f t="shared" si="7"/>
        <v>48784.926008888157</v>
      </c>
      <c r="R21" s="78">
        <v>67897351.061728388</v>
      </c>
    </row>
    <row r="22" spans="3:18" x14ac:dyDescent="0.25">
      <c r="C22" s="6">
        <v>10</v>
      </c>
      <c r="D22" s="2">
        <f>'Battery Life Estimates'!$D$5/(C22)</f>
        <v>0.1</v>
      </c>
      <c r="E22" s="2">
        <f t="shared" si="5"/>
        <v>0.9</v>
      </c>
      <c r="F22" s="3">
        <f>D22*'Battery Life Estimates'!$D$4*24</f>
        <v>144</v>
      </c>
      <c r="G22" s="3">
        <f>E22*('Battery Life Estimates'!$D$3/1000)*24</f>
        <v>4.3200000000000002E-2</v>
      </c>
      <c r="H22" s="3">
        <f t="shared" si="6"/>
        <v>144.04320000000001</v>
      </c>
      <c r="I22" s="36">
        <f>'Battery Capacity Calculation'!$C$10/'Battery Life Estimates'!H22</f>
        <v>13.177136602608959</v>
      </c>
      <c r="J22" s="35">
        <f>'Battery Capacity Calculation'!$D$10/'Battery Life Estimates'!H22</f>
        <v>5.6473442582609819</v>
      </c>
      <c r="L22" s="57"/>
      <c r="M22" s="62">
        <v>10</v>
      </c>
      <c r="N22" s="69">
        <f>'Battery Life Estimates'!I22</f>
        <v>13.177136602608959</v>
      </c>
      <c r="O22" s="69">
        <f>'Battery Life Estimates'!J22</f>
        <v>5.6473442582609819</v>
      </c>
      <c r="P22" s="74">
        <f t="shared" si="7"/>
        <v>113850.46024654141</v>
      </c>
      <c r="Q22" s="74">
        <f t="shared" si="7"/>
        <v>48793.054391374884</v>
      </c>
      <c r="R22" s="78">
        <v>67897351.061728388</v>
      </c>
    </row>
    <row r="23" spans="3:18" ht="15.75" thickBot="1" x14ac:dyDescent="0.3">
      <c r="C23" s="7">
        <v>5</v>
      </c>
      <c r="D23" s="8">
        <f>'Battery Life Estimates'!$D$5/(C23)</f>
        <v>0.2</v>
      </c>
      <c r="E23" s="8">
        <f t="shared" si="5"/>
        <v>0.8</v>
      </c>
      <c r="F23" s="9">
        <f>D23*'Battery Life Estimates'!$D$4*24</f>
        <v>288</v>
      </c>
      <c r="G23" s="9">
        <f>E23*('Battery Life Estimates'!$D$3/1000)*24</f>
        <v>3.8400000000000004E-2</v>
      </c>
      <c r="H23" s="9">
        <f t="shared" si="6"/>
        <v>288.03840000000002</v>
      </c>
      <c r="I23" s="37">
        <f>'Battery Capacity Calculation'!$C$10/'Battery Life Estimates'!H23</f>
        <v>6.5896662496282534</v>
      </c>
      <c r="J23" s="38">
        <f>'Battery Capacity Calculation'!$D$10/'Battery Life Estimates'!H23</f>
        <v>2.8241426784121084</v>
      </c>
      <c r="L23" s="59"/>
      <c r="M23" s="63">
        <v>5</v>
      </c>
      <c r="N23" s="70">
        <f>'Battery Life Estimates'!I23</f>
        <v>6.5896662496282534</v>
      </c>
      <c r="O23" s="70">
        <f>'Battery Life Estimates'!J23</f>
        <v>2.8241426784121084</v>
      </c>
      <c r="P23" s="75">
        <f t="shared" si="7"/>
        <v>113869.43279357623</v>
      </c>
      <c r="Q23" s="75">
        <f t="shared" si="7"/>
        <v>48801.185482961235</v>
      </c>
      <c r="R23" s="79">
        <v>67897351.061728388</v>
      </c>
    </row>
  </sheetData>
  <mergeCells count="6">
    <mergeCell ref="C7:J7"/>
    <mergeCell ref="C2:E2"/>
    <mergeCell ref="G2:I2"/>
    <mergeCell ref="L7:R7"/>
    <mergeCell ref="L16:R16"/>
    <mergeCell ref="C16:J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Battery Capacity Calculation</vt:lpstr>
      <vt:lpstr>Data Capactity Calculation</vt:lpstr>
      <vt:lpstr>Battery Life Estimates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2014-09-02T17:05:12Z</dcterms:created>
  <dcterms:modified xsi:type="dcterms:W3CDTF">2017-10-13T19:53:53Z</dcterms:modified>
</cp:coreProperties>
</file>