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5315" windowHeight="9345" firstSheet="1" activeTab="6"/>
  </bookViews>
  <sheets>
    <sheet name="Initial Est" sheetId="1" r:id="rId1"/>
    <sheet name="Chukchi" sheetId="2" r:id="rId2"/>
    <sheet name="Power Budget Chukchi " sheetId="3" r:id="rId3"/>
    <sheet name="Power Budget Bering" sheetId="4" r:id="rId4"/>
    <sheet name="Test Deployment Dec 2016" sheetId="5" r:id="rId5"/>
    <sheet name="Healy Deployment 2017" sheetId="7" r:id="rId6"/>
    <sheet name="Dyson Deploement 2017" sheetId="8" r:id="rId7"/>
    <sheet name="Sheet2" sheetId="6" r:id="rId8"/>
  </sheets>
  <calcPr calcId="145621"/>
</workbook>
</file>

<file path=xl/calcChain.xml><?xml version="1.0" encoding="utf-8"?>
<calcChain xmlns="http://schemas.openxmlformats.org/spreadsheetml/2006/main">
  <c r="D6" i="8" l="1"/>
  <c r="D4" i="8"/>
  <c r="C28" i="8"/>
  <c r="K32" i="8"/>
  <c r="L32" i="8" s="1"/>
  <c r="M32" i="8" s="1"/>
  <c r="M31" i="8"/>
  <c r="L31" i="8"/>
  <c r="J21" i="8"/>
  <c r="G21" i="8"/>
  <c r="I21" i="8" s="1"/>
  <c r="I20" i="8"/>
  <c r="G20" i="8"/>
  <c r="J19" i="8"/>
  <c r="G19" i="8"/>
  <c r="I19" i="8" s="1"/>
  <c r="J17" i="8"/>
  <c r="K17" i="8" s="1"/>
  <c r="G17" i="8"/>
  <c r="I17" i="8" s="1"/>
  <c r="J15" i="8"/>
  <c r="G15" i="8"/>
  <c r="I15" i="8" s="1"/>
  <c r="J14" i="8"/>
  <c r="G14" i="8"/>
  <c r="I14" i="8" s="1"/>
  <c r="J12" i="8"/>
  <c r="K12" i="8" s="1"/>
  <c r="G12" i="8"/>
  <c r="I12" i="8" s="1"/>
  <c r="J11" i="8"/>
  <c r="K11" i="8" s="1"/>
  <c r="G11" i="8"/>
  <c r="I11" i="8" s="1"/>
  <c r="J9" i="8"/>
  <c r="I9" i="8"/>
  <c r="E9" i="8"/>
  <c r="F8" i="8"/>
  <c r="I8" i="8" s="1"/>
  <c r="J6" i="8"/>
  <c r="K6" i="8" s="1"/>
  <c r="G6" i="8"/>
  <c r="I6" i="8" s="1"/>
  <c r="F4" i="8"/>
  <c r="I4" i="8" s="1"/>
  <c r="K32" i="7"/>
  <c r="L32" i="7" s="1"/>
  <c r="M32" i="7" s="1"/>
  <c r="M31" i="7"/>
  <c r="L31" i="7"/>
  <c r="J21" i="7"/>
  <c r="G21" i="7"/>
  <c r="I21" i="7" s="1"/>
  <c r="I20" i="7"/>
  <c r="G20" i="7"/>
  <c r="J19" i="7"/>
  <c r="G19" i="7"/>
  <c r="I19" i="7" s="1"/>
  <c r="J17" i="7"/>
  <c r="K17" i="7" s="1"/>
  <c r="G17" i="7"/>
  <c r="I17" i="7" s="1"/>
  <c r="J15" i="7"/>
  <c r="G15" i="7"/>
  <c r="I15" i="7" s="1"/>
  <c r="J14" i="7"/>
  <c r="G14" i="7"/>
  <c r="I14" i="7" s="1"/>
  <c r="J12" i="7"/>
  <c r="K12" i="7" s="1"/>
  <c r="G12" i="7"/>
  <c r="I12" i="7" s="1"/>
  <c r="J11" i="7"/>
  <c r="K11" i="7" s="1"/>
  <c r="G11" i="7"/>
  <c r="I11" i="7" s="1"/>
  <c r="J9" i="7"/>
  <c r="K9" i="7" s="1"/>
  <c r="I9" i="7"/>
  <c r="E9" i="7"/>
  <c r="F8" i="7"/>
  <c r="I8" i="7" s="1"/>
  <c r="J6" i="7"/>
  <c r="K6" i="7" s="1"/>
  <c r="G6" i="7"/>
  <c r="I6" i="7" s="1"/>
  <c r="F4" i="7"/>
  <c r="I4" i="7" s="1"/>
  <c r="I22" i="7" s="1"/>
  <c r="J22" i="8" l="1"/>
  <c r="I22" i="8"/>
  <c r="K9" i="8"/>
  <c r="K22" i="8" s="1"/>
  <c r="K22" i="7"/>
  <c r="J22" i="7"/>
  <c r="J11" i="3"/>
  <c r="J6" i="3"/>
  <c r="J7" i="3"/>
  <c r="J8" i="3"/>
  <c r="J5" i="3"/>
  <c r="H9" i="3" l="1"/>
  <c r="J9" i="3" s="1"/>
  <c r="H8" i="3"/>
  <c r="G11" i="3"/>
  <c r="H11" i="3"/>
  <c r="G20" i="5" l="1"/>
  <c r="G21" i="5"/>
  <c r="G19" i="5"/>
  <c r="I20" i="5"/>
  <c r="J19" i="5"/>
  <c r="J13" i="4"/>
  <c r="I13" i="4"/>
  <c r="I11" i="4"/>
  <c r="I10" i="4"/>
  <c r="I9" i="4"/>
  <c r="I8" i="4"/>
  <c r="I5" i="4"/>
  <c r="I7" i="4"/>
  <c r="K32" i="5"/>
  <c r="L32" i="5" s="1"/>
  <c r="M32" i="5" s="1"/>
  <c r="M31" i="5"/>
  <c r="L31" i="5"/>
  <c r="G17" i="5"/>
  <c r="I17" i="5" s="1"/>
  <c r="J17" i="5" l="1"/>
  <c r="K17" i="5" s="1"/>
  <c r="F8" i="5"/>
  <c r="G6" i="5"/>
  <c r="I6" i="5" s="1"/>
  <c r="J21" i="5"/>
  <c r="I19" i="5" s="1"/>
  <c r="J15" i="5" l="1"/>
  <c r="G15" i="5"/>
  <c r="I15" i="5" s="1"/>
  <c r="J14" i="5"/>
  <c r="G14" i="5"/>
  <c r="I14" i="5" s="1"/>
  <c r="J12" i="5"/>
  <c r="K12" i="5" s="1"/>
  <c r="G12" i="5"/>
  <c r="I12" i="5" s="1"/>
  <c r="J11" i="5"/>
  <c r="K11" i="5" s="1"/>
  <c r="G11" i="5"/>
  <c r="I11" i="5" s="1"/>
  <c r="I9" i="5"/>
  <c r="E9" i="5"/>
  <c r="J9" i="5" s="1"/>
  <c r="K9" i="5" s="1"/>
  <c r="I8" i="5"/>
  <c r="J6" i="5"/>
  <c r="K6" i="5" s="1"/>
  <c r="K22" i="5" s="1"/>
  <c r="F4" i="5"/>
  <c r="I4" i="5" s="1"/>
  <c r="J22" i="5" l="1"/>
  <c r="I21" i="5" s="1"/>
  <c r="I22" i="5" s="1"/>
  <c r="H12" i="4"/>
  <c r="G12" i="4"/>
  <c r="H11" i="4"/>
  <c r="E11" i="4"/>
  <c r="G11" i="4" s="1"/>
  <c r="H10" i="4"/>
  <c r="E10" i="4"/>
  <c r="G10" i="4" s="1"/>
  <c r="H9" i="4"/>
  <c r="E9" i="4"/>
  <c r="G9" i="4" s="1"/>
  <c r="H8" i="4"/>
  <c r="E8" i="4"/>
  <c r="G8" i="4" s="1"/>
  <c r="G7" i="4"/>
  <c r="C7" i="4"/>
  <c r="H7" i="4" s="1"/>
  <c r="D6" i="4"/>
  <c r="G6" i="4" s="1"/>
  <c r="H5" i="4"/>
  <c r="G5" i="4"/>
  <c r="E5" i="4"/>
  <c r="B4" i="4"/>
  <c r="D4" i="4" s="1"/>
  <c r="G4" i="4" s="1"/>
  <c r="E8" i="3"/>
  <c r="G8" i="3" s="1"/>
  <c r="G7" i="3"/>
  <c r="C7" i="3"/>
  <c r="H7" i="3" s="1"/>
  <c r="D6" i="3"/>
  <c r="G6" i="3" s="1"/>
  <c r="J27" i="3"/>
  <c r="J19" i="3"/>
  <c r="E5" i="3"/>
  <c r="G5" i="3" s="1"/>
  <c r="H5" i="3"/>
  <c r="E9" i="3"/>
  <c r="G9" i="3" s="1"/>
  <c r="E10" i="3"/>
  <c r="G10" i="3" s="1"/>
  <c r="H10" i="3"/>
  <c r="J10" i="3" s="1"/>
  <c r="D4" i="3" l="1"/>
  <c r="G4" i="3" s="1"/>
  <c r="G15" i="3" s="1"/>
  <c r="G16" i="3" s="1"/>
  <c r="H15" i="3"/>
  <c r="G13" i="4"/>
  <c r="J15" i="3"/>
  <c r="J23" i="3" s="1"/>
  <c r="S5" i="2"/>
  <c r="S11" i="2"/>
  <c r="S16" i="2"/>
  <c r="S22" i="2"/>
  <c r="S27" i="2"/>
  <c r="S33" i="2"/>
  <c r="S55" i="2" s="1"/>
  <c r="Q39" i="2"/>
  <c r="S45" i="2"/>
  <c r="V22" i="2"/>
  <c r="X22" i="2" s="1"/>
  <c r="Y22" i="2" s="1"/>
  <c r="O22" i="2"/>
  <c r="R22" i="2" s="1"/>
  <c r="V16" i="2"/>
  <c r="X16" i="2" s="1"/>
  <c r="Y16" i="2" s="1"/>
  <c r="O16" i="2"/>
  <c r="R16" i="2" s="1"/>
  <c r="V11" i="2"/>
  <c r="X11" i="2" s="1"/>
  <c r="Y11" i="2" s="1"/>
  <c r="O11" i="2"/>
  <c r="R11" i="2" s="1"/>
  <c r="V27" i="2"/>
  <c r="X27" i="2" s="1"/>
  <c r="Y27" i="2" s="1"/>
  <c r="V45" i="2"/>
  <c r="R67" i="2"/>
  <c r="R59" i="2"/>
  <c r="P50" i="2"/>
  <c r="U50" i="2" s="1"/>
  <c r="X50" i="2" s="1"/>
  <c r="Y50" i="2" s="1"/>
  <c r="X45" i="2"/>
  <c r="Y45" i="2" s="1"/>
  <c r="O45" i="2"/>
  <c r="R45" i="2" s="1"/>
  <c r="U39" i="2"/>
  <c r="X39" i="2" s="1"/>
  <c r="Y39" i="2" s="1"/>
  <c r="O39" i="2"/>
  <c r="U33" i="2"/>
  <c r="X33" i="2" s="1"/>
  <c r="Y33" i="2" s="1"/>
  <c r="O33" i="2"/>
  <c r="R33" i="2" s="1"/>
  <c r="O27" i="2"/>
  <c r="R27" i="2" s="1"/>
  <c r="V5" i="2"/>
  <c r="X5" i="2" s="1"/>
  <c r="Y5" i="2" s="1"/>
  <c r="O5" i="2"/>
  <c r="R5" i="2" s="1"/>
  <c r="J17" i="3" l="1"/>
  <c r="J20" i="3" s="1"/>
  <c r="J25" i="3"/>
  <c r="J16" i="3"/>
  <c r="R39" i="2"/>
  <c r="X55" i="2"/>
  <c r="X56" i="2" s="1"/>
  <c r="R55" i="2"/>
  <c r="R56" i="2" s="1"/>
  <c r="X5" i="1"/>
  <c r="J28" i="3" l="1"/>
  <c r="G28" i="3" s="1"/>
  <c r="R57" i="2"/>
  <c r="R60" i="2" s="1"/>
  <c r="R63" i="2"/>
  <c r="R65" i="2" s="1"/>
  <c r="Q34" i="1"/>
  <c r="U34" i="1" s="1"/>
  <c r="X34" i="1" s="1"/>
  <c r="U23" i="1"/>
  <c r="X23" i="1" s="1"/>
  <c r="V11" i="1"/>
  <c r="R68" i="2" l="1"/>
  <c r="X68" i="2" s="1"/>
  <c r="V5" i="1"/>
  <c r="X11" i="1"/>
  <c r="V29" i="1"/>
  <c r="X29" i="1" s="1"/>
  <c r="U17" i="1"/>
  <c r="X17" i="1" s="1"/>
  <c r="P23" i="1"/>
  <c r="S23" i="1" s="1"/>
  <c r="P11" i="1" l="1"/>
  <c r="S51" i="1"/>
  <c r="S43" i="1"/>
  <c r="P17" i="1"/>
  <c r="S17" i="1" s="1"/>
  <c r="P5" i="1"/>
  <c r="S5" i="1" s="1"/>
  <c r="P29" i="1"/>
  <c r="X39" i="1" l="1"/>
  <c r="X40" i="1" s="1"/>
  <c r="S11" i="1"/>
  <c r="S29" i="1"/>
  <c r="S39" i="1" l="1"/>
  <c r="S41" i="1" s="1"/>
  <c r="S44" i="1" s="1"/>
  <c r="S40" i="1" l="1"/>
  <c r="S47" i="1"/>
  <c r="S52" i="1" l="1"/>
  <c r="X52" i="1" s="1"/>
  <c r="S49" i="1"/>
</calcChain>
</file>

<file path=xl/sharedStrings.xml><?xml version="1.0" encoding="utf-8"?>
<sst xmlns="http://schemas.openxmlformats.org/spreadsheetml/2006/main" count="550" uniqueCount="98">
  <si>
    <t>Pop up Messages:</t>
  </si>
  <si>
    <t>T</t>
  </si>
  <si>
    <t>D</t>
  </si>
  <si>
    <t>PAR</t>
  </si>
  <si>
    <t>Lat</t>
  </si>
  <si>
    <t>Lon</t>
  </si>
  <si>
    <t>Variable</t>
  </si>
  <si>
    <t>Data Type</t>
  </si>
  <si>
    <t>Bytes</t>
  </si>
  <si>
    <t>Example</t>
  </si>
  <si>
    <t>Hdop</t>
  </si>
  <si>
    <t>Double</t>
  </si>
  <si>
    <t>Float</t>
  </si>
  <si>
    <t>Boolean</t>
  </si>
  <si>
    <t>Char (also unsigned)</t>
  </si>
  <si>
    <t>Int (also unsigned)</t>
  </si>
  <si>
    <t>Long (also unsigned)</t>
  </si>
  <si>
    <t>Tilt</t>
  </si>
  <si>
    <t>Max tilt</t>
  </si>
  <si>
    <t>Time to GPS fix</t>
  </si>
  <si>
    <t>Under Water:</t>
  </si>
  <si>
    <t>Total</t>
  </si>
  <si>
    <t>Days</t>
  </si>
  <si>
    <t>Samples/Day</t>
  </si>
  <si>
    <t>Message</t>
  </si>
  <si>
    <t>Ascent</t>
  </si>
  <si>
    <t>Mins</t>
  </si>
  <si>
    <t>GRAND TOTAL</t>
  </si>
  <si>
    <t>Credits</t>
  </si>
  <si>
    <t>Per Credit</t>
  </si>
  <si>
    <t>DATA COST</t>
  </si>
  <si>
    <t>Time per transmission</t>
  </si>
  <si>
    <t>Average Current</t>
  </si>
  <si>
    <t>Bytes Per Transmission</t>
  </si>
  <si>
    <t>Number of Transmissions</t>
  </si>
  <si>
    <t>Power per Transmission</t>
  </si>
  <si>
    <t>Size</t>
  </si>
  <si>
    <t>Under Ice</t>
  </si>
  <si>
    <t>Hours</t>
  </si>
  <si>
    <t>Waiting for Ascent</t>
  </si>
  <si>
    <t>Samples/Hour</t>
  </si>
  <si>
    <t>Samples/Min</t>
  </si>
  <si>
    <t>240 per min = every 0.25 sec</t>
  </si>
  <si>
    <t>Seconds Running</t>
  </si>
  <si>
    <t>mAh</t>
  </si>
  <si>
    <t>TOTAL POWER BUDGET</t>
  </si>
  <si>
    <t>Time to Transmit</t>
  </si>
  <si>
    <t>Iridium Strength</t>
  </si>
  <si>
    <t>RTC</t>
  </si>
  <si>
    <t>Batt</t>
  </si>
  <si>
    <t>12 per day = every 2 hours</t>
  </si>
  <si>
    <t>At Surface</t>
  </si>
  <si>
    <t>Power Needed to Transmit</t>
  </si>
  <si>
    <t>Power Needed to Measure</t>
  </si>
  <si>
    <t>||</t>
  </si>
  <si>
    <t>========</t>
  </si>
  <si>
    <t>===============</t>
  </si>
  <si>
    <t>===============→</t>
  </si>
  <si>
    <t>↓</t>
  </si>
  <si>
    <t>Number of Instances</t>
  </si>
  <si>
    <t>Asleep</t>
  </si>
  <si>
    <t>Hours Running</t>
  </si>
  <si>
    <t>GPS Time (Drift)</t>
  </si>
  <si>
    <t>48 per day = every 30 min</t>
  </si>
  <si>
    <t>Under Ice - Sampling</t>
  </si>
  <si>
    <t>Under Ice-Look for GPS</t>
  </si>
  <si>
    <t>Sample Sets</t>
  </si>
  <si>
    <t>120 per min = every 0.5 sec</t>
  </si>
  <si>
    <t>On Bottom Before Release</t>
  </si>
  <si>
    <t>Waiting for Profile</t>
  </si>
  <si>
    <t>Profile</t>
  </si>
  <si>
    <t>Under Ice - Sample Only</t>
  </si>
  <si>
    <t>Under Ice - Look for GPS</t>
  </si>
  <si>
    <t>Samples Per Day</t>
  </si>
  <si>
    <t>Bottom Sample</t>
  </si>
  <si>
    <t>Average Power (mA)</t>
  </si>
  <si>
    <t>Waiting for Release</t>
  </si>
  <si>
    <t>Profiling</t>
  </si>
  <si>
    <t>Looking for GPS</t>
  </si>
  <si>
    <t>At Surface-Look for GPS</t>
  </si>
  <si>
    <t>Data Samples</t>
  </si>
  <si>
    <t>Bottom Sampling</t>
  </si>
  <si>
    <t>Profile Mode</t>
  </si>
  <si>
    <t>Under Ice Early</t>
  </si>
  <si>
    <t>Under Ice Late</t>
  </si>
  <si>
    <t>Deploy</t>
  </si>
  <si>
    <t>Burn Wire Release</t>
  </si>
  <si>
    <t>Recovery</t>
  </si>
  <si>
    <t>Total Power Needed</t>
  </si>
  <si>
    <t>"Ice Free"</t>
  </si>
  <si>
    <t>Ice Free (Searching)</t>
  </si>
  <si>
    <t>Messages</t>
  </si>
  <si>
    <t>Samples/message</t>
  </si>
  <si>
    <t>Message Estimate</t>
  </si>
  <si>
    <t>Surface (Transmit)</t>
  </si>
  <si>
    <t>At Surface-Take Sample</t>
  </si>
  <si>
    <t>At Surface-Iridium Inrush</t>
  </si>
  <si>
    <t xml:space="preserve">Last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</si>
</sst>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[$£-809]#,##0.00"/>
    <numFmt numFmtId="165" formatCode="&quot;$&quot;#,##0.00"/>
    <numFmt numFmtId="166" formatCode="0\ &quot;bytes&quot;"/>
    <numFmt numFmtId="167" formatCode="0\ &quot;s&quot;"/>
    <numFmt numFmtId="168" formatCode="0\ &quot;mA&quot;"/>
    <numFmt numFmtId="169" formatCode="0.00\ &quot;Ah&quot;"/>
    <numFmt numFmtId="170" formatCode="0.00\ &quot;mAh&quot;"/>
    <numFmt numFmtId="171" formatCode="0.0\ &quot;KB&quot;"/>
    <numFmt numFmtId="172" formatCode="0\ &quot;mAh&quot;"/>
    <numFmt numFmtId="173" formatCode="0.00\ &quot;hr&quot;"/>
    <numFmt numFmtId="174" formatCode="0.000\ &quot;mA&quot;"/>
    <numFmt numFmtId="175" formatCode="0\ &quot;samples&quot;"/>
    <numFmt numFmtId="176" formatCode="0\ &quot;hours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center"/>
    </xf>
    <xf numFmtId="17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73" fontId="0" fillId="2" borderId="0" xfId="0" applyNumberForma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5" fontId="0" fillId="0" borderId="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172" fontId="0" fillId="0" borderId="0" xfId="0" applyNumberFormat="1"/>
    <xf numFmtId="172" fontId="0" fillId="0" borderId="0" xfId="0" applyNumberFormat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5" borderId="1" xfId="0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/>
    <xf numFmtId="165" fontId="0" fillId="0" borderId="0" xfId="0" applyNumberFormat="1"/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U11" sqref="U11"/>
    </sheetView>
  </sheetViews>
  <sheetFormatPr defaultRowHeight="15" x14ac:dyDescent="0.25"/>
  <cols>
    <col min="1" max="1" width="21.42578125" customWidth="1"/>
    <col min="2" max="3" width="3.42578125" customWidth="1"/>
    <col min="4" max="4" width="4.5703125" bestFit="1" customWidth="1"/>
    <col min="5" max="5" width="4.5703125" customWidth="1"/>
    <col min="6" max="6" width="7.7109375" bestFit="1" customWidth="1"/>
    <col min="7" max="7" width="5.42578125" customWidth="1"/>
    <col min="8" max="8" width="3.5703125" style="1" bestFit="1" customWidth="1"/>
    <col min="9" max="9" width="4.140625" bestFit="1" customWidth="1"/>
    <col min="10" max="10" width="14.42578125" bestFit="1" customWidth="1"/>
    <col min="11" max="11" width="5.7109375" style="1" bestFit="1" customWidth="1"/>
    <col min="12" max="12" width="9.28515625" style="1" bestFit="1" customWidth="1"/>
    <col min="13" max="13" width="15.5703125" bestFit="1" customWidth="1"/>
    <col min="16" max="16" width="9.140625" style="4"/>
    <col min="18" max="18" width="27.42578125" customWidth="1"/>
    <col min="19" max="19" width="14.42578125" customWidth="1"/>
    <col min="21" max="21" width="16.140625" bestFit="1" customWidth="1"/>
    <col min="22" max="22" width="20" customWidth="1"/>
    <col min="23" max="23" width="25.28515625" bestFit="1" customWidth="1"/>
    <col min="24" max="24" width="12.42578125" customWidth="1"/>
  </cols>
  <sheetData>
    <row r="1" spans="1:24" x14ac:dyDescent="0.25">
      <c r="A1" t="s">
        <v>0</v>
      </c>
    </row>
    <row r="2" spans="1:24" s="1" customFormat="1" x14ac:dyDescent="0.25">
      <c r="A2" s="23" t="s">
        <v>51</v>
      </c>
      <c r="P2" s="5"/>
    </row>
    <row r="3" spans="1:24" s="1" customFormat="1" ht="30" x14ac:dyDescent="0.25">
      <c r="A3" s="6" t="s">
        <v>6</v>
      </c>
      <c r="B3" s="2" t="s">
        <v>1</v>
      </c>
      <c r="C3" s="2" t="s">
        <v>2</v>
      </c>
      <c r="D3" s="2" t="s">
        <v>3</v>
      </c>
      <c r="E3" s="2" t="s">
        <v>48</v>
      </c>
      <c r="F3" s="2" t="s">
        <v>18</v>
      </c>
      <c r="G3" s="2" t="s">
        <v>49</v>
      </c>
      <c r="H3" s="2" t="s">
        <v>4</v>
      </c>
      <c r="I3" s="2" t="s">
        <v>5</v>
      </c>
      <c r="J3" s="2" t="s">
        <v>19</v>
      </c>
      <c r="K3" s="2" t="s">
        <v>10</v>
      </c>
      <c r="L3" s="30" t="s">
        <v>62</v>
      </c>
      <c r="M3" s="2" t="s">
        <v>47</v>
      </c>
      <c r="P3" s="6" t="s">
        <v>21</v>
      </c>
      <c r="Q3" s="2" t="s">
        <v>22</v>
      </c>
      <c r="R3" s="2" t="s">
        <v>23</v>
      </c>
      <c r="S3" s="2" t="s">
        <v>36</v>
      </c>
      <c r="U3" s="2" t="s">
        <v>43</v>
      </c>
      <c r="V3" s="2" t="s">
        <v>59</v>
      </c>
      <c r="W3" s="2" t="s">
        <v>32</v>
      </c>
      <c r="X3" s="2" t="s">
        <v>44</v>
      </c>
    </row>
    <row r="4" spans="1:24" s="1" customFormat="1" x14ac:dyDescent="0.25">
      <c r="A4" s="6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P4" s="6"/>
      <c r="Q4" s="3"/>
      <c r="R4" s="3"/>
      <c r="S4" s="2"/>
      <c r="U4" s="3"/>
      <c r="V4" s="3"/>
      <c r="W4" s="3"/>
      <c r="X4" s="2"/>
    </row>
    <row r="5" spans="1:24" x14ac:dyDescent="0.25">
      <c r="A5" s="6" t="s">
        <v>8</v>
      </c>
      <c r="B5" s="2">
        <v>2</v>
      </c>
      <c r="C5" s="2">
        <v>2</v>
      </c>
      <c r="D5" s="2">
        <v>2</v>
      </c>
      <c r="E5" s="2">
        <v>4</v>
      </c>
      <c r="F5" s="2">
        <v>2</v>
      </c>
      <c r="G5" s="2">
        <v>2</v>
      </c>
      <c r="H5" s="2">
        <v>4</v>
      </c>
      <c r="I5" s="2">
        <v>4</v>
      </c>
      <c r="J5" s="2">
        <v>1</v>
      </c>
      <c r="K5" s="2">
        <v>2</v>
      </c>
      <c r="L5" s="2">
        <v>2</v>
      </c>
      <c r="M5" s="2">
        <v>1</v>
      </c>
      <c r="P5" s="6">
        <f>SUM(B5:O5)</f>
        <v>28</v>
      </c>
      <c r="Q5" s="14">
        <v>30</v>
      </c>
      <c r="R5" s="14">
        <v>12</v>
      </c>
      <c r="S5" s="13">
        <f>P5*Q5*R5</f>
        <v>10080</v>
      </c>
      <c r="U5" s="14">
        <v>60</v>
      </c>
      <c r="V5" s="14">
        <f>R5*Q5</f>
        <v>360</v>
      </c>
      <c r="W5" s="18">
        <v>300</v>
      </c>
      <c r="X5" s="21">
        <f>W5*V5*U5/3600</f>
        <v>1800</v>
      </c>
    </row>
    <row r="6" spans="1:24" x14ac:dyDescent="0.25">
      <c r="A6" s="6" t="s">
        <v>9</v>
      </c>
      <c r="B6" s="3"/>
      <c r="C6" s="3"/>
      <c r="D6" s="3"/>
      <c r="E6" s="3"/>
      <c r="F6" s="3"/>
      <c r="G6" s="3"/>
      <c r="H6" s="3"/>
      <c r="I6" s="3"/>
      <c r="J6" s="2"/>
      <c r="K6" s="3"/>
      <c r="L6" s="3"/>
      <c r="M6" s="2"/>
      <c r="P6" s="6"/>
      <c r="Q6" s="3"/>
      <c r="R6" s="20" t="s">
        <v>50</v>
      </c>
      <c r="S6" s="2"/>
      <c r="U6" s="3"/>
      <c r="V6" s="3"/>
      <c r="W6" s="3"/>
      <c r="X6" s="2"/>
    </row>
    <row r="7" spans="1:24" x14ac:dyDescent="0.25">
      <c r="A7" s="4"/>
    </row>
    <row r="8" spans="1:24" x14ac:dyDescent="0.25">
      <c r="A8" s="23" t="s">
        <v>37</v>
      </c>
    </row>
    <row r="9" spans="1:24" x14ac:dyDescent="0.25">
      <c r="A9" s="6" t="s">
        <v>6</v>
      </c>
      <c r="B9" s="2" t="s">
        <v>1</v>
      </c>
      <c r="C9" s="2" t="s">
        <v>2</v>
      </c>
      <c r="D9" s="2" t="s">
        <v>3</v>
      </c>
      <c r="E9" s="2" t="s">
        <v>48</v>
      </c>
      <c r="F9" s="2" t="s">
        <v>17</v>
      </c>
      <c r="G9" s="2" t="s">
        <v>49</v>
      </c>
      <c r="P9" s="6" t="s">
        <v>24</v>
      </c>
      <c r="Q9" s="2" t="s">
        <v>22</v>
      </c>
      <c r="R9" s="2" t="s">
        <v>23</v>
      </c>
      <c r="S9" s="2" t="s">
        <v>36</v>
      </c>
      <c r="U9" s="2" t="s">
        <v>43</v>
      </c>
      <c r="V9" s="2" t="s">
        <v>59</v>
      </c>
      <c r="W9" s="2" t="s">
        <v>32</v>
      </c>
      <c r="X9" s="2" t="s">
        <v>44</v>
      </c>
    </row>
    <row r="10" spans="1:24" x14ac:dyDescent="0.25">
      <c r="A10" s="6" t="s">
        <v>7</v>
      </c>
      <c r="B10" s="2"/>
      <c r="C10" s="2"/>
      <c r="D10" s="2"/>
      <c r="E10" s="2"/>
      <c r="F10" s="2"/>
      <c r="G10" s="2"/>
      <c r="P10" s="6"/>
      <c r="Q10" s="3"/>
      <c r="R10" s="3"/>
      <c r="S10" s="2"/>
      <c r="U10" s="3"/>
      <c r="V10" s="3"/>
      <c r="W10" s="3"/>
      <c r="X10" s="2"/>
    </row>
    <row r="11" spans="1:24" x14ac:dyDescent="0.25">
      <c r="A11" s="6" t="s">
        <v>8</v>
      </c>
      <c r="B11" s="2">
        <v>2</v>
      </c>
      <c r="C11" s="2">
        <v>2</v>
      </c>
      <c r="D11" s="2">
        <v>2</v>
      </c>
      <c r="E11" s="2">
        <v>4</v>
      </c>
      <c r="F11" s="2">
        <v>2</v>
      </c>
      <c r="G11" s="2">
        <v>2</v>
      </c>
      <c r="P11" s="6">
        <f>SUM(B11:O11)</f>
        <v>14</v>
      </c>
      <c r="Q11" s="14">
        <v>120</v>
      </c>
      <c r="R11" s="14">
        <v>24</v>
      </c>
      <c r="S11" s="13">
        <f>P11*Q11*R11</f>
        <v>40320</v>
      </c>
      <c r="U11" s="14">
        <v>70</v>
      </c>
      <c r="V11" s="14">
        <f>R11*Q11</f>
        <v>2880</v>
      </c>
      <c r="W11" s="18">
        <v>200</v>
      </c>
      <c r="X11" s="21">
        <f>W11*V11*U11/3600</f>
        <v>11200</v>
      </c>
    </row>
    <row r="12" spans="1:24" x14ac:dyDescent="0.25">
      <c r="A12" s="6" t="s">
        <v>9</v>
      </c>
      <c r="B12" s="3"/>
      <c r="C12" s="3"/>
      <c r="D12" s="3"/>
      <c r="E12" s="3"/>
      <c r="F12" s="3"/>
      <c r="G12" s="3"/>
      <c r="P12" s="6"/>
      <c r="Q12" s="3"/>
      <c r="R12" s="20" t="s">
        <v>63</v>
      </c>
      <c r="S12" s="2"/>
      <c r="U12" s="3"/>
      <c r="V12" s="3"/>
      <c r="W12" s="3"/>
      <c r="X12" s="2"/>
    </row>
    <row r="13" spans="1:24" x14ac:dyDescent="0.25">
      <c r="A13" s="4"/>
    </row>
    <row r="14" spans="1:24" x14ac:dyDescent="0.25">
      <c r="A14" s="23" t="s">
        <v>25</v>
      </c>
    </row>
    <row r="15" spans="1:24" x14ac:dyDescent="0.25">
      <c r="A15" s="6" t="s">
        <v>6</v>
      </c>
      <c r="B15" s="2" t="s">
        <v>1</v>
      </c>
      <c r="C15" s="2" t="s">
        <v>2</v>
      </c>
      <c r="D15" s="2" t="s">
        <v>3</v>
      </c>
      <c r="E15" s="2" t="s">
        <v>48</v>
      </c>
      <c r="F15" s="2" t="s">
        <v>17</v>
      </c>
      <c r="G15" s="7"/>
      <c r="P15" s="6" t="s">
        <v>24</v>
      </c>
      <c r="Q15" s="2" t="s">
        <v>26</v>
      </c>
      <c r="R15" s="2" t="s">
        <v>41</v>
      </c>
      <c r="S15" s="2" t="s">
        <v>36</v>
      </c>
      <c r="U15" s="2" t="s">
        <v>43</v>
      </c>
      <c r="V15" s="2" t="s">
        <v>59</v>
      </c>
      <c r="W15" s="2" t="s">
        <v>32</v>
      </c>
      <c r="X15" s="2" t="s">
        <v>44</v>
      </c>
    </row>
    <row r="16" spans="1:24" x14ac:dyDescent="0.25">
      <c r="A16" s="6" t="s">
        <v>7</v>
      </c>
      <c r="B16" s="2"/>
      <c r="C16" s="2"/>
      <c r="D16" s="2"/>
      <c r="E16" s="2"/>
      <c r="F16" s="2"/>
      <c r="G16" s="7"/>
      <c r="P16" s="6"/>
      <c r="Q16" s="3"/>
      <c r="R16" s="3"/>
      <c r="S16" s="2"/>
      <c r="U16" s="3"/>
      <c r="V16" s="3"/>
      <c r="W16" s="3"/>
      <c r="X16" s="2"/>
    </row>
    <row r="17" spans="1:24" x14ac:dyDescent="0.25">
      <c r="A17" s="6" t="s">
        <v>8</v>
      </c>
      <c r="B17" s="2">
        <v>2</v>
      </c>
      <c r="C17" s="2">
        <v>2</v>
      </c>
      <c r="D17" s="2">
        <v>2</v>
      </c>
      <c r="E17" s="2">
        <v>4</v>
      </c>
      <c r="F17" s="2">
        <v>2</v>
      </c>
      <c r="G17" s="7"/>
      <c r="P17" s="6">
        <f>SUM(B17:O17)</f>
        <v>12</v>
      </c>
      <c r="Q17" s="14">
        <v>5</v>
      </c>
      <c r="R17" s="14">
        <v>240</v>
      </c>
      <c r="S17" s="13">
        <f>P17*Q17*R17</f>
        <v>14400</v>
      </c>
      <c r="U17" s="14">
        <f>5*60</f>
        <v>300</v>
      </c>
      <c r="V17" s="14">
        <v>1</v>
      </c>
      <c r="W17" s="18">
        <v>75</v>
      </c>
      <c r="X17" s="21">
        <f>W17*V17*U17/3600</f>
        <v>6.25</v>
      </c>
    </row>
    <row r="18" spans="1:24" x14ac:dyDescent="0.25">
      <c r="A18" s="6" t="s">
        <v>9</v>
      </c>
      <c r="B18" s="3"/>
      <c r="C18" s="3"/>
      <c r="D18" s="3"/>
      <c r="E18" s="3"/>
      <c r="F18" s="3"/>
      <c r="G18" s="8"/>
      <c r="P18" s="6"/>
      <c r="Q18" s="3"/>
      <c r="R18" s="20" t="s">
        <v>42</v>
      </c>
      <c r="S18" s="2"/>
      <c r="U18" s="3"/>
      <c r="V18" s="3"/>
      <c r="W18" s="3"/>
      <c r="X18" s="2"/>
    </row>
    <row r="19" spans="1:24" x14ac:dyDescent="0.25">
      <c r="A19" s="4"/>
    </row>
    <row r="20" spans="1:24" x14ac:dyDescent="0.25">
      <c r="A20" s="23" t="s">
        <v>39</v>
      </c>
    </row>
    <row r="21" spans="1:24" x14ac:dyDescent="0.25">
      <c r="A21" s="6" t="s">
        <v>6</v>
      </c>
      <c r="B21" s="2" t="s">
        <v>1</v>
      </c>
      <c r="C21" s="2" t="s">
        <v>2</v>
      </c>
      <c r="D21" s="2" t="s">
        <v>3</v>
      </c>
      <c r="E21" s="2" t="s">
        <v>48</v>
      </c>
      <c r="F21" s="2" t="s">
        <v>17</v>
      </c>
      <c r="G21" s="7"/>
      <c r="I21" s="1"/>
      <c r="P21" s="6" t="s">
        <v>24</v>
      </c>
      <c r="Q21" s="2" t="s">
        <v>38</v>
      </c>
      <c r="R21" s="2" t="s">
        <v>40</v>
      </c>
      <c r="S21" s="2" t="s">
        <v>36</v>
      </c>
      <c r="U21" s="2" t="s">
        <v>43</v>
      </c>
      <c r="V21" s="2" t="s">
        <v>59</v>
      </c>
      <c r="W21" s="2" t="s">
        <v>32</v>
      </c>
      <c r="X21" s="2" t="s">
        <v>44</v>
      </c>
    </row>
    <row r="22" spans="1:24" x14ac:dyDescent="0.25">
      <c r="A22" s="6" t="s">
        <v>7</v>
      </c>
      <c r="B22" s="2"/>
      <c r="C22" s="2"/>
      <c r="D22" s="2"/>
      <c r="E22" s="2"/>
      <c r="F22" s="2"/>
      <c r="G22" s="7"/>
      <c r="I22" s="1"/>
      <c r="P22" s="6"/>
      <c r="Q22" s="3"/>
      <c r="R22" s="3"/>
      <c r="S22" s="2"/>
      <c r="U22" s="3"/>
      <c r="V22" s="3"/>
      <c r="W22" s="3"/>
      <c r="X22" s="2"/>
    </row>
    <row r="23" spans="1:24" x14ac:dyDescent="0.25">
      <c r="A23" s="6" t="s">
        <v>8</v>
      </c>
      <c r="B23" s="2">
        <v>2</v>
      </c>
      <c r="C23" s="2">
        <v>2</v>
      </c>
      <c r="D23" s="2">
        <v>2</v>
      </c>
      <c r="E23" s="2">
        <v>4</v>
      </c>
      <c r="F23" s="2">
        <v>2</v>
      </c>
      <c r="G23" s="7"/>
      <c r="I23" s="1"/>
      <c r="P23" s="6">
        <f>SUM(B23:O23)</f>
        <v>12</v>
      </c>
      <c r="Q23" s="14">
        <v>6</v>
      </c>
      <c r="R23" s="14">
        <v>60</v>
      </c>
      <c r="S23" s="13">
        <f>P23*Q23*R23</f>
        <v>4320</v>
      </c>
      <c r="U23" s="14">
        <f>60*60*Q23</f>
        <v>21600</v>
      </c>
      <c r="V23" s="14">
        <v>1</v>
      </c>
      <c r="W23" s="18">
        <v>73</v>
      </c>
      <c r="X23" s="21">
        <f>W23*V23*U23/3600</f>
        <v>438</v>
      </c>
    </row>
    <row r="24" spans="1:24" x14ac:dyDescent="0.25">
      <c r="A24" s="6" t="s">
        <v>9</v>
      </c>
      <c r="B24" s="3"/>
      <c r="C24" s="3"/>
      <c r="D24" s="3"/>
      <c r="E24" s="3"/>
      <c r="F24" s="3"/>
      <c r="G24" s="8"/>
      <c r="P24" s="6"/>
      <c r="Q24" s="3"/>
      <c r="R24" s="3"/>
      <c r="S24" s="2"/>
      <c r="U24" s="3"/>
      <c r="V24" s="3"/>
      <c r="W24" s="3"/>
      <c r="X24" s="2"/>
    </row>
    <row r="25" spans="1:24" x14ac:dyDescent="0.25">
      <c r="A25" s="4"/>
    </row>
    <row r="26" spans="1:24" x14ac:dyDescent="0.25">
      <c r="A26" s="23" t="s">
        <v>20</v>
      </c>
    </row>
    <row r="27" spans="1:24" x14ac:dyDescent="0.25">
      <c r="A27" s="6" t="s">
        <v>6</v>
      </c>
      <c r="B27" s="2" t="s">
        <v>1</v>
      </c>
      <c r="C27" s="2" t="s">
        <v>2</v>
      </c>
      <c r="D27" s="2" t="s">
        <v>3</v>
      </c>
      <c r="E27" s="2" t="s">
        <v>48</v>
      </c>
      <c r="F27" s="2" t="s">
        <v>17</v>
      </c>
      <c r="G27" s="2" t="s">
        <v>49</v>
      </c>
      <c r="I27" s="1"/>
      <c r="P27" s="6" t="s">
        <v>24</v>
      </c>
      <c r="Q27" s="2" t="s">
        <v>22</v>
      </c>
      <c r="R27" s="2" t="s">
        <v>23</v>
      </c>
      <c r="S27" s="2" t="s">
        <v>36</v>
      </c>
      <c r="U27" s="2" t="s">
        <v>43</v>
      </c>
      <c r="V27" s="2" t="s">
        <v>59</v>
      </c>
      <c r="W27" s="2" t="s">
        <v>32</v>
      </c>
      <c r="X27" s="2" t="s">
        <v>44</v>
      </c>
    </row>
    <row r="28" spans="1:24" x14ac:dyDescent="0.25">
      <c r="A28" s="6" t="s">
        <v>7</v>
      </c>
      <c r="B28" s="2"/>
      <c r="C28" s="2"/>
      <c r="D28" s="2"/>
      <c r="E28" s="2"/>
      <c r="F28" s="2"/>
      <c r="G28" s="2"/>
      <c r="I28" s="1"/>
      <c r="P28" s="6"/>
      <c r="Q28" s="3"/>
      <c r="R28" s="3"/>
      <c r="S28" s="2"/>
      <c r="U28" s="3"/>
      <c r="V28" s="3"/>
      <c r="W28" s="3"/>
      <c r="X28" s="2"/>
    </row>
    <row r="29" spans="1:24" x14ac:dyDescent="0.25">
      <c r="A29" s="6" t="s">
        <v>8</v>
      </c>
      <c r="B29" s="2">
        <v>2</v>
      </c>
      <c r="C29" s="2">
        <v>2</v>
      </c>
      <c r="D29" s="2">
        <v>2</v>
      </c>
      <c r="E29" s="2">
        <v>4</v>
      </c>
      <c r="F29" s="2">
        <v>2</v>
      </c>
      <c r="G29" s="2">
        <v>2</v>
      </c>
      <c r="I29" s="1"/>
      <c r="P29" s="6">
        <f>SUM(B29:O29)</f>
        <v>14</v>
      </c>
      <c r="Q29" s="14">
        <v>170</v>
      </c>
      <c r="R29" s="14">
        <v>4</v>
      </c>
      <c r="S29" s="13">
        <f>P29*Q29*R29</f>
        <v>9520</v>
      </c>
      <c r="U29" s="14">
        <v>2.5</v>
      </c>
      <c r="V29" s="14">
        <f>R29*Q29</f>
        <v>680</v>
      </c>
      <c r="W29" s="18">
        <v>78</v>
      </c>
      <c r="X29" s="21">
        <f>W29*V29*U29/3600</f>
        <v>36.833333333333336</v>
      </c>
    </row>
    <row r="30" spans="1:24" x14ac:dyDescent="0.25">
      <c r="A30" s="6" t="s">
        <v>9</v>
      </c>
      <c r="B30" s="3"/>
      <c r="C30" s="3"/>
      <c r="D30" s="3"/>
      <c r="E30" s="3"/>
      <c r="F30" s="3"/>
      <c r="G30" s="3"/>
      <c r="P30" s="6"/>
      <c r="Q30" s="3"/>
      <c r="R30" s="3"/>
      <c r="S30" s="2"/>
      <c r="U30" s="3"/>
      <c r="V30" s="3"/>
      <c r="W30" s="3"/>
      <c r="X30" s="2"/>
    </row>
    <row r="31" spans="1:24" x14ac:dyDescent="0.25">
      <c r="A31" s="4"/>
    </row>
    <row r="32" spans="1:24" x14ac:dyDescent="0.25">
      <c r="A32" s="23" t="s">
        <v>60</v>
      </c>
      <c r="P32" s="6"/>
      <c r="Q32" s="2" t="s">
        <v>22</v>
      </c>
      <c r="R32" s="2"/>
      <c r="S32" s="2"/>
      <c r="U32" s="2" t="s">
        <v>61</v>
      </c>
      <c r="V32" s="2" t="s">
        <v>59</v>
      </c>
      <c r="W32" s="2" t="s">
        <v>32</v>
      </c>
      <c r="X32" s="2" t="s">
        <v>44</v>
      </c>
    </row>
    <row r="33" spans="1:24" x14ac:dyDescent="0.25">
      <c r="A33" s="4"/>
      <c r="P33" s="6"/>
      <c r="Q33" s="3"/>
      <c r="R33" s="3"/>
      <c r="S33" s="2"/>
      <c r="U33" s="3"/>
      <c r="V33" s="3"/>
      <c r="W33" s="3"/>
      <c r="X33" s="2"/>
    </row>
    <row r="34" spans="1:24" x14ac:dyDescent="0.25">
      <c r="A34" s="4"/>
      <c r="P34" s="6"/>
      <c r="Q34" s="14">
        <f>SUM(Q5,Q11,Q29)</f>
        <v>320</v>
      </c>
      <c r="R34" s="14"/>
      <c r="S34" s="13"/>
      <c r="U34" s="14">
        <f>24*Q34</f>
        <v>7680</v>
      </c>
      <c r="V34" s="14">
        <v>1</v>
      </c>
      <c r="W34" s="29">
        <v>1.4999999999999999E-2</v>
      </c>
      <c r="X34" s="21">
        <f>W34*V34*U34</f>
        <v>115.19999999999999</v>
      </c>
    </row>
    <row r="35" spans="1:24" x14ac:dyDescent="0.25">
      <c r="A35" s="4"/>
      <c r="P35" s="6"/>
      <c r="Q35" s="3"/>
      <c r="R35" s="3"/>
      <c r="S35" s="2"/>
      <c r="U35" s="3"/>
      <c r="V35" s="3"/>
      <c r="W35" s="3"/>
      <c r="X35" s="2"/>
    </row>
    <row r="36" spans="1:24" x14ac:dyDescent="0.25">
      <c r="A36" s="4"/>
    </row>
    <row r="37" spans="1:24" x14ac:dyDescent="0.25">
      <c r="A37" s="4"/>
    </row>
    <row r="39" spans="1:24" x14ac:dyDescent="0.25">
      <c r="R39" s="6" t="s">
        <v>27</v>
      </c>
      <c r="S39" s="13">
        <f>SUM(S5,S11,S17,S23,S29)</f>
        <v>78640</v>
      </c>
      <c r="W39" s="21" t="s">
        <v>53</v>
      </c>
      <c r="X39" s="21">
        <f>SUM(X5+X11+X17+X23+X29+X34)</f>
        <v>13596.283333333335</v>
      </c>
    </row>
    <row r="40" spans="1:24" x14ac:dyDescent="0.25">
      <c r="R40" s="6" t="s">
        <v>27</v>
      </c>
      <c r="S40" s="19">
        <f>S39/1000</f>
        <v>78.64</v>
      </c>
      <c r="W40" s="11" t="s">
        <v>53</v>
      </c>
      <c r="X40" s="26">
        <f>X39/1000</f>
        <v>13.596283333333334</v>
      </c>
    </row>
    <row r="41" spans="1:24" x14ac:dyDescent="0.25">
      <c r="A41" s="1" t="s">
        <v>14</v>
      </c>
      <c r="B41" s="1">
        <v>1</v>
      </c>
      <c r="R41" s="2" t="s">
        <v>28</v>
      </c>
      <c r="S41" s="2">
        <f>S39/50</f>
        <v>1572.8</v>
      </c>
      <c r="X41" s="1" t="s">
        <v>54</v>
      </c>
    </row>
    <row r="42" spans="1:24" x14ac:dyDescent="0.25">
      <c r="A42" s="1" t="s">
        <v>15</v>
      </c>
      <c r="B42" s="1">
        <v>2</v>
      </c>
      <c r="R42" s="2" t="s">
        <v>29</v>
      </c>
      <c r="S42" s="15">
        <v>7.0000000000000007E-2</v>
      </c>
      <c r="X42" s="1" t="s">
        <v>54</v>
      </c>
    </row>
    <row r="43" spans="1:24" x14ac:dyDescent="0.25">
      <c r="A43" s="1" t="s">
        <v>16</v>
      </c>
      <c r="B43" s="1">
        <v>4</v>
      </c>
      <c r="R43" s="2" t="s">
        <v>29</v>
      </c>
      <c r="S43" s="9">
        <f>S42*10/7</f>
        <v>0.1</v>
      </c>
      <c r="X43" s="1" t="s">
        <v>54</v>
      </c>
    </row>
    <row r="44" spans="1:24" x14ac:dyDescent="0.25">
      <c r="A44" s="1" t="s">
        <v>11</v>
      </c>
      <c r="B44" s="1">
        <v>4</v>
      </c>
      <c r="R44" s="11" t="s">
        <v>30</v>
      </c>
      <c r="S44" s="12">
        <f>S43*S41</f>
        <v>157.28</v>
      </c>
      <c r="X44" s="1" t="s">
        <v>54</v>
      </c>
    </row>
    <row r="45" spans="1:24" x14ac:dyDescent="0.25">
      <c r="A45" s="1" t="s">
        <v>12</v>
      </c>
      <c r="B45" s="1">
        <v>4</v>
      </c>
      <c r="X45" s="1" t="s">
        <v>54</v>
      </c>
    </row>
    <row r="46" spans="1:24" x14ac:dyDescent="0.25">
      <c r="A46" s="1" t="s">
        <v>13</v>
      </c>
      <c r="B46" s="1">
        <v>1</v>
      </c>
      <c r="R46" s="10" t="s">
        <v>33</v>
      </c>
      <c r="S46" s="14">
        <v>340</v>
      </c>
      <c r="X46" s="1" t="s">
        <v>54</v>
      </c>
    </row>
    <row r="47" spans="1:24" x14ac:dyDescent="0.25">
      <c r="R47" s="10" t="s">
        <v>34</v>
      </c>
      <c r="S47" s="2">
        <f>CEILING(S39/S46,1)</f>
        <v>232</v>
      </c>
      <c r="X47" s="1" t="s">
        <v>54</v>
      </c>
    </row>
    <row r="48" spans="1:24" x14ac:dyDescent="0.25">
      <c r="R48" s="10" t="s">
        <v>31</v>
      </c>
      <c r="S48" s="16">
        <v>40</v>
      </c>
      <c r="X48" s="1" t="s">
        <v>54</v>
      </c>
    </row>
    <row r="49" spans="18:24" customFormat="1" x14ac:dyDescent="0.25">
      <c r="R49" s="10" t="s">
        <v>46</v>
      </c>
      <c r="S49" s="22">
        <f>S48*S47/60/60</f>
        <v>2.5777777777777775</v>
      </c>
      <c r="X49" s="1" t="s">
        <v>54</v>
      </c>
    </row>
    <row r="50" spans="18:24" customFormat="1" x14ac:dyDescent="0.25">
      <c r="R50" s="2" t="s">
        <v>32</v>
      </c>
      <c r="S50" s="18">
        <v>300</v>
      </c>
      <c r="X50" s="1" t="s">
        <v>54</v>
      </c>
    </row>
    <row r="51" spans="18:24" customFormat="1" x14ac:dyDescent="0.25">
      <c r="R51" s="2" t="s">
        <v>35</v>
      </c>
      <c r="S51" s="17">
        <f>S50*S48/60/60</f>
        <v>3.3333333333333335</v>
      </c>
      <c r="X51" s="28" t="s">
        <v>58</v>
      </c>
    </row>
    <row r="52" spans="18:24" customFormat="1" x14ac:dyDescent="0.25">
      <c r="R52" s="11" t="s">
        <v>52</v>
      </c>
      <c r="S52" s="26">
        <f>S51*S47/1000</f>
        <v>0.77333333333333332</v>
      </c>
      <c r="T52" s="27" t="s">
        <v>55</v>
      </c>
      <c r="U52" s="27" t="s">
        <v>56</v>
      </c>
      <c r="V52" s="27" t="s">
        <v>57</v>
      </c>
      <c r="W52" s="24" t="s">
        <v>45</v>
      </c>
      <c r="X52" s="25">
        <f>X40+S52</f>
        <v>14.369616666666667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workbookViewId="0">
      <selection activeCell="C61" sqref="C61"/>
    </sheetView>
  </sheetViews>
  <sheetFormatPr defaultRowHeight="15" x14ac:dyDescent="0.25"/>
  <cols>
    <col min="1" max="1" width="21.42578125" customWidth="1"/>
    <col min="2" max="4" width="3.42578125" customWidth="1"/>
    <col min="5" max="5" width="4.5703125" bestFit="1" customWidth="1"/>
    <col min="6" max="6" width="4.5703125" customWidth="1"/>
    <col min="7" max="7" width="7.7109375" bestFit="1" customWidth="1"/>
    <col min="8" max="8" width="3.5703125" style="1" bestFit="1" customWidth="1"/>
    <col min="9" max="9" width="4.140625" bestFit="1" customWidth="1"/>
    <col min="10" max="10" width="14.42578125" bestFit="1" customWidth="1"/>
    <col min="11" max="11" width="5.7109375" style="1" bestFit="1" customWidth="1"/>
    <col min="12" max="12" width="9.28515625" style="1" bestFit="1" customWidth="1"/>
    <col min="13" max="13" width="15.5703125" bestFit="1" customWidth="1"/>
    <col min="15" max="15" width="9.140625" style="4"/>
    <col min="17" max="17" width="27.42578125" customWidth="1"/>
    <col min="18" max="19" width="14.42578125" customWidth="1"/>
    <col min="21" max="21" width="16.140625" bestFit="1" customWidth="1"/>
    <col min="22" max="22" width="20" customWidth="1"/>
    <col min="23" max="23" width="25.28515625" bestFit="1" customWidth="1"/>
    <col min="24" max="24" width="12.42578125" customWidth="1"/>
    <col min="25" max="25" width="16.140625" bestFit="1" customWidth="1"/>
  </cols>
  <sheetData>
    <row r="1" spans="1:25" x14ac:dyDescent="0.25">
      <c r="A1" t="s">
        <v>0</v>
      </c>
    </row>
    <row r="2" spans="1:25" s="1" customFormat="1" x14ac:dyDescent="0.25">
      <c r="A2" s="23" t="s">
        <v>51</v>
      </c>
      <c r="O2" s="5"/>
    </row>
    <row r="3" spans="1:25" s="1" customFormat="1" ht="30" x14ac:dyDescent="0.25">
      <c r="A3" s="6" t="s">
        <v>6</v>
      </c>
      <c r="B3" s="2" t="s">
        <v>1</v>
      </c>
      <c r="C3" s="2" t="s">
        <v>2</v>
      </c>
      <c r="D3" s="2" t="s">
        <v>2</v>
      </c>
      <c r="E3" s="2" t="s">
        <v>3</v>
      </c>
      <c r="F3" s="2" t="s">
        <v>48</v>
      </c>
      <c r="G3" s="2" t="s">
        <v>18</v>
      </c>
      <c r="H3" s="2" t="s">
        <v>4</v>
      </c>
      <c r="I3" s="2" t="s">
        <v>5</v>
      </c>
      <c r="J3" s="2" t="s">
        <v>19</v>
      </c>
      <c r="K3" s="2" t="s">
        <v>10</v>
      </c>
      <c r="L3" s="30" t="s">
        <v>62</v>
      </c>
      <c r="M3" s="2" t="s">
        <v>47</v>
      </c>
      <c r="O3" s="6" t="s">
        <v>21</v>
      </c>
      <c r="P3" s="2" t="s">
        <v>22</v>
      </c>
      <c r="Q3" s="2" t="s">
        <v>23</v>
      </c>
      <c r="R3" s="2" t="s">
        <v>36</v>
      </c>
      <c r="S3" s="2" t="s">
        <v>66</v>
      </c>
      <c r="U3" s="2" t="s">
        <v>43</v>
      </c>
      <c r="V3" s="2" t="s">
        <v>59</v>
      </c>
      <c r="W3" s="2" t="s">
        <v>32</v>
      </c>
      <c r="X3" s="2" t="s">
        <v>44</v>
      </c>
      <c r="Y3" s="2" t="s">
        <v>38</v>
      </c>
    </row>
    <row r="4" spans="1:25" s="1" customFormat="1" x14ac:dyDescent="0.25">
      <c r="A4" s="6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O4" s="6"/>
      <c r="P4" s="3"/>
      <c r="Q4" s="3"/>
      <c r="R4" s="2"/>
      <c r="S4" s="2"/>
      <c r="U4" s="3"/>
      <c r="V4" s="3"/>
      <c r="W4" s="3"/>
      <c r="X4" s="2"/>
      <c r="Y4" s="3"/>
    </row>
    <row r="5" spans="1:25" x14ac:dyDescent="0.25">
      <c r="A5" s="6" t="s">
        <v>8</v>
      </c>
      <c r="B5" s="2">
        <v>2</v>
      </c>
      <c r="C5" s="2">
        <v>2</v>
      </c>
      <c r="D5" s="2">
        <v>2</v>
      </c>
      <c r="E5" s="2">
        <v>2</v>
      </c>
      <c r="F5" s="2">
        <v>4</v>
      </c>
      <c r="G5" s="2">
        <v>2</v>
      </c>
      <c r="H5" s="2">
        <v>4</v>
      </c>
      <c r="I5" s="2">
        <v>4</v>
      </c>
      <c r="J5" s="2">
        <v>1</v>
      </c>
      <c r="K5" s="2">
        <v>2</v>
      </c>
      <c r="L5" s="2">
        <v>2</v>
      </c>
      <c r="M5" s="2">
        <v>1</v>
      </c>
      <c r="O5" s="6">
        <f>SUM(B5:N5)</f>
        <v>28</v>
      </c>
      <c r="P5" s="14">
        <v>30</v>
      </c>
      <c r="Q5" s="14">
        <v>12</v>
      </c>
      <c r="R5" s="13">
        <f>O5*P5*Q5</f>
        <v>10080</v>
      </c>
      <c r="S5" s="44">
        <f>P5*Q5</f>
        <v>360</v>
      </c>
      <c r="U5" s="14">
        <v>65</v>
      </c>
      <c r="V5" s="14">
        <f>Q5*P5</f>
        <v>360</v>
      </c>
      <c r="W5" s="18">
        <v>500</v>
      </c>
      <c r="X5" s="21">
        <f>W5*V5*U5/3600</f>
        <v>3250</v>
      </c>
      <c r="Y5" s="14">
        <f>X5/W5</f>
        <v>6.5</v>
      </c>
    </row>
    <row r="6" spans="1:25" x14ac:dyDescent="0.25">
      <c r="A6" s="6" t="s">
        <v>9</v>
      </c>
      <c r="B6" s="3"/>
      <c r="C6" s="3"/>
      <c r="D6" s="3"/>
      <c r="E6" s="3"/>
      <c r="F6" s="3"/>
      <c r="G6" s="3"/>
      <c r="H6" s="3"/>
      <c r="I6" s="3"/>
      <c r="J6" s="2"/>
      <c r="K6" s="3"/>
      <c r="L6" s="3"/>
      <c r="M6" s="2"/>
      <c r="O6" s="6"/>
      <c r="P6" s="3"/>
      <c r="Q6" s="20" t="s">
        <v>50</v>
      </c>
      <c r="R6" s="2"/>
      <c r="S6" s="2"/>
      <c r="U6" s="3"/>
      <c r="V6" s="3"/>
      <c r="W6" s="3"/>
      <c r="X6" s="2"/>
      <c r="Y6" s="3"/>
    </row>
    <row r="7" spans="1:25" x14ac:dyDescent="0.25">
      <c r="A7" s="4"/>
    </row>
    <row r="8" spans="1:25" x14ac:dyDescent="0.25">
      <c r="A8" s="23" t="s">
        <v>65</v>
      </c>
    </row>
    <row r="9" spans="1:25" x14ac:dyDescent="0.25">
      <c r="A9" s="6" t="s">
        <v>6</v>
      </c>
      <c r="B9" s="2" t="s">
        <v>1</v>
      </c>
      <c r="C9" s="2" t="s">
        <v>2</v>
      </c>
      <c r="D9" s="2" t="s">
        <v>2</v>
      </c>
      <c r="E9" s="2" t="s">
        <v>3</v>
      </c>
      <c r="F9" s="2" t="s">
        <v>48</v>
      </c>
      <c r="G9" s="2" t="s">
        <v>17</v>
      </c>
      <c r="O9" s="6" t="s">
        <v>24</v>
      </c>
      <c r="P9" s="2" t="s">
        <v>22</v>
      </c>
      <c r="Q9" s="2" t="s">
        <v>23</v>
      </c>
      <c r="R9" s="2" t="s">
        <v>36</v>
      </c>
      <c r="S9" s="2" t="s">
        <v>66</v>
      </c>
      <c r="U9" s="2" t="s">
        <v>43</v>
      </c>
      <c r="V9" s="2" t="s">
        <v>59</v>
      </c>
      <c r="W9" s="2" t="s">
        <v>32</v>
      </c>
      <c r="X9" s="2" t="s">
        <v>44</v>
      </c>
      <c r="Y9" s="2" t="s">
        <v>38</v>
      </c>
    </row>
    <row r="10" spans="1:25" x14ac:dyDescent="0.25">
      <c r="A10" s="6" t="s">
        <v>7</v>
      </c>
      <c r="B10" s="2"/>
      <c r="C10" s="2"/>
      <c r="D10" s="2"/>
      <c r="E10" s="2"/>
      <c r="F10" s="2"/>
      <c r="G10" s="2"/>
      <c r="O10" s="6"/>
      <c r="P10" s="3"/>
      <c r="Q10" s="3"/>
      <c r="R10" s="2"/>
      <c r="S10" s="2"/>
      <c r="U10" s="3"/>
      <c r="V10" s="3"/>
      <c r="W10" s="3"/>
      <c r="X10" s="2"/>
      <c r="Y10" s="3"/>
    </row>
    <row r="11" spans="1:25" x14ac:dyDescent="0.25">
      <c r="A11" s="6" t="s">
        <v>8</v>
      </c>
      <c r="B11" s="2">
        <v>2</v>
      </c>
      <c r="C11" s="2">
        <v>2</v>
      </c>
      <c r="D11" s="2">
        <v>2</v>
      </c>
      <c r="E11" s="2">
        <v>2</v>
      </c>
      <c r="F11" s="2">
        <v>4</v>
      </c>
      <c r="G11" s="2">
        <v>4</v>
      </c>
      <c r="O11" s="6">
        <f>SUM(B11:N11)</f>
        <v>16</v>
      </c>
      <c r="P11" s="14">
        <v>90</v>
      </c>
      <c r="Q11" s="14">
        <v>2</v>
      </c>
      <c r="R11" s="13">
        <f>O11*P11*Q11</f>
        <v>2880</v>
      </c>
      <c r="S11" s="44">
        <f>P11*Q11</f>
        <v>180</v>
      </c>
      <c r="U11" s="14">
        <v>180</v>
      </c>
      <c r="V11" s="14">
        <f>Q11*P11</f>
        <v>180</v>
      </c>
      <c r="W11" s="18">
        <v>114</v>
      </c>
      <c r="X11" s="21">
        <f>W11*V11*U11/3600</f>
        <v>1026</v>
      </c>
      <c r="Y11" s="14">
        <f>X11/W11</f>
        <v>9</v>
      </c>
    </row>
    <row r="12" spans="1:25" x14ac:dyDescent="0.25">
      <c r="A12" s="6" t="s">
        <v>9</v>
      </c>
      <c r="B12" s="3"/>
      <c r="C12" s="3"/>
      <c r="D12" s="3"/>
      <c r="E12" s="3"/>
      <c r="F12" s="3"/>
      <c r="G12" s="3"/>
      <c r="O12" s="6"/>
      <c r="P12" s="3"/>
      <c r="Q12" s="20"/>
      <c r="R12" s="2"/>
      <c r="S12" s="2"/>
      <c r="U12" s="3"/>
      <c r="V12" s="3"/>
      <c r="W12" s="3"/>
      <c r="X12" s="2"/>
      <c r="Y12" s="3"/>
    </row>
    <row r="13" spans="1:25" x14ac:dyDescent="0.25">
      <c r="A13" s="23" t="s">
        <v>64</v>
      </c>
    </row>
    <row r="14" spans="1:25" x14ac:dyDescent="0.25">
      <c r="A14" s="6" t="s">
        <v>6</v>
      </c>
      <c r="B14" s="2" t="s">
        <v>1</v>
      </c>
      <c r="C14" s="2" t="s">
        <v>2</v>
      </c>
      <c r="D14" s="2" t="s">
        <v>2</v>
      </c>
      <c r="E14" s="2" t="s">
        <v>3</v>
      </c>
      <c r="F14" s="2" t="s">
        <v>48</v>
      </c>
      <c r="G14" s="2" t="s">
        <v>17</v>
      </c>
      <c r="O14" s="6" t="s">
        <v>24</v>
      </c>
      <c r="P14" s="2" t="s">
        <v>22</v>
      </c>
      <c r="Q14" s="2" t="s">
        <v>23</v>
      </c>
      <c r="R14" s="2" t="s">
        <v>36</v>
      </c>
      <c r="S14" s="2" t="s">
        <v>66</v>
      </c>
      <c r="U14" s="2" t="s">
        <v>43</v>
      </c>
      <c r="V14" s="2" t="s">
        <v>59</v>
      </c>
      <c r="W14" s="2" t="s">
        <v>32</v>
      </c>
      <c r="X14" s="2" t="s">
        <v>44</v>
      </c>
      <c r="Y14" s="2" t="s">
        <v>38</v>
      </c>
    </row>
    <row r="15" spans="1:25" x14ac:dyDescent="0.25">
      <c r="A15" s="6" t="s">
        <v>7</v>
      </c>
      <c r="B15" s="2"/>
      <c r="C15" s="2"/>
      <c r="D15" s="2"/>
      <c r="E15" s="2"/>
      <c r="F15" s="2"/>
      <c r="G15" s="2"/>
      <c r="O15" s="6"/>
      <c r="P15" s="3"/>
      <c r="Q15" s="3"/>
      <c r="R15" s="2"/>
      <c r="S15" s="2"/>
      <c r="U15" s="3"/>
      <c r="V15" s="3"/>
      <c r="W15" s="3"/>
      <c r="X15" s="2"/>
      <c r="Y15" s="3"/>
    </row>
    <row r="16" spans="1:25" x14ac:dyDescent="0.25">
      <c r="A16" s="6" t="s">
        <v>8</v>
      </c>
      <c r="B16" s="2">
        <v>2</v>
      </c>
      <c r="C16" s="2">
        <v>2</v>
      </c>
      <c r="D16" s="2">
        <v>2</v>
      </c>
      <c r="E16" s="2">
        <v>2</v>
      </c>
      <c r="F16" s="2">
        <v>4</v>
      </c>
      <c r="G16" s="2">
        <v>4</v>
      </c>
      <c r="O16" s="6">
        <f>SUM(B16:N16)</f>
        <v>16</v>
      </c>
      <c r="P16" s="14">
        <v>90</v>
      </c>
      <c r="Q16" s="14">
        <v>22</v>
      </c>
      <c r="R16" s="13">
        <f>O16*P16*Q16</f>
        <v>31680</v>
      </c>
      <c r="S16" s="44">
        <f>P16*Q16</f>
        <v>1980</v>
      </c>
      <c r="U16" s="14">
        <v>5</v>
      </c>
      <c r="V16" s="14">
        <f>Q16*P16</f>
        <v>1980</v>
      </c>
      <c r="W16" s="18">
        <v>78</v>
      </c>
      <c r="X16" s="21">
        <f>W16*V16*U16/3600</f>
        <v>214.5</v>
      </c>
      <c r="Y16" s="14">
        <f>X16/W16</f>
        <v>2.75</v>
      </c>
    </row>
    <row r="17" spans="1:25" x14ac:dyDescent="0.25">
      <c r="A17" s="6" t="s">
        <v>9</v>
      </c>
      <c r="B17" s="3"/>
      <c r="C17" s="3"/>
      <c r="D17" s="3"/>
      <c r="E17" s="3"/>
      <c r="F17" s="3"/>
      <c r="G17" s="3"/>
      <c r="O17" s="6"/>
      <c r="P17" s="3"/>
      <c r="Q17" s="20"/>
      <c r="R17" s="2"/>
      <c r="S17" s="2"/>
      <c r="U17" s="3"/>
      <c r="V17" s="3"/>
      <c r="W17" s="3"/>
      <c r="X17" s="2"/>
      <c r="Y17" s="3"/>
    </row>
    <row r="18" spans="1:25" x14ac:dyDescent="0.25">
      <c r="A18" s="6"/>
      <c r="B18" s="8"/>
      <c r="C18" s="8"/>
      <c r="D18" s="8"/>
      <c r="E18" s="8"/>
      <c r="F18" s="8"/>
      <c r="G18" s="8"/>
      <c r="O18" s="31"/>
      <c r="P18" s="8"/>
      <c r="Q18" s="32"/>
      <c r="R18" s="7"/>
      <c r="S18" s="7"/>
      <c r="U18" s="8"/>
      <c r="V18" s="8"/>
      <c r="W18" s="8"/>
      <c r="X18" s="7"/>
      <c r="Y18" s="8"/>
    </row>
    <row r="19" spans="1:25" x14ac:dyDescent="0.25">
      <c r="A19" s="23" t="s">
        <v>65</v>
      </c>
    </row>
    <row r="20" spans="1:25" x14ac:dyDescent="0.25">
      <c r="A20" s="6" t="s">
        <v>6</v>
      </c>
      <c r="B20" s="2" t="s">
        <v>1</v>
      </c>
      <c r="C20" s="2" t="s">
        <v>2</v>
      </c>
      <c r="D20" s="2" t="s">
        <v>2</v>
      </c>
      <c r="E20" s="2" t="s">
        <v>3</v>
      </c>
      <c r="F20" s="2" t="s">
        <v>48</v>
      </c>
      <c r="G20" s="2" t="s">
        <v>17</v>
      </c>
      <c r="O20" s="6" t="s">
        <v>24</v>
      </c>
      <c r="P20" s="2" t="s">
        <v>22</v>
      </c>
      <c r="Q20" s="2" t="s">
        <v>23</v>
      </c>
      <c r="R20" s="2" t="s">
        <v>36</v>
      </c>
      <c r="S20" s="2" t="s">
        <v>66</v>
      </c>
      <c r="U20" s="2" t="s">
        <v>43</v>
      </c>
      <c r="V20" s="2" t="s">
        <v>59</v>
      </c>
      <c r="W20" s="2" t="s">
        <v>32</v>
      </c>
      <c r="X20" s="2" t="s">
        <v>44</v>
      </c>
      <c r="Y20" s="2" t="s">
        <v>38</v>
      </c>
    </row>
    <row r="21" spans="1:25" x14ac:dyDescent="0.25">
      <c r="A21" s="6" t="s">
        <v>7</v>
      </c>
      <c r="B21" s="2"/>
      <c r="C21" s="2"/>
      <c r="D21" s="2"/>
      <c r="E21" s="2"/>
      <c r="F21" s="2"/>
      <c r="G21" s="2"/>
      <c r="O21" s="6"/>
      <c r="P21" s="3"/>
      <c r="Q21" s="3"/>
      <c r="R21" s="2"/>
      <c r="S21" s="2"/>
      <c r="U21" s="3"/>
      <c r="V21" s="3"/>
      <c r="W21" s="3"/>
      <c r="X21" s="2"/>
      <c r="Y21" s="3"/>
    </row>
    <row r="22" spans="1:25" x14ac:dyDescent="0.25">
      <c r="A22" s="6" t="s">
        <v>8</v>
      </c>
      <c r="B22" s="2">
        <v>2</v>
      </c>
      <c r="C22" s="2">
        <v>2</v>
      </c>
      <c r="D22" s="2">
        <v>2</v>
      </c>
      <c r="E22" s="2">
        <v>2</v>
      </c>
      <c r="F22" s="2">
        <v>4</v>
      </c>
      <c r="G22" s="2">
        <v>4</v>
      </c>
      <c r="O22" s="6">
        <f>SUM(B22:N22)</f>
        <v>16</v>
      </c>
      <c r="P22" s="14">
        <v>105</v>
      </c>
      <c r="Q22" s="14">
        <v>1</v>
      </c>
      <c r="R22" s="13">
        <f>O22*P22*Q22</f>
        <v>1680</v>
      </c>
      <c r="S22" s="44">
        <f>P22*Q22</f>
        <v>105</v>
      </c>
      <c r="U22" s="14">
        <v>180</v>
      </c>
      <c r="V22" s="14">
        <f>Q22*P22</f>
        <v>105</v>
      </c>
      <c r="W22" s="18">
        <v>114</v>
      </c>
      <c r="X22" s="21">
        <f>W22*V22*U22/3600</f>
        <v>598.5</v>
      </c>
      <c r="Y22" s="14">
        <f>X22/W22</f>
        <v>5.25</v>
      </c>
    </row>
    <row r="23" spans="1:25" x14ac:dyDescent="0.25">
      <c r="A23" s="6" t="s">
        <v>9</v>
      </c>
      <c r="B23" s="3"/>
      <c r="C23" s="3"/>
      <c r="D23" s="3"/>
      <c r="E23" s="3"/>
      <c r="F23" s="3"/>
      <c r="G23" s="3"/>
      <c r="O23" s="6"/>
      <c r="P23" s="3"/>
      <c r="Q23" s="20"/>
      <c r="R23" s="2"/>
      <c r="S23" s="2"/>
      <c r="U23" s="3"/>
      <c r="V23" s="3"/>
      <c r="W23" s="3"/>
      <c r="X23" s="2"/>
      <c r="Y23" s="3"/>
    </row>
    <row r="24" spans="1:25" x14ac:dyDescent="0.25">
      <c r="A24" s="23" t="s">
        <v>64</v>
      </c>
    </row>
    <row r="25" spans="1:25" x14ac:dyDescent="0.25">
      <c r="A25" s="6" t="s">
        <v>6</v>
      </c>
      <c r="B25" s="2" t="s">
        <v>1</v>
      </c>
      <c r="C25" s="2" t="s">
        <v>2</v>
      </c>
      <c r="D25" s="2" t="s">
        <v>2</v>
      </c>
      <c r="E25" s="2" t="s">
        <v>3</v>
      </c>
      <c r="F25" s="2" t="s">
        <v>48</v>
      </c>
      <c r="G25" s="2" t="s">
        <v>17</v>
      </c>
      <c r="O25" s="6" t="s">
        <v>24</v>
      </c>
      <c r="P25" s="2" t="s">
        <v>22</v>
      </c>
      <c r="Q25" s="2" t="s">
        <v>23</v>
      </c>
      <c r="R25" s="2" t="s">
        <v>36</v>
      </c>
      <c r="S25" s="2" t="s">
        <v>66</v>
      </c>
      <c r="U25" s="2" t="s">
        <v>43</v>
      </c>
      <c r="V25" s="2" t="s">
        <v>59</v>
      </c>
      <c r="W25" s="2" t="s">
        <v>32</v>
      </c>
      <c r="X25" s="2" t="s">
        <v>44</v>
      </c>
      <c r="Y25" s="2" t="s">
        <v>38</v>
      </c>
    </row>
    <row r="26" spans="1:25" x14ac:dyDescent="0.25">
      <c r="A26" s="6" t="s">
        <v>7</v>
      </c>
      <c r="B26" s="2"/>
      <c r="C26" s="2"/>
      <c r="D26" s="2"/>
      <c r="E26" s="2"/>
      <c r="F26" s="2"/>
      <c r="G26" s="2"/>
      <c r="O26" s="6"/>
      <c r="P26" s="3"/>
      <c r="Q26" s="3"/>
      <c r="R26" s="2"/>
      <c r="S26" s="2"/>
      <c r="U26" s="3"/>
      <c r="V26" s="3"/>
      <c r="W26" s="3"/>
      <c r="X26" s="2"/>
      <c r="Y26" s="3"/>
    </row>
    <row r="27" spans="1:25" x14ac:dyDescent="0.25">
      <c r="A27" s="6" t="s">
        <v>8</v>
      </c>
      <c r="B27" s="2">
        <v>2</v>
      </c>
      <c r="C27" s="2">
        <v>2</v>
      </c>
      <c r="D27" s="2">
        <v>2</v>
      </c>
      <c r="E27" s="2">
        <v>2</v>
      </c>
      <c r="F27" s="2">
        <v>4</v>
      </c>
      <c r="G27" s="2">
        <v>4</v>
      </c>
      <c r="O27" s="6">
        <f>SUM(B27:N27)</f>
        <v>16</v>
      </c>
      <c r="P27" s="14">
        <v>105</v>
      </c>
      <c r="Q27" s="14">
        <v>23</v>
      </c>
      <c r="R27" s="13">
        <f>O27*P27*Q27</f>
        <v>38640</v>
      </c>
      <c r="S27" s="44">
        <f>P27*Q27</f>
        <v>2415</v>
      </c>
      <c r="U27" s="14">
        <v>3</v>
      </c>
      <c r="V27" s="14">
        <f>Q27*P27</f>
        <v>2415</v>
      </c>
      <c r="W27" s="18">
        <v>78</v>
      </c>
      <c r="X27" s="21">
        <f>W27*V27*U27/3600</f>
        <v>156.97499999999999</v>
      </c>
      <c r="Y27" s="14">
        <f>X27/W27</f>
        <v>2.0124999999999997</v>
      </c>
    </row>
    <row r="28" spans="1:25" x14ac:dyDescent="0.25">
      <c r="A28" s="6" t="s">
        <v>9</v>
      </c>
      <c r="B28" s="3"/>
      <c r="C28" s="3"/>
      <c r="D28" s="3"/>
      <c r="E28" s="3"/>
      <c r="F28" s="3"/>
      <c r="G28" s="3"/>
      <c r="O28" s="6"/>
      <c r="P28" s="3"/>
      <c r="Q28" s="20"/>
      <c r="R28" s="2"/>
      <c r="S28" s="2"/>
      <c r="U28" s="3"/>
      <c r="V28" s="3"/>
      <c r="W28" s="3"/>
      <c r="X28" s="2"/>
      <c r="Y28" s="3"/>
    </row>
    <row r="29" spans="1:25" x14ac:dyDescent="0.25">
      <c r="A29" s="4"/>
    </row>
    <row r="30" spans="1:25" x14ac:dyDescent="0.25">
      <c r="A30" s="23" t="s">
        <v>25</v>
      </c>
    </row>
    <row r="31" spans="1:25" x14ac:dyDescent="0.25">
      <c r="A31" s="6" t="s">
        <v>6</v>
      </c>
      <c r="B31" s="2" t="s">
        <v>1</v>
      </c>
      <c r="C31" s="2" t="s">
        <v>2</v>
      </c>
      <c r="D31" s="2" t="s">
        <v>2</v>
      </c>
      <c r="E31" s="2" t="s">
        <v>3</v>
      </c>
      <c r="F31" s="2" t="s">
        <v>48</v>
      </c>
      <c r="G31" s="2" t="s">
        <v>17</v>
      </c>
      <c r="O31" s="6" t="s">
        <v>24</v>
      </c>
      <c r="P31" s="2" t="s">
        <v>26</v>
      </c>
      <c r="Q31" s="2" t="s">
        <v>41</v>
      </c>
      <c r="R31" s="2" t="s">
        <v>36</v>
      </c>
      <c r="S31" s="2" t="s">
        <v>66</v>
      </c>
      <c r="U31" s="2" t="s">
        <v>43</v>
      </c>
      <c r="V31" s="2" t="s">
        <v>59</v>
      </c>
      <c r="W31" s="2" t="s">
        <v>32</v>
      </c>
      <c r="X31" s="2" t="s">
        <v>44</v>
      </c>
      <c r="Y31" s="2" t="s">
        <v>38</v>
      </c>
    </row>
    <row r="32" spans="1:25" x14ac:dyDescent="0.25">
      <c r="A32" s="6" t="s">
        <v>7</v>
      </c>
      <c r="B32" s="2"/>
      <c r="C32" s="2"/>
      <c r="D32" s="2"/>
      <c r="E32" s="2"/>
      <c r="F32" s="2"/>
      <c r="G32" s="2"/>
      <c r="O32" s="6"/>
      <c r="P32" s="3"/>
      <c r="Q32" s="3"/>
      <c r="R32" s="2"/>
      <c r="S32" s="2"/>
      <c r="U32" s="3"/>
      <c r="V32" s="3"/>
      <c r="W32" s="3"/>
      <c r="X32" s="2"/>
      <c r="Y32" s="3"/>
    </row>
    <row r="33" spans="1:25" x14ac:dyDescent="0.25">
      <c r="A33" s="6" t="s">
        <v>8</v>
      </c>
      <c r="B33" s="2">
        <v>2</v>
      </c>
      <c r="C33" s="2">
        <v>2</v>
      </c>
      <c r="D33" s="2">
        <v>2</v>
      </c>
      <c r="E33" s="2">
        <v>2</v>
      </c>
      <c r="F33" s="2">
        <v>4</v>
      </c>
      <c r="G33" s="2">
        <v>4</v>
      </c>
      <c r="O33" s="6">
        <f>SUM(B33:N33)</f>
        <v>16</v>
      </c>
      <c r="P33" s="14">
        <v>3</v>
      </c>
      <c r="Q33" s="14">
        <v>120</v>
      </c>
      <c r="R33" s="13">
        <f>O33*P33*Q33</f>
        <v>5760</v>
      </c>
      <c r="S33" s="44">
        <f>P33*Q33</f>
        <v>360</v>
      </c>
      <c r="U33" s="14">
        <f>5*60</f>
        <v>300</v>
      </c>
      <c r="V33" s="14">
        <v>1</v>
      </c>
      <c r="W33" s="18">
        <v>75</v>
      </c>
      <c r="X33" s="21">
        <f>W33*V33*U33/3600</f>
        <v>6.25</v>
      </c>
      <c r="Y33" s="14">
        <f>X33/W33</f>
        <v>8.3333333333333329E-2</v>
      </c>
    </row>
    <row r="34" spans="1:25" x14ac:dyDescent="0.25">
      <c r="A34" s="6" t="s">
        <v>9</v>
      </c>
      <c r="B34" s="3"/>
      <c r="C34" s="3"/>
      <c r="D34" s="3"/>
      <c r="E34" s="3"/>
      <c r="F34" s="3"/>
      <c r="G34" s="3"/>
      <c r="O34" s="6"/>
      <c r="P34" s="3"/>
      <c r="Q34" s="20" t="s">
        <v>67</v>
      </c>
      <c r="R34" s="2"/>
      <c r="S34" s="2"/>
      <c r="U34" s="3"/>
      <c r="V34" s="3"/>
      <c r="W34" s="3"/>
      <c r="X34" s="2"/>
      <c r="Y34" s="3"/>
    </row>
    <row r="35" spans="1:25" x14ac:dyDescent="0.25">
      <c r="A35" s="4"/>
    </row>
    <row r="36" spans="1:25" x14ac:dyDescent="0.25">
      <c r="A36" s="23" t="s">
        <v>39</v>
      </c>
    </row>
    <row r="37" spans="1:25" x14ac:dyDescent="0.25">
      <c r="A37" s="6" t="s">
        <v>6</v>
      </c>
      <c r="B37" s="2" t="s">
        <v>1</v>
      </c>
      <c r="C37" s="2" t="s">
        <v>2</v>
      </c>
      <c r="D37" s="2" t="s">
        <v>2</v>
      </c>
      <c r="E37" s="2" t="s">
        <v>3</v>
      </c>
      <c r="F37" s="2" t="s">
        <v>48</v>
      </c>
      <c r="G37" s="2" t="s">
        <v>17</v>
      </c>
      <c r="I37" s="1"/>
      <c r="O37" s="6" t="s">
        <v>24</v>
      </c>
      <c r="P37" s="2" t="s">
        <v>38</v>
      </c>
      <c r="Q37" s="2" t="s">
        <v>40</v>
      </c>
      <c r="R37" s="2" t="s">
        <v>36</v>
      </c>
      <c r="S37" s="2" t="s">
        <v>66</v>
      </c>
      <c r="U37" s="2" t="s">
        <v>43</v>
      </c>
      <c r="V37" s="2" t="s">
        <v>59</v>
      </c>
      <c r="W37" s="2" t="s">
        <v>32</v>
      </c>
      <c r="X37" s="2" t="s">
        <v>44</v>
      </c>
      <c r="Y37" s="2" t="s">
        <v>38</v>
      </c>
    </row>
    <row r="38" spans="1:25" x14ac:dyDescent="0.25">
      <c r="A38" s="6" t="s">
        <v>7</v>
      </c>
      <c r="B38" s="2"/>
      <c r="C38" s="2"/>
      <c r="D38" s="2"/>
      <c r="E38" s="2"/>
      <c r="F38" s="2"/>
      <c r="G38" s="2"/>
      <c r="I38" s="1"/>
      <c r="O38" s="6"/>
      <c r="P38" s="3"/>
      <c r="Q38" s="3"/>
      <c r="R38" s="2"/>
      <c r="S38" s="2"/>
      <c r="U38" s="3"/>
      <c r="V38" s="3"/>
      <c r="W38" s="3"/>
      <c r="X38" s="2"/>
      <c r="Y38" s="3"/>
    </row>
    <row r="39" spans="1:25" x14ac:dyDescent="0.25">
      <c r="A39" s="6" t="s">
        <v>8</v>
      </c>
      <c r="B39" s="2">
        <v>2</v>
      </c>
      <c r="C39" s="2">
        <v>2</v>
      </c>
      <c r="D39" s="2">
        <v>2</v>
      </c>
      <c r="E39" s="2">
        <v>2</v>
      </c>
      <c r="F39" s="2">
        <v>4</v>
      </c>
      <c r="G39" s="2">
        <v>4</v>
      </c>
      <c r="I39" s="1"/>
      <c r="O39" s="6">
        <f>SUM(B39:N39)</f>
        <v>16</v>
      </c>
      <c r="P39" s="14">
        <v>12</v>
      </c>
      <c r="Q39" s="14">
        <f>P39/12</f>
        <v>1</v>
      </c>
      <c r="R39" s="13">
        <f>O39*P39*Q39</f>
        <v>192</v>
      </c>
      <c r="S39" s="44">
        <v>1</v>
      </c>
      <c r="U39" s="14">
        <f>60*60*P39</f>
        <v>43200</v>
      </c>
      <c r="V39" s="14">
        <v>1</v>
      </c>
      <c r="W39" s="18">
        <v>73</v>
      </c>
      <c r="X39" s="21">
        <f>W39*V39*U39/3600</f>
        <v>876</v>
      </c>
      <c r="Y39" s="14">
        <f>X39/W39</f>
        <v>12</v>
      </c>
    </row>
    <row r="40" spans="1:25" x14ac:dyDescent="0.25">
      <c r="A40" s="6" t="s">
        <v>9</v>
      </c>
      <c r="B40" s="3"/>
      <c r="C40" s="3"/>
      <c r="D40" s="3"/>
      <c r="E40" s="3"/>
      <c r="F40" s="3"/>
      <c r="G40" s="3"/>
      <c r="O40" s="6"/>
      <c r="P40" s="3"/>
      <c r="Q40" s="3"/>
      <c r="R40" s="2"/>
      <c r="S40" s="2"/>
      <c r="U40" s="3"/>
      <c r="V40" s="3"/>
      <c r="W40" s="3"/>
      <c r="X40" s="2"/>
      <c r="Y40" s="3"/>
    </row>
    <row r="41" spans="1:25" x14ac:dyDescent="0.25">
      <c r="A41" s="4"/>
    </row>
    <row r="42" spans="1:25" x14ac:dyDescent="0.25">
      <c r="A42" s="23" t="s">
        <v>20</v>
      </c>
    </row>
    <row r="43" spans="1:25" x14ac:dyDescent="0.25">
      <c r="A43" s="6" t="s">
        <v>6</v>
      </c>
      <c r="B43" s="2" t="s">
        <v>1</v>
      </c>
      <c r="C43" s="2" t="s">
        <v>2</v>
      </c>
      <c r="D43" s="2" t="s">
        <v>2</v>
      </c>
      <c r="E43" s="2" t="s">
        <v>3</v>
      </c>
      <c r="F43" s="2" t="s">
        <v>48</v>
      </c>
      <c r="G43" s="2" t="s">
        <v>17</v>
      </c>
      <c r="I43" s="1"/>
      <c r="O43" s="6" t="s">
        <v>24</v>
      </c>
      <c r="P43" s="2" t="s">
        <v>22</v>
      </c>
      <c r="Q43" s="2" t="s">
        <v>23</v>
      </c>
      <c r="R43" s="2" t="s">
        <v>36</v>
      </c>
      <c r="S43" s="2" t="s">
        <v>66</v>
      </c>
      <c r="U43" s="2" t="s">
        <v>43</v>
      </c>
      <c r="V43" s="2" t="s">
        <v>59</v>
      </c>
      <c r="W43" s="2" t="s">
        <v>32</v>
      </c>
      <c r="X43" s="2" t="s">
        <v>44</v>
      </c>
      <c r="Y43" s="2" t="s">
        <v>38</v>
      </c>
    </row>
    <row r="44" spans="1:25" x14ac:dyDescent="0.25">
      <c r="A44" s="6" t="s">
        <v>7</v>
      </c>
      <c r="B44" s="2"/>
      <c r="C44" s="2"/>
      <c r="D44" s="2"/>
      <c r="E44" s="2"/>
      <c r="F44" s="2"/>
      <c r="G44" s="2"/>
      <c r="I44" s="1"/>
      <c r="O44" s="6"/>
      <c r="P44" s="3"/>
      <c r="Q44" s="3"/>
      <c r="R44" s="2"/>
      <c r="S44" s="2"/>
      <c r="U44" s="3"/>
      <c r="V44" s="3"/>
      <c r="W44" s="3"/>
      <c r="X44" s="2"/>
      <c r="Y44" s="3"/>
    </row>
    <row r="45" spans="1:25" x14ac:dyDescent="0.25">
      <c r="A45" s="6" t="s">
        <v>8</v>
      </c>
      <c r="B45" s="2">
        <v>2</v>
      </c>
      <c r="C45" s="2">
        <v>2</v>
      </c>
      <c r="D45" s="2">
        <v>2</v>
      </c>
      <c r="E45" s="2">
        <v>2</v>
      </c>
      <c r="F45" s="2">
        <v>4</v>
      </c>
      <c r="G45" s="2">
        <v>2</v>
      </c>
      <c r="I45" s="1"/>
      <c r="O45" s="6">
        <f>SUM(B45:N45)</f>
        <v>14</v>
      </c>
      <c r="P45" s="14">
        <v>170</v>
      </c>
      <c r="Q45" s="14">
        <v>4</v>
      </c>
      <c r="R45" s="13">
        <f>O45*P45*Q45</f>
        <v>9520</v>
      </c>
      <c r="S45" s="44">
        <f>P45*Q45</f>
        <v>680</v>
      </c>
      <c r="U45" s="14">
        <v>3</v>
      </c>
      <c r="V45" s="14">
        <f>Q45*P45</f>
        <v>680</v>
      </c>
      <c r="W45" s="18">
        <v>78</v>
      </c>
      <c r="X45" s="21">
        <f>W45*V45*U45/3600</f>
        <v>44.2</v>
      </c>
      <c r="Y45" s="14">
        <f>X45/W45</f>
        <v>0.56666666666666665</v>
      </c>
    </row>
    <row r="46" spans="1:25" x14ac:dyDescent="0.25">
      <c r="A46" s="6" t="s">
        <v>9</v>
      </c>
      <c r="B46" s="3"/>
      <c r="C46" s="3"/>
      <c r="D46" s="3"/>
      <c r="E46" s="3"/>
      <c r="F46" s="3"/>
      <c r="G46" s="3"/>
      <c r="O46" s="6"/>
      <c r="P46" s="3"/>
      <c r="Q46" s="3"/>
      <c r="R46" s="2"/>
      <c r="S46" s="2"/>
      <c r="U46" s="3"/>
      <c r="V46" s="3"/>
      <c r="W46" s="3"/>
      <c r="X46" s="2"/>
      <c r="Y46" s="3"/>
    </row>
    <row r="47" spans="1:25" x14ac:dyDescent="0.25">
      <c r="A47" s="4"/>
    </row>
    <row r="48" spans="1:25" x14ac:dyDescent="0.25">
      <c r="A48" s="23" t="s">
        <v>60</v>
      </c>
      <c r="O48" s="6"/>
      <c r="P48" s="2" t="s">
        <v>22</v>
      </c>
      <c r="Q48" s="2"/>
      <c r="R48" s="2"/>
      <c r="S48" s="7"/>
      <c r="U48" s="2" t="s">
        <v>61</v>
      </c>
      <c r="V48" s="2" t="s">
        <v>59</v>
      </c>
      <c r="W48" s="2" t="s">
        <v>32</v>
      </c>
      <c r="X48" s="2" t="s">
        <v>44</v>
      </c>
      <c r="Y48" s="2" t="s">
        <v>38</v>
      </c>
    </row>
    <row r="49" spans="1:25" x14ac:dyDescent="0.25">
      <c r="A49" s="4"/>
      <c r="O49" s="6"/>
      <c r="P49" s="3"/>
      <c r="Q49" s="3"/>
      <c r="R49" s="2"/>
      <c r="S49" s="7"/>
      <c r="U49" s="3"/>
      <c r="V49" s="3"/>
      <c r="W49" s="3"/>
      <c r="X49" s="2"/>
      <c r="Y49" s="3"/>
    </row>
    <row r="50" spans="1:25" x14ac:dyDescent="0.25">
      <c r="A50" s="4"/>
      <c r="O50" s="6"/>
      <c r="P50" s="14">
        <f>SUM(P5,P27,P45)</f>
        <v>305</v>
      </c>
      <c r="Q50" s="14"/>
      <c r="R50" s="13"/>
      <c r="S50" s="33"/>
      <c r="U50" s="14">
        <f>24*P50</f>
        <v>7320</v>
      </c>
      <c r="V50" s="14">
        <v>1</v>
      </c>
      <c r="W50" s="29">
        <v>1.4999999999999999E-2</v>
      </c>
      <c r="X50" s="21">
        <f>W50*V50*U50</f>
        <v>109.8</v>
      </c>
      <c r="Y50" s="14">
        <f>X50/W50</f>
        <v>7320</v>
      </c>
    </row>
    <row r="51" spans="1:25" x14ac:dyDescent="0.25">
      <c r="A51" s="4"/>
      <c r="O51" s="6"/>
      <c r="P51" s="3"/>
      <c r="Q51" s="3"/>
      <c r="R51" s="2"/>
      <c r="S51" s="7"/>
      <c r="U51" s="3"/>
      <c r="V51" s="3"/>
      <c r="W51" s="3"/>
      <c r="X51" s="2"/>
      <c r="Y51" s="3"/>
    </row>
    <row r="52" spans="1:25" x14ac:dyDescent="0.25">
      <c r="A52" s="4"/>
    </row>
    <row r="53" spans="1:25" x14ac:dyDescent="0.25">
      <c r="A53" s="4"/>
    </row>
    <row r="55" spans="1:25" x14ac:dyDescent="0.25">
      <c r="Q55" s="6" t="s">
        <v>27</v>
      </c>
      <c r="R55" s="13">
        <f>SUM(R5,R27,R33,R39,R45)</f>
        <v>64192</v>
      </c>
      <c r="S55" s="45">
        <f>SUM(S45+S39+S33+S27+S22+S16+S11+S5)</f>
        <v>6081</v>
      </c>
      <c r="W55" s="21" t="s">
        <v>53</v>
      </c>
      <c r="X55" s="21">
        <f>SUM(X5+X11+X27+X33+X39+X45+X50+X16+X22)</f>
        <v>6282.2250000000004</v>
      </c>
    </row>
    <row r="56" spans="1:25" x14ac:dyDescent="0.25">
      <c r="Q56" s="6" t="s">
        <v>27</v>
      </c>
      <c r="R56" s="19">
        <f>R55/1000</f>
        <v>64.191999999999993</v>
      </c>
      <c r="S56" s="34"/>
      <c r="W56" s="11" t="s">
        <v>53</v>
      </c>
      <c r="X56" s="26">
        <f>X55/1000</f>
        <v>6.2822250000000004</v>
      </c>
    </row>
    <row r="57" spans="1:25" x14ac:dyDescent="0.25">
      <c r="A57" s="1" t="s">
        <v>14</v>
      </c>
      <c r="B57" s="1">
        <v>1</v>
      </c>
      <c r="Q57" s="2" t="s">
        <v>28</v>
      </c>
      <c r="R57" s="2">
        <f>R55/50</f>
        <v>1283.8399999999999</v>
      </c>
      <c r="S57" s="7"/>
      <c r="X57" s="1" t="s">
        <v>54</v>
      </c>
    </row>
    <row r="58" spans="1:25" x14ac:dyDescent="0.25">
      <c r="A58" s="1" t="s">
        <v>15</v>
      </c>
      <c r="B58" s="1">
        <v>2</v>
      </c>
      <c r="Q58" s="2" t="s">
        <v>29</v>
      </c>
      <c r="R58" s="15">
        <v>7.0000000000000007E-2</v>
      </c>
      <c r="S58" s="35"/>
      <c r="X58" s="1" t="s">
        <v>54</v>
      </c>
    </row>
    <row r="59" spans="1:25" x14ac:dyDescent="0.25">
      <c r="A59" s="1" t="s">
        <v>16</v>
      </c>
      <c r="B59" s="1">
        <v>4</v>
      </c>
      <c r="Q59" s="2" t="s">
        <v>29</v>
      </c>
      <c r="R59" s="9">
        <f>R58*10/7</f>
        <v>0.1</v>
      </c>
      <c r="S59" s="36"/>
      <c r="X59" s="1" t="s">
        <v>54</v>
      </c>
    </row>
    <row r="60" spans="1:25" x14ac:dyDescent="0.25">
      <c r="A60" s="1" t="s">
        <v>11</v>
      </c>
      <c r="B60" s="1">
        <v>4</v>
      </c>
      <c r="Q60" s="11" t="s">
        <v>30</v>
      </c>
      <c r="R60" s="12">
        <f>R59*R57</f>
        <v>128.38399999999999</v>
      </c>
      <c r="S60" s="37"/>
      <c r="X60" s="1" t="s">
        <v>54</v>
      </c>
    </row>
    <row r="61" spans="1:25" x14ac:dyDescent="0.25">
      <c r="A61" s="1" t="s">
        <v>12</v>
      </c>
      <c r="B61" s="1">
        <v>4</v>
      </c>
      <c r="X61" s="1" t="s">
        <v>54</v>
      </c>
    </row>
    <row r="62" spans="1:25" x14ac:dyDescent="0.25">
      <c r="A62" s="1" t="s">
        <v>13</v>
      </c>
      <c r="B62" s="1">
        <v>1</v>
      </c>
      <c r="Q62" s="10" t="s">
        <v>33</v>
      </c>
      <c r="R62" s="14">
        <v>340</v>
      </c>
      <c r="S62" s="38"/>
      <c r="X62" s="1" t="s">
        <v>54</v>
      </c>
    </row>
    <row r="63" spans="1:25" x14ac:dyDescent="0.25">
      <c r="Q63" s="10" t="s">
        <v>34</v>
      </c>
      <c r="R63" s="2">
        <f>CEILING(R55/R62,1)</f>
        <v>189</v>
      </c>
      <c r="S63" s="7"/>
      <c r="X63" s="1" t="s">
        <v>54</v>
      </c>
    </row>
    <row r="64" spans="1:25" x14ac:dyDescent="0.25">
      <c r="Q64" s="10" t="s">
        <v>31</v>
      </c>
      <c r="R64" s="16">
        <v>40</v>
      </c>
      <c r="S64" s="39"/>
      <c r="X64" s="1" t="s">
        <v>54</v>
      </c>
    </row>
    <row r="65" spans="8:25" x14ac:dyDescent="0.25">
      <c r="H65"/>
      <c r="K65"/>
      <c r="L65"/>
      <c r="O65"/>
      <c r="Q65" s="10" t="s">
        <v>46</v>
      </c>
      <c r="R65" s="22">
        <f>R64*R63/60/60</f>
        <v>2.1</v>
      </c>
      <c r="S65" s="40"/>
      <c r="X65" s="1" t="s">
        <v>54</v>
      </c>
    </row>
    <row r="66" spans="8:25" x14ac:dyDescent="0.25">
      <c r="H66"/>
      <c r="K66"/>
      <c r="L66"/>
      <c r="O66"/>
      <c r="Q66" s="2" t="s">
        <v>32</v>
      </c>
      <c r="R66" s="18">
        <v>300</v>
      </c>
      <c r="S66" s="41"/>
      <c r="X66" s="1" t="s">
        <v>54</v>
      </c>
    </row>
    <row r="67" spans="8:25" x14ac:dyDescent="0.25">
      <c r="H67"/>
      <c r="K67"/>
      <c r="L67"/>
      <c r="O67"/>
      <c r="Q67" s="2" t="s">
        <v>35</v>
      </c>
      <c r="R67" s="17">
        <f>R66*R64/60/60</f>
        <v>3.3333333333333335</v>
      </c>
      <c r="S67" s="42"/>
      <c r="X67" s="28" t="s">
        <v>58</v>
      </c>
    </row>
    <row r="68" spans="8:25" x14ac:dyDescent="0.25">
      <c r="H68"/>
      <c r="K68"/>
      <c r="L68"/>
      <c r="O68"/>
      <c r="Q68" s="11" t="s">
        <v>52</v>
      </c>
      <c r="R68" s="26">
        <f>R67*R63/1000</f>
        <v>0.63</v>
      </c>
      <c r="S68" s="43"/>
      <c r="T68" s="27" t="s">
        <v>55</v>
      </c>
      <c r="U68" s="27" t="s">
        <v>56</v>
      </c>
      <c r="V68" s="27" t="s">
        <v>57</v>
      </c>
      <c r="W68" s="24" t="s">
        <v>45</v>
      </c>
      <c r="X68" s="25">
        <f>X56+R68</f>
        <v>6.9122250000000003</v>
      </c>
      <c r="Y68" s="27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selection activeCell="B10" sqref="B10"/>
    </sheetView>
  </sheetViews>
  <sheetFormatPr defaultRowHeight="15" x14ac:dyDescent="0.25"/>
  <cols>
    <col min="1" max="1" width="25.7109375" bestFit="1" customWidth="1"/>
    <col min="3" max="3" width="9.28515625" customWidth="1"/>
    <col min="4" max="4" width="10.85546875" customWidth="1"/>
    <col min="5" max="5" width="12.85546875" customWidth="1"/>
    <col min="6" max="6" width="25.28515625" bestFit="1" customWidth="1"/>
    <col min="7" max="7" width="12.42578125" customWidth="1"/>
    <col min="8" max="8" width="14.28515625" customWidth="1"/>
    <col min="9" max="9" width="25.140625" bestFit="1" customWidth="1"/>
    <col min="10" max="10" width="12.85546875" customWidth="1"/>
  </cols>
  <sheetData>
    <row r="2" spans="1:10" s="1" customFormat="1" x14ac:dyDescent="0.25"/>
    <row r="3" spans="1:10" s="46" customFormat="1" ht="30" x14ac:dyDescent="0.25">
      <c r="B3" s="30" t="s">
        <v>22</v>
      </c>
      <c r="C3" s="30" t="s">
        <v>73</v>
      </c>
      <c r="D3" s="30" t="s">
        <v>43</v>
      </c>
      <c r="E3" s="30" t="s">
        <v>59</v>
      </c>
      <c r="F3" s="30" t="s">
        <v>32</v>
      </c>
      <c r="G3" s="30" t="s">
        <v>44</v>
      </c>
      <c r="H3" s="30" t="s">
        <v>66</v>
      </c>
      <c r="J3" s="30" t="s">
        <v>36</v>
      </c>
    </row>
    <row r="4" spans="1:10" x14ac:dyDescent="0.25">
      <c r="A4" s="23" t="s">
        <v>60</v>
      </c>
      <c r="B4" s="14">
        <v>365</v>
      </c>
      <c r="C4" s="14">
        <v>0</v>
      </c>
      <c r="D4" s="14">
        <f>24*B4*60*60</f>
        <v>31536000</v>
      </c>
      <c r="E4" s="14">
        <v>1</v>
      </c>
      <c r="F4" s="29">
        <v>1.4999999999999999E-2</v>
      </c>
      <c r="G4" s="21">
        <f t="shared" ref="G4:G10" si="0">F4*E4*D4/3600</f>
        <v>131.4</v>
      </c>
      <c r="H4" s="44">
        <v>0</v>
      </c>
      <c r="J4" s="13"/>
    </row>
    <row r="5" spans="1:10" x14ac:dyDescent="0.25">
      <c r="A5" s="23" t="s">
        <v>68</v>
      </c>
      <c r="B5" s="14">
        <v>170</v>
      </c>
      <c r="C5" s="14">
        <v>4</v>
      </c>
      <c r="D5" s="14">
        <v>3</v>
      </c>
      <c r="E5" s="14">
        <f>C5*B5</f>
        <v>680</v>
      </c>
      <c r="F5" s="18">
        <v>78</v>
      </c>
      <c r="G5" s="21">
        <f t="shared" si="0"/>
        <v>44.2</v>
      </c>
      <c r="H5" s="44">
        <f>B5*C5</f>
        <v>680</v>
      </c>
      <c r="J5" s="13">
        <f>H5*32</f>
        <v>21760</v>
      </c>
    </row>
    <row r="6" spans="1:10" x14ac:dyDescent="0.25">
      <c r="A6" s="23" t="s">
        <v>69</v>
      </c>
      <c r="B6" s="14">
        <v>0.5</v>
      </c>
      <c r="C6" s="14">
        <v>1</v>
      </c>
      <c r="D6" s="14">
        <f>60*60*B6</f>
        <v>1800</v>
      </c>
      <c r="E6" s="14">
        <v>1</v>
      </c>
      <c r="F6" s="18">
        <v>73</v>
      </c>
      <c r="G6" s="21">
        <f t="shared" si="0"/>
        <v>36.5</v>
      </c>
      <c r="H6" s="44">
        <v>1</v>
      </c>
      <c r="J6" s="13">
        <f t="shared" ref="J6:J10" si="1">H6*32</f>
        <v>32</v>
      </c>
    </row>
    <row r="7" spans="1:10" x14ac:dyDescent="0.25">
      <c r="A7" s="23" t="s">
        <v>70</v>
      </c>
      <c r="B7" s="14">
        <v>1</v>
      </c>
      <c r="C7" s="14">
        <f>60*4</f>
        <v>240</v>
      </c>
      <c r="D7" s="14">
        <v>60</v>
      </c>
      <c r="E7" s="14">
        <v>1</v>
      </c>
      <c r="F7" s="18">
        <v>75</v>
      </c>
      <c r="G7" s="21">
        <f t="shared" si="0"/>
        <v>1.25</v>
      </c>
      <c r="H7" s="44">
        <f t="shared" ref="H7:H11" si="2">B7*C7</f>
        <v>240</v>
      </c>
      <c r="J7" s="13">
        <f t="shared" si="1"/>
        <v>7680</v>
      </c>
    </row>
    <row r="8" spans="1:10" x14ac:dyDescent="0.25">
      <c r="A8" s="23" t="s">
        <v>71</v>
      </c>
      <c r="B8" s="14">
        <v>90</v>
      </c>
      <c r="C8" s="14">
        <v>23</v>
      </c>
      <c r="D8" s="14">
        <v>3</v>
      </c>
      <c r="E8" s="14">
        <f>C8*B8</f>
        <v>2070</v>
      </c>
      <c r="F8" s="18">
        <v>78</v>
      </c>
      <c r="G8" s="21">
        <f t="shared" si="0"/>
        <v>134.55000000000001</v>
      </c>
      <c r="H8" s="44">
        <f>B8*C8</f>
        <v>2070</v>
      </c>
      <c r="J8" s="13">
        <f t="shared" si="1"/>
        <v>66240</v>
      </c>
    </row>
    <row r="9" spans="1:10" x14ac:dyDescent="0.25">
      <c r="A9" s="23" t="s">
        <v>72</v>
      </c>
      <c r="B9" s="14">
        <v>90</v>
      </c>
      <c r="C9" s="14">
        <v>1</v>
      </c>
      <c r="D9" s="14">
        <v>123</v>
      </c>
      <c r="E9" s="14">
        <f>C9*B9</f>
        <v>90</v>
      </c>
      <c r="F9" s="18">
        <v>114</v>
      </c>
      <c r="G9" s="21">
        <f t="shared" si="0"/>
        <v>350.55</v>
      </c>
      <c r="H9" s="44">
        <f>B9*C9</f>
        <v>90</v>
      </c>
      <c r="J9" s="13">
        <f t="shared" si="1"/>
        <v>2880</v>
      </c>
    </row>
    <row r="10" spans="1:10" x14ac:dyDescent="0.25">
      <c r="A10" s="23" t="s">
        <v>65</v>
      </c>
      <c r="B10" s="14">
        <v>90</v>
      </c>
      <c r="C10" s="14">
        <v>24</v>
      </c>
      <c r="D10" s="14">
        <v>123</v>
      </c>
      <c r="E10" s="14">
        <f>C10*B10</f>
        <v>2160</v>
      </c>
      <c r="F10" s="18">
        <v>114</v>
      </c>
      <c r="G10" s="21">
        <f t="shared" si="0"/>
        <v>8413.2000000000007</v>
      </c>
      <c r="H10" s="44">
        <f t="shared" si="2"/>
        <v>2160</v>
      </c>
      <c r="J10" s="13">
        <f t="shared" si="1"/>
        <v>69120</v>
      </c>
    </row>
    <row r="11" spans="1:10" x14ac:dyDescent="0.25">
      <c r="A11" s="23" t="s">
        <v>51</v>
      </c>
      <c r="B11" s="14">
        <v>10</v>
      </c>
      <c r="C11" s="14">
        <v>12</v>
      </c>
      <c r="D11" s="14">
        <v>35</v>
      </c>
      <c r="E11" s="14">
        <v>996</v>
      </c>
      <c r="F11" s="18">
        <v>200</v>
      </c>
      <c r="G11" s="21">
        <f>F11*E11*D11/3600</f>
        <v>1936.6666666666667</v>
      </c>
      <c r="H11" s="44">
        <f t="shared" si="2"/>
        <v>120</v>
      </c>
      <c r="J11" s="13">
        <f>H11*32*2</f>
        <v>7680</v>
      </c>
    </row>
    <row r="15" spans="1:10" x14ac:dyDescent="0.25">
      <c r="F15" s="21" t="s">
        <v>53</v>
      </c>
      <c r="G15" s="21">
        <f>SUM(G4:G11)</f>
        <v>11048.316666666668</v>
      </c>
      <c r="H15" s="45">
        <f>SUM(H4:H11)</f>
        <v>5361</v>
      </c>
      <c r="I15" s="6" t="s">
        <v>27</v>
      </c>
      <c r="J15" s="13">
        <f>SUM(J11,J8,J7,J6,J5)</f>
        <v>103392</v>
      </c>
    </row>
    <row r="16" spans="1:10" x14ac:dyDescent="0.25">
      <c r="F16" s="11" t="s">
        <v>53</v>
      </c>
      <c r="G16" s="26">
        <f>G15/1000</f>
        <v>11.048316666666668</v>
      </c>
      <c r="H16" s="34"/>
      <c r="I16" s="6" t="s">
        <v>27</v>
      </c>
      <c r="J16" s="19">
        <f>J15/1000</f>
        <v>103.392</v>
      </c>
    </row>
    <row r="17" spans="4:10" x14ac:dyDescent="0.25">
      <c r="G17" s="1" t="s">
        <v>54</v>
      </c>
      <c r="H17" s="7"/>
      <c r="I17" s="2" t="s">
        <v>28</v>
      </c>
      <c r="J17" s="2">
        <f>J15/50</f>
        <v>2067.84</v>
      </c>
    </row>
    <row r="18" spans="4:10" x14ac:dyDescent="0.25">
      <c r="G18" s="1" t="s">
        <v>54</v>
      </c>
      <c r="H18" s="58"/>
      <c r="I18" s="2" t="s">
        <v>29</v>
      </c>
      <c r="J18" s="15">
        <v>7.0000000000000007E-2</v>
      </c>
    </row>
    <row r="19" spans="4:10" x14ac:dyDescent="0.25">
      <c r="G19" s="1" t="s">
        <v>54</v>
      </c>
      <c r="H19" s="59"/>
      <c r="I19" s="2" t="s">
        <v>29</v>
      </c>
      <c r="J19" s="9">
        <f>J18*10/7</f>
        <v>0.1</v>
      </c>
    </row>
    <row r="20" spans="4:10" x14ac:dyDescent="0.25">
      <c r="G20" s="1" t="s">
        <v>54</v>
      </c>
      <c r="H20" s="60"/>
      <c r="I20" s="11" t="s">
        <v>30</v>
      </c>
      <c r="J20" s="12">
        <f>J19*J17</f>
        <v>206.78400000000002</v>
      </c>
    </row>
    <row r="21" spans="4:10" x14ac:dyDescent="0.25">
      <c r="G21" s="1" t="s">
        <v>54</v>
      </c>
      <c r="H21" s="61"/>
    </row>
    <row r="22" spans="4:10" x14ac:dyDescent="0.25">
      <c r="G22" s="1" t="s">
        <v>54</v>
      </c>
      <c r="H22" s="62"/>
      <c r="I22" s="10" t="s">
        <v>33</v>
      </c>
      <c r="J22" s="14">
        <v>100</v>
      </c>
    </row>
    <row r="23" spans="4:10" x14ac:dyDescent="0.25">
      <c r="G23" s="1" t="s">
        <v>54</v>
      </c>
      <c r="H23" s="62"/>
      <c r="I23" s="10" t="s">
        <v>34</v>
      </c>
      <c r="J23" s="2">
        <f>CEILING(J15/J22,1)</f>
        <v>1034</v>
      </c>
    </row>
    <row r="24" spans="4:10" x14ac:dyDescent="0.25">
      <c r="G24" s="1" t="s">
        <v>54</v>
      </c>
      <c r="H24" s="63"/>
      <c r="I24" s="10" t="s">
        <v>31</v>
      </c>
      <c r="J24" s="16">
        <v>40</v>
      </c>
    </row>
    <row r="25" spans="4:10" x14ac:dyDescent="0.25">
      <c r="G25" s="1" t="s">
        <v>54</v>
      </c>
      <c r="H25" s="64"/>
      <c r="I25" s="10" t="s">
        <v>46</v>
      </c>
      <c r="J25" s="22">
        <f>J24*J23/60/60</f>
        <v>11.488888888888889</v>
      </c>
    </row>
    <row r="26" spans="4:10" x14ac:dyDescent="0.25">
      <c r="G26" s="1" t="s">
        <v>54</v>
      </c>
      <c r="H26" s="65"/>
      <c r="I26" s="2" t="s">
        <v>32</v>
      </c>
      <c r="J26" s="18">
        <v>200</v>
      </c>
    </row>
    <row r="27" spans="4:10" x14ac:dyDescent="0.25">
      <c r="G27" s="28" t="s">
        <v>58</v>
      </c>
      <c r="H27" s="42"/>
      <c r="I27" s="2" t="s">
        <v>35</v>
      </c>
      <c r="J27" s="17">
        <f>J26*J24/60/60</f>
        <v>2.2222222222222223</v>
      </c>
    </row>
    <row r="28" spans="4:10" x14ac:dyDescent="0.25">
      <c r="D28" s="27" t="s">
        <v>56</v>
      </c>
      <c r="E28" s="27" t="s">
        <v>57</v>
      </c>
      <c r="F28" s="24" t="s">
        <v>45</v>
      </c>
      <c r="G28" s="25">
        <f>G16+J28</f>
        <v>13.346094444444446</v>
      </c>
      <c r="H28" s="43"/>
      <c r="I28" s="11" t="s">
        <v>52</v>
      </c>
      <c r="J28" s="26">
        <f>J27*J23/1000</f>
        <v>2.2977777777777777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B44" sqref="B44"/>
    </sheetView>
  </sheetViews>
  <sheetFormatPr defaultRowHeight="15" x14ac:dyDescent="0.25"/>
  <cols>
    <col min="1" max="1" width="24.85546875" bestFit="1" customWidth="1"/>
    <col min="7" max="7" width="10.5703125" bestFit="1" customWidth="1"/>
  </cols>
  <sheetData>
    <row r="3" spans="1:10" ht="60" x14ac:dyDescent="0.25">
      <c r="A3" s="46"/>
      <c r="B3" s="30" t="s">
        <v>22</v>
      </c>
      <c r="C3" s="30" t="s">
        <v>73</v>
      </c>
      <c r="D3" s="30" t="s">
        <v>43</v>
      </c>
      <c r="E3" s="30" t="s">
        <v>59</v>
      </c>
      <c r="F3" s="30" t="s">
        <v>32</v>
      </c>
      <c r="G3" s="30" t="s">
        <v>44</v>
      </c>
      <c r="H3" s="30" t="s">
        <v>66</v>
      </c>
      <c r="I3" s="55" t="s">
        <v>93</v>
      </c>
    </row>
    <row r="4" spans="1:10" x14ac:dyDescent="0.25">
      <c r="A4" s="23" t="s">
        <v>60</v>
      </c>
      <c r="B4" s="14">
        <f>SUM(B12,B8,B5)</f>
        <v>380</v>
      </c>
      <c r="C4" s="14">
        <v>0</v>
      </c>
      <c r="D4" s="14">
        <f>24*B4*60*60</f>
        <v>32832000</v>
      </c>
      <c r="E4" s="14">
        <v>1</v>
      </c>
      <c r="F4" s="29">
        <v>1.4999999999999999E-2</v>
      </c>
      <c r="G4" s="21">
        <f t="shared" ref="G4:G12" si="0">F4*E4*D4/3600</f>
        <v>136.80000000000001</v>
      </c>
      <c r="H4" s="44">
        <v>0</v>
      </c>
      <c r="I4" s="3"/>
    </row>
    <row r="5" spans="1:10" x14ac:dyDescent="0.25">
      <c r="A5" s="23" t="s">
        <v>68</v>
      </c>
      <c r="B5" s="14">
        <v>170</v>
      </c>
      <c r="C5" s="14">
        <v>4</v>
      </c>
      <c r="D5" s="14">
        <v>5</v>
      </c>
      <c r="E5" s="14">
        <f>C5*B5</f>
        <v>680</v>
      </c>
      <c r="F5" s="18">
        <v>78</v>
      </c>
      <c r="G5" s="21">
        <f t="shared" si="0"/>
        <v>73.666666666666671</v>
      </c>
      <c r="H5" s="44">
        <f>B5*C5</f>
        <v>680</v>
      </c>
      <c r="I5" s="3">
        <f>H5/3</f>
        <v>226.66666666666666</v>
      </c>
    </row>
    <row r="6" spans="1:10" x14ac:dyDescent="0.25">
      <c r="A6" s="23" t="s">
        <v>69</v>
      </c>
      <c r="B6" s="14">
        <v>0.5</v>
      </c>
      <c r="C6" s="14">
        <v>1</v>
      </c>
      <c r="D6" s="14">
        <f>60*60*B6</f>
        <v>1800</v>
      </c>
      <c r="E6" s="14">
        <v>1</v>
      </c>
      <c r="F6" s="18">
        <v>73</v>
      </c>
      <c r="G6" s="21">
        <f t="shared" si="0"/>
        <v>36.5</v>
      </c>
      <c r="H6" s="44">
        <v>1</v>
      </c>
      <c r="I6" s="3"/>
    </row>
    <row r="7" spans="1:10" x14ac:dyDescent="0.25">
      <c r="A7" s="23" t="s">
        <v>70</v>
      </c>
      <c r="B7" s="14">
        <v>1</v>
      </c>
      <c r="C7" s="14">
        <f>60*4</f>
        <v>240</v>
      </c>
      <c r="D7" s="14">
        <v>60</v>
      </c>
      <c r="E7" s="14">
        <v>1</v>
      </c>
      <c r="F7" s="18">
        <v>75</v>
      </c>
      <c r="G7" s="21">
        <f t="shared" si="0"/>
        <v>1.25</v>
      </c>
      <c r="H7" s="44">
        <f t="shared" ref="H7:H12" si="1">B7*C7</f>
        <v>240</v>
      </c>
      <c r="I7" s="3">
        <f>H7/3</f>
        <v>80</v>
      </c>
    </row>
    <row r="8" spans="1:10" x14ac:dyDescent="0.25">
      <c r="A8" s="23" t="s">
        <v>71</v>
      </c>
      <c r="B8" s="14">
        <v>30</v>
      </c>
      <c r="C8" s="14">
        <v>23</v>
      </c>
      <c r="D8" s="14">
        <v>5</v>
      </c>
      <c r="E8" s="14">
        <f>C8*B8</f>
        <v>690</v>
      </c>
      <c r="F8" s="18">
        <v>78</v>
      </c>
      <c r="G8" s="21">
        <f t="shared" si="0"/>
        <v>74.75</v>
      </c>
      <c r="H8" s="44">
        <f t="shared" si="1"/>
        <v>690</v>
      </c>
      <c r="I8" s="3">
        <f>H8/3</f>
        <v>230</v>
      </c>
    </row>
    <row r="9" spans="1:10" x14ac:dyDescent="0.25">
      <c r="A9" s="23" t="s">
        <v>72</v>
      </c>
      <c r="B9" s="14">
        <v>30</v>
      </c>
      <c r="C9" s="14">
        <v>1</v>
      </c>
      <c r="D9" s="14">
        <v>65</v>
      </c>
      <c r="E9" s="14">
        <f>C9*B9</f>
        <v>30</v>
      </c>
      <c r="F9" s="18">
        <v>114</v>
      </c>
      <c r="G9" s="21">
        <f t="shared" si="0"/>
        <v>61.75</v>
      </c>
      <c r="H9" s="44">
        <f t="shared" si="1"/>
        <v>30</v>
      </c>
      <c r="I9" s="3">
        <f>H9/3</f>
        <v>10</v>
      </c>
    </row>
    <row r="10" spans="1:10" x14ac:dyDescent="0.25">
      <c r="A10" s="23" t="s">
        <v>71</v>
      </c>
      <c r="B10" s="14">
        <v>30</v>
      </c>
      <c r="C10" s="14">
        <v>22</v>
      </c>
      <c r="D10" s="14">
        <v>5</v>
      </c>
      <c r="E10" s="14">
        <f>C10*B10</f>
        <v>660</v>
      </c>
      <c r="F10" s="18">
        <v>78</v>
      </c>
      <c r="G10" s="21">
        <f t="shared" si="0"/>
        <v>71.5</v>
      </c>
      <c r="H10" s="44">
        <f t="shared" si="1"/>
        <v>660</v>
      </c>
      <c r="I10" s="3">
        <f>H10/3</f>
        <v>220</v>
      </c>
    </row>
    <row r="11" spans="1:10" x14ac:dyDescent="0.25">
      <c r="A11" s="23" t="s">
        <v>65</v>
      </c>
      <c r="B11" s="14">
        <v>60</v>
      </c>
      <c r="C11" s="14">
        <v>2</v>
      </c>
      <c r="D11" s="14">
        <v>185</v>
      </c>
      <c r="E11" s="14">
        <f>C11*B11</f>
        <v>120</v>
      </c>
      <c r="F11" s="18">
        <v>114</v>
      </c>
      <c r="G11" s="21">
        <f t="shared" si="0"/>
        <v>703</v>
      </c>
      <c r="H11" s="44">
        <f t="shared" si="1"/>
        <v>120</v>
      </c>
      <c r="I11" s="3">
        <f>H11/3</f>
        <v>40</v>
      </c>
    </row>
    <row r="12" spans="1:10" x14ac:dyDescent="0.25">
      <c r="A12" s="23" t="s">
        <v>51</v>
      </c>
      <c r="B12" s="14">
        <v>180</v>
      </c>
      <c r="C12" s="14">
        <v>24</v>
      </c>
      <c r="D12" s="14">
        <v>120</v>
      </c>
      <c r="E12" s="14">
        <v>806</v>
      </c>
      <c r="F12" s="18">
        <v>200</v>
      </c>
      <c r="G12" s="21">
        <f t="shared" si="0"/>
        <v>5373.333333333333</v>
      </c>
      <c r="H12" s="44">
        <f t="shared" si="1"/>
        <v>4320</v>
      </c>
      <c r="I12" s="3"/>
    </row>
    <row r="13" spans="1:10" x14ac:dyDescent="0.25">
      <c r="G13" s="47">
        <f>SUM(G4:G12)</f>
        <v>6532.5499999999993</v>
      </c>
      <c r="I13" s="56">
        <f>SUM(I5:I11)</f>
        <v>806.66666666666663</v>
      </c>
      <c r="J13" s="57">
        <f>0.07*I13</f>
        <v>56.466666666666669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workbookViewId="0">
      <selection activeCell="H42" sqref="H42"/>
    </sheetView>
  </sheetViews>
  <sheetFormatPr defaultRowHeight="15" x14ac:dyDescent="0.25"/>
  <cols>
    <col min="2" max="2" width="20" customWidth="1"/>
    <col min="3" max="3" width="28" bestFit="1" customWidth="1"/>
    <col min="9" max="9" width="12.85546875" customWidth="1"/>
  </cols>
  <sheetData>
    <row r="3" spans="2:11" ht="60" x14ac:dyDescent="0.25">
      <c r="C3" s="46"/>
      <c r="D3" s="30" t="s">
        <v>22</v>
      </c>
      <c r="E3" s="30" t="s">
        <v>73</v>
      </c>
      <c r="F3" s="30" t="s">
        <v>43</v>
      </c>
      <c r="G3" s="30" t="s">
        <v>59</v>
      </c>
      <c r="H3" s="30" t="s">
        <v>32</v>
      </c>
      <c r="I3" s="30" t="s">
        <v>88</v>
      </c>
      <c r="J3" s="53" t="s">
        <v>80</v>
      </c>
      <c r="K3" s="55" t="s">
        <v>93</v>
      </c>
    </row>
    <row r="4" spans="2:11" x14ac:dyDescent="0.25">
      <c r="C4" s="23" t="s">
        <v>60</v>
      </c>
      <c r="D4" s="14">
        <v>45</v>
      </c>
      <c r="E4" s="14">
        <v>0</v>
      </c>
      <c r="F4" s="14">
        <f>24*D4*60*60</f>
        <v>3888000</v>
      </c>
      <c r="G4" s="14">
        <v>1</v>
      </c>
      <c r="H4" s="29">
        <v>1.4999999999999999E-2</v>
      </c>
      <c r="I4" s="21">
        <f t="shared" ref="I4:I15" si="0">H4*G4*F4/3600</f>
        <v>16.2</v>
      </c>
      <c r="J4" s="54">
        <v>0</v>
      </c>
      <c r="K4" s="3"/>
    </row>
    <row r="5" spans="2:11" x14ac:dyDescent="0.25">
      <c r="C5" s="23"/>
      <c r="D5" s="14"/>
      <c r="E5" s="14"/>
      <c r="F5" s="14"/>
      <c r="G5" s="14"/>
      <c r="H5" s="29"/>
      <c r="I5" s="21"/>
      <c r="J5" s="54"/>
      <c r="K5" s="3"/>
    </row>
    <row r="6" spans="2:11" x14ac:dyDescent="0.25">
      <c r="B6" t="s">
        <v>81</v>
      </c>
      <c r="C6" s="23" t="s">
        <v>68</v>
      </c>
      <c r="D6" s="14">
        <v>18</v>
      </c>
      <c r="E6" s="14">
        <v>4</v>
      </c>
      <c r="F6" s="14">
        <v>2.5</v>
      </c>
      <c r="G6" s="14">
        <f>E6*D6</f>
        <v>72</v>
      </c>
      <c r="H6" s="18">
        <v>78</v>
      </c>
      <c r="I6" s="21">
        <f>H6*G6*F6/3600</f>
        <v>3.9</v>
      </c>
      <c r="J6" s="54">
        <f>D6*E6</f>
        <v>72</v>
      </c>
      <c r="K6" s="3">
        <f>J6/3</f>
        <v>24</v>
      </c>
    </row>
    <row r="7" spans="2:11" x14ac:dyDescent="0.25">
      <c r="C7" s="23"/>
      <c r="D7" s="14"/>
      <c r="E7" s="14"/>
      <c r="F7" s="14"/>
      <c r="G7" s="14"/>
      <c r="H7" s="18"/>
      <c r="I7" s="21"/>
      <c r="J7" s="54"/>
      <c r="K7" s="3"/>
    </row>
    <row r="8" spans="2:11" x14ac:dyDescent="0.25">
      <c r="B8" t="s">
        <v>82</v>
      </c>
      <c r="C8" s="23" t="s">
        <v>69</v>
      </c>
      <c r="D8" s="49">
        <v>2</v>
      </c>
      <c r="E8" s="14">
        <v>1</v>
      </c>
      <c r="F8" s="14">
        <f>60*60*D8</f>
        <v>7200</v>
      </c>
      <c r="G8" s="14">
        <v>1</v>
      </c>
      <c r="H8" s="18">
        <v>73</v>
      </c>
      <c r="I8" s="21">
        <f t="shared" si="0"/>
        <v>146</v>
      </c>
      <c r="J8" s="54">
        <v>1</v>
      </c>
      <c r="K8" s="3"/>
    </row>
    <row r="9" spans="2:11" x14ac:dyDescent="0.25">
      <c r="B9" t="s">
        <v>82</v>
      </c>
      <c r="C9" s="23" t="s">
        <v>70</v>
      </c>
      <c r="D9" s="14">
        <v>1</v>
      </c>
      <c r="E9" s="14">
        <f>60*4</f>
        <v>240</v>
      </c>
      <c r="F9" s="14">
        <v>60</v>
      </c>
      <c r="G9" s="14">
        <v>1</v>
      </c>
      <c r="H9" s="18">
        <v>75</v>
      </c>
      <c r="I9" s="21">
        <f t="shared" si="0"/>
        <v>1.25</v>
      </c>
      <c r="J9" s="54">
        <f t="shared" ref="J9:J15" si="1">D9*E9</f>
        <v>240</v>
      </c>
      <c r="K9" s="3">
        <f>J9/3</f>
        <v>80</v>
      </c>
    </row>
    <row r="10" spans="2:11" x14ac:dyDescent="0.25">
      <c r="C10" s="23"/>
      <c r="D10" s="14"/>
      <c r="E10" s="14"/>
      <c r="F10" s="14"/>
      <c r="G10" s="14"/>
      <c r="H10" s="18"/>
      <c r="I10" s="21"/>
      <c r="J10" s="54"/>
      <c r="K10" s="3"/>
    </row>
    <row r="11" spans="2:11" x14ac:dyDescent="0.25">
      <c r="B11" t="s">
        <v>83</v>
      </c>
      <c r="C11" s="23" t="s">
        <v>71</v>
      </c>
      <c r="D11" s="14">
        <v>9</v>
      </c>
      <c r="E11" s="14">
        <v>23</v>
      </c>
      <c r="F11" s="14">
        <v>2.5</v>
      </c>
      <c r="G11" s="14">
        <f>E11*D11</f>
        <v>207</v>
      </c>
      <c r="H11" s="18">
        <v>78</v>
      </c>
      <c r="I11" s="21">
        <f t="shared" si="0"/>
        <v>11.2125</v>
      </c>
      <c r="J11" s="54">
        <f t="shared" si="1"/>
        <v>207</v>
      </c>
      <c r="K11" s="3">
        <f>J11/3</f>
        <v>69</v>
      </c>
    </row>
    <row r="12" spans="2:11" x14ac:dyDescent="0.25">
      <c r="B12" t="s">
        <v>83</v>
      </c>
      <c r="C12" s="23" t="s">
        <v>72</v>
      </c>
      <c r="D12" s="14">
        <v>9</v>
      </c>
      <c r="E12" s="14">
        <v>1</v>
      </c>
      <c r="F12" s="14">
        <v>90</v>
      </c>
      <c r="G12" s="14">
        <f>E12*D12</f>
        <v>9</v>
      </c>
      <c r="H12" s="18">
        <v>114</v>
      </c>
      <c r="I12" s="21">
        <f t="shared" si="0"/>
        <v>25.65</v>
      </c>
      <c r="J12" s="54">
        <f t="shared" si="1"/>
        <v>9</v>
      </c>
      <c r="K12" s="3">
        <f>J12/3</f>
        <v>3</v>
      </c>
    </row>
    <row r="13" spans="2:11" x14ac:dyDescent="0.25">
      <c r="C13" s="23"/>
      <c r="D13" s="14"/>
      <c r="E13" s="14"/>
      <c r="F13" s="14"/>
      <c r="G13" s="14"/>
      <c r="H13" s="18"/>
      <c r="I13" s="21"/>
      <c r="J13" s="54"/>
      <c r="K13" s="3"/>
    </row>
    <row r="14" spans="2:11" x14ac:dyDescent="0.25">
      <c r="B14" t="s">
        <v>84</v>
      </c>
      <c r="C14" s="23" t="s">
        <v>71</v>
      </c>
      <c r="D14" s="14">
        <v>0</v>
      </c>
      <c r="E14" s="14">
        <v>22</v>
      </c>
      <c r="F14" s="14">
        <v>5</v>
      </c>
      <c r="G14" s="14">
        <f>E14*D14</f>
        <v>0</v>
      </c>
      <c r="H14" s="18">
        <v>78</v>
      </c>
      <c r="I14" s="21">
        <f t="shared" si="0"/>
        <v>0</v>
      </c>
      <c r="J14" s="54">
        <f t="shared" si="1"/>
        <v>0</v>
      </c>
      <c r="K14" s="3"/>
    </row>
    <row r="15" spans="2:11" x14ac:dyDescent="0.25">
      <c r="B15" t="s">
        <v>84</v>
      </c>
      <c r="C15" s="23" t="s">
        <v>72</v>
      </c>
      <c r="D15" s="14">
        <v>0</v>
      </c>
      <c r="E15" s="14">
        <v>2</v>
      </c>
      <c r="F15" s="14">
        <v>90</v>
      </c>
      <c r="G15" s="14">
        <f>E15*D15</f>
        <v>0</v>
      </c>
      <c r="H15" s="18">
        <v>114</v>
      </c>
      <c r="I15" s="21">
        <f t="shared" si="0"/>
        <v>0</v>
      </c>
      <c r="J15" s="54">
        <f t="shared" si="1"/>
        <v>0</v>
      </c>
      <c r="K15" s="3"/>
    </row>
    <row r="16" spans="2:11" x14ac:dyDescent="0.25">
      <c r="C16" s="23"/>
      <c r="D16" s="14"/>
      <c r="E16" s="14"/>
      <c r="F16" s="14"/>
      <c r="G16" s="14"/>
      <c r="H16" s="18"/>
      <c r="I16" s="21"/>
      <c r="J16" s="54"/>
      <c r="K16" s="3"/>
    </row>
    <row r="17" spans="2:13" x14ac:dyDescent="0.25">
      <c r="B17" t="s">
        <v>90</v>
      </c>
      <c r="C17" s="23" t="s">
        <v>65</v>
      </c>
      <c r="D17" s="14">
        <v>24</v>
      </c>
      <c r="E17" s="14">
        <v>12</v>
      </c>
      <c r="F17" s="14">
        <v>93</v>
      </c>
      <c r="G17" s="14">
        <f>E17*D17</f>
        <v>288</v>
      </c>
      <c r="H17" s="18">
        <v>114</v>
      </c>
      <c r="I17" s="21">
        <f>H17*G17*F17/3600</f>
        <v>848.16</v>
      </c>
      <c r="J17" s="54">
        <f t="shared" ref="J17" si="2">D17*E17</f>
        <v>288</v>
      </c>
      <c r="K17" s="3">
        <f>J17/3</f>
        <v>96</v>
      </c>
    </row>
    <row r="18" spans="2:13" x14ac:dyDescent="0.25">
      <c r="C18" s="23"/>
      <c r="D18" s="14"/>
      <c r="E18" s="14"/>
      <c r="F18" s="14"/>
      <c r="G18" s="14"/>
      <c r="H18" s="18"/>
      <c r="I18" s="21"/>
      <c r="J18" s="54"/>
      <c r="K18" s="3"/>
    </row>
    <row r="19" spans="2:13" x14ac:dyDescent="0.25">
      <c r="B19" t="s">
        <v>94</v>
      </c>
      <c r="C19" s="23" t="s">
        <v>95</v>
      </c>
      <c r="D19" s="14">
        <v>1</v>
      </c>
      <c r="E19" s="14">
        <v>10</v>
      </c>
      <c r="F19" s="14">
        <v>2</v>
      </c>
      <c r="G19" s="51">
        <f>E19*D19</f>
        <v>10</v>
      </c>
      <c r="H19" s="18">
        <v>80</v>
      </c>
      <c r="I19" s="21">
        <f>H19*G19*F19/3600</f>
        <v>0.44444444444444442</v>
      </c>
      <c r="J19" s="54">
        <f t="shared" ref="J19" si="3">D19*E19</f>
        <v>10</v>
      </c>
      <c r="K19" s="3"/>
    </row>
    <row r="20" spans="2:13" x14ac:dyDescent="0.25">
      <c r="B20" t="s">
        <v>94</v>
      </c>
      <c r="C20" s="23" t="s">
        <v>79</v>
      </c>
      <c r="D20" s="14">
        <v>1</v>
      </c>
      <c r="E20" s="14">
        <v>10</v>
      </c>
      <c r="F20" s="14">
        <v>33</v>
      </c>
      <c r="G20" s="51">
        <f t="shared" ref="G20:G21" si="4">E20*D20</f>
        <v>10</v>
      </c>
      <c r="H20" s="18">
        <v>125</v>
      </c>
      <c r="I20" s="21">
        <f t="shared" ref="I20:I21" si="5">H20*G20*F20/3600</f>
        <v>11.458333333333334</v>
      </c>
      <c r="J20" s="54"/>
      <c r="K20" s="3"/>
    </row>
    <row r="21" spans="2:13" x14ac:dyDescent="0.25">
      <c r="B21" t="s">
        <v>94</v>
      </c>
      <c r="C21" s="23" t="s">
        <v>96</v>
      </c>
      <c r="D21" s="14">
        <v>1</v>
      </c>
      <c r="E21" s="14">
        <v>10</v>
      </c>
      <c r="F21" s="14">
        <v>25</v>
      </c>
      <c r="G21" s="51">
        <f t="shared" si="4"/>
        <v>10</v>
      </c>
      <c r="H21" s="18">
        <v>470</v>
      </c>
      <c r="I21" s="21">
        <f t="shared" si="5"/>
        <v>32.638888888888886</v>
      </c>
      <c r="J21" s="54">
        <f t="shared" ref="J21" si="6">D21*E21</f>
        <v>10</v>
      </c>
      <c r="K21" s="3"/>
    </row>
    <row r="22" spans="2:13" x14ac:dyDescent="0.25">
      <c r="I22" s="48">
        <f>SUM(I4:I21)</f>
        <v>1096.9141666666665</v>
      </c>
      <c r="J22" s="50">
        <f>SUM(J4:J21)</f>
        <v>837</v>
      </c>
      <c r="K22">
        <f>SUM(K6:K21)</f>
        <v>272</v>
      </c>
    </row>
    <row r="27" spans="2:13" x14ac:dyDescent="0.25">
      <c r="B27" t="s">
        <v>85</v>
      </c>
      <c r="C27" s="52">
        <v>42718</v>
      </c>
    </row>
    <row r="28" spans="2:13" x14ac:dyDescent="0.25">
      <c r="B28" t="s">
        <v>86</v>
      </c>
      <c r="C28" s="52">
        <v>42736</v>
      </c>
    </row>
    <row r="29" spans="2:13" x14ac:dyDescent="0.25">
      <c r="B29" t="s">
        <v>89</v>
      </c>
      <c r="C29" s="52">
        <v>42744</v>
      </c>
    </row>
    <row r="30" spans="2:13" x14ac:dyDescent="0.25">
      <c r="B30" t="s">
        <v>87</v>
      </c>
      <c r="C30" s="52">
        <v>42759</v>
      </c>
      <c r="J30" t="s">
        <v>80</v>
      </c>
      <c r="K30" t="s">
        <v>8</v>
      </c>
      <c r="L30" t="s">
        <v>91</v>
      </c>
      <c r="M30" t="s">
        <v>92</v>
      </c>
    </row>
    <row r="31" spans="2:13" x14ac:dyDescent="0.25">
      <c r="J31">
        <v>121</v>
      </c>
      <c r="K31">
        <v>3864</v>
      </c>
      <c r="L31">
        <f>K31/100</f>
        <v>38.64</v>
      </c>
      <c r="M31">
        <f>J31/L31</f>
        <v>3.1314699792960661</v>
      </c>
    </row>
    <row r="32" spans="2:13" x14ac:dyDescent="0.25">
      <c r="J32">
        <v>241</v>
      </c>
      <c r="K32">
        <f>K31/J31*J32</f>
        <v>7696.0661157024788</v>
      </c>
      <c r="L32">
        <f>K32/100</f>
        <v>76.960661157024788</v>
      </c>
      <c r="M32">
        <f>J32/L32</f>
        <v>3.1314699792960665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workbookViewId="0">
      <selection activeCell="H42" sqref="H42"/>
    </sheetView>
  </sheetViews>
  <sheetFormatPr defaultRowHeight="15" x14ac:dyDescent="0.25"/>
  <cols>
    <col min="2" max="2" width="20" customWidth="1"/>
    <col min="3" max="3" width="28" bestFit="1" customWidth="1"/>
    <col min="9" max="9" width="12.85546875" customWidth="1"/>
  </cols>
  <sheetData>
    <row r="3" spans="2:11" ht="60" x14ac:dyDescent="0.25">
      <c r="C3" s="46"/>
      <c r="D3" s="30" t="s">
        <v>22</v>
      </c>
      <c r="E3" s="30" t="s">
        <v>73</v>
      </c>
      <c r="F3" s="30" t="s">
        <v>43</v>
      </c>
      <c r="G3" s="30" t="s">
        <v>59</v>
      </c>
      <c r="H3" s="30" t="s">
        <v>32</v>
      </c>
      <c r="I3" s="30" t="s">
        <v>88</v>
      </c>
      <c r="J3" s="53" t="s">
        <v>80</v>
      </c>
      <c r="K3" s="55" t="s">
        <v>93</v>
      </c>
    </row>
    <row r="4" spans="2:11" x14ac:dyDescent="0.25">
      <c r="C4" s="23" t="s">
        <v>60</v>
      </c>
      <c r="D4" s="14">
        <v>45</v>
      </c>
      <c r="E4" s="14">
        <v>0</v>
      </c>
      <c r="F4" s="14">
        <f>24*D4*60*60</f>
        <v>3888000</v>
      </c>
      <c r="G4" s="14">
        <v>1</v>
      </c>
      <c r="H4" s="29">
        <v>1.4999999999999999E-2</v>
      </c>
      <c r="I4" s="21">
        <f t="shared" ref="I4:I15" si="0">H4*G4*F4/3600</f>
        <v>16.2</v>
      </c>
      <c r="J4" s="54">
        <v>0</v>
      </c>
      <c r="K4" s="3"/>
    </row>
    <row r="5" spans="2:11" x14ac:dyDescent="0.25">
      <c r="C5" s="23"/>
      <c r="D5" s="14"/>
      <c r="E5" s="14"/>
      <c r="F5" s="14"/>
      <c r="G5" s="14"/>
      <c r="H5" s="29"/>
      <c r="I5" s="21"/>
      <c r="J5" s="54"/>
      <c r="K5" s="3"/>
    </row>
    <row r="6" spans="2:11" x14ac:dyDescent="0.25">
      <c r="B6" t="s">
        <v>81</v>
      </c>
      <c r="C6" s="23" t="s">
        <v>68</v>
      </c>
      <c r="D6" s="14">
        <v>18</v>
      </c>
      <c r="E6" s="14">
        <v>4</v>
      </c>
      <c r="F6" s="14">
        <v>2.5</v>
      </c>
      <c r="G6" s="14">
        <f>E6*D6</f>
        <v>72</v>
      </c>
      <c r="H6" s="18">
        <v>78</v>
      </c>
      <c r="I6" s="21">
        <f>H6*G6*F6/3600</f>
        <v>3.9</v>
      </c>
      <c r="J6" s="54">
        <f>D6*E6</f>
        <v>72</v>
      </c>
      <c r="K6" s="3">
        <f>J6/3</f>
        <v>24</v>
      </c>
    </row>
    <row r="7" spans="2:11" x14ac:dyDescent="0.25">
      <c r="C7" s="23"/>
      <c r="D7" s="14"/>
      <c r="E7" s="14"/>
      <c r="F7" s="14"/>
      <c r="G7" s="14"/>
      <c r="H7" s="18"/>
      <c r="I7" s="21"/>
      <c r="J7" s="54"/>
      <c r="K7" s="3"/>
    </row>
    <row r="8" spans="2:11" x14ac:dyDescent="0.25">
      <c r="B8" t="s">
        <v>82</v>
      </c>
      <c r="C8" s="23" t="s">
        <v>69</v>
      </c>
      <c r="D8" s="49">
        <v>2</v>
      </c>
      <c r="E8" s="14">
        <v>1</v>
      </c>
      <c r="F8" s="14">
        <f>60*60*D8</f>
        <v>7200</v>
      </c>
      <c r="G8" s="14">
        <v>1</v>
      </c>
      <c r="H8" s="18">
        <v>73</v>
      </c>
      <c r="I8" s="21">
        <f t="shared" si="0"/>
        <v>146</v>
      </c>
      <c r="J8" s="54">
        <v>1</v>
      </c>
      <c r="K8" s="3"/>
    </row>
    <row r="9" spans="2:11" x14ac:dyDescent="0.25">
      <c r="B9" t="s">
        <v>82</v>
      </c>
      <c r="C9" s="23" t="s">
        <v>70</v>
      </c>
      <c r="D9" s="14">
        <v>1</v>
      </c>
      <c r="E9" s="14">
        <f>60*4</f>
        <v>240</v>
      </c>
      <c r="F9" s="14">
        <v>60</v>
      </c>
      <c r="G9" s="14">
        <v>1</v>
      </c>
      <c r="H9" s="18">
        <v>75</v>
      </c>
      <c r="I9" s="21">
        <f t="shared" si="0"/>
        <v>1.25</v>
      </c>
      <c r="J9" s="54">
        <f t="shared" ref="J9:J15" si="1">D9*E9</f>
        <v>240</v>
      </c>
      <c r="K9" s="3">
        <f>J9/3</f>
        <v>80</v>
      </c>
    </row>
    <row r="10" spans="2:11" x14ac:dyDescent="0.25">
      <c r="C10" s="23"/>
      <c r="D10" s="14"/>
      <c r="E10" s="14"/>
      <c r="F10" s="14"/>
      <c r="G10" s="14"/>
      <c r="H10" s="18"/>
      <c r="I10" s="21"/>
      <c r="J10" s="54"/>
      <c r="K10" s="3"/>
    </row>
    <row r="11" spans="2:11" x14ac:dyDescent="0.25">
      <c r="B11" t="s">
        <v>83</v>
      </c>
      <c r="C11" s="23" t="s">
        <v>71</v>
      </c>
      <c r="D11" s="14">
        <v>9</v>
      </c>
      <c r="E11" s="14">
        <v>23</v>
      </c>
      <c r="F11" s="14">
        <v>2.5</v>
      </c>
      <c r="G11" s="14">
        <f>E11*D11</f>
        <v>207</v>
      </c>
      <c r="H11" s="18">
        <v>78</v>
      </c>
      <c r="I11" s="21">
        <f t="shared" si="0"/>
        <v>11.2125</v>
      </c>
      <c r="J11" s="54">
        <f t="shared" si="1"/>
        <v>207</v>
      </c>
      <c r="K11" s="3">
        <f>J11/3</f>
        <v>69</v>
      </c>
    </row>
    <row r="12" spans="2:11" x14ac:dyDescent="0.25">
      <c r="B12" t="s">
        <v>83</v>
      </c>
      <c r="C12" s="23" t="s">
        <v>72</v>
      </c>
      <c r="D12" s="14">
        <v>9</v>
      </c>
      <c r="E12" s="14">
        <v>1</v>
      </c>
      <c r="F12" s="14">
        <v>90</v>
      </c>
      <c r="G12" s="14">
        <f>E12*D12</f>
        <v>9</v>
      </c>
      <c r="H12" s="18">
        <v>114</v>
      </c>
      <c r="I12" s="21">
        <f t="shared" si="0"/>
        <v>25.65</v>
      </c>
      <c r="J12" s="54">
        <f t="shared" si="1"/>
        <v>9</v>
      </c>
      <c r="K12" s="3">
        <f>J12/3</f>
        <v>3</v>
      </c>
    </row>
    <row r="13" spans="2:11" x14ac:dyDescent="0.25">
      <c r="C13" s="23"/>
      <c r="D13" s="14"/>
      <c r="E13" s="14"/>
      <c r="F13" s="14"/>
      <c r="G13" s="14"/>
      <c r="H13" s="18"/>
      <c r="I13" s="21"/>
      <c r="J13" s="54"/>
      <c r="K13" s="3"/>
    </row>
    <row r="14" spans="2:11" x14ac:dyDescent="0.25">
      <c r="B14" t="s">
        <v>84</v>
      </c>
      <c r="C14" s="23" t="s">
        <v>71</v>
      </c>
      <c r="D14" s="14">
        <v>0</v>
      </c>
      <c r="E14" s="14">
        <v>22</v>
      </c>
      <c r="F14" s="14">
        <v>5</v>
      </c>
      <c r="G14" s="14">
        <f>E14*D14</f>
        <v>0</v>
      </c>
      <c r="H14" s="18">
        <v>78</v>
      </c>
      <c r="I14" s="21">
        <f t="shared" si="0"/>
        <v>0</v>
      </c>
      <c r="J14" s="54">
        <f t="shared" si="1"/>
        <v>0</v>
      </c>
      <c r="K14" s="3"/>
    </row>
    <row r="15" spans="2:11" x14ac:dyDescent="0.25">
      <c r="B15" t="s">
        <v>84</v>
      </c>
      <c r="C15" s="23" t="s">
        <v>72</v>
      </c>
      <c r="D15" s="14">
        <v>0</v>
      </c>
      <c r="E15" s="14">
        <v>2</v>
      </c>
      <c r="F15" s="14">
        <v>90</v>
      </c>
      <c r="G15" s="14">
        <f>E15*D15</f>
        <v>0</v>
      </c>
      <c r="H15" s="18">
        <v>114</v>
      </c>
      <c r="I15" s="21">
        <f t="shared" si="0"/>
        <v>0</v>
      </c>
      <c r="J15" s="54">
        <f t="shared" si="1"/>
        <v>0</v>
      </c>
      <c r="K15" s="3"/>
    </row>
    <row r="16" spans="2:11" x14ac:dyDescent="0.25">
      <c r="C16" s="23"/>
      <c r="D16" s="14"/>
      <c r="E16" s="14"/>
      <c r="F16" s="14"/>
      <c r="G16" s="14"/>
      <c r="H16" s="18"/>
      <c r="I16" s="21"/>
      <c r="J16" s="54"/>
      <c r="K16" s="3"/>
    </row>
    <row r="17" spans="2:13" x14ac:dyDescent="0.25">
      <c r="B17" t="s">
        <v>90</v>
      </c>
      <c r="C17" s="23" t="s">
        <v>65</v>
      </c>
      <c r="D17" s="14">
        <v>24</v>
      </c>
      <c r="E17" s="14">
        <v>12</v>
      </c>
      <c r="F17" s="14">
        <v>93</v>
      </c>
      <c r="G17" s="14">
        <f>E17*D17</f>
        <v>288</v>
      </c>
      <c r="H17" s="18">
        <v>114</v>
      </c>
      <c r="I17" s="21">
        <f>H17*G17*F17/3600</f>
        <v>848.16</v>
      </c>
      <c r="J17" s="54">
        <f t="shared" ref="J17" si="2">D17*E17</f>
        <v>288</v>
      </c>
      <c r="K17" s="3">
        <f>J17/3</f>
        <v>96</v>
      </c>
    </row>
    <row r="18" spans="2:13" x14ac:dyDescent="0.25">
      <c r="C18" s="23"/>
      <c r="D18" s="14"/>
      <c r="E18" s="14"/>
      <c r="F18" s="14"/>
      <c r="G18" s="14"/>
      <c r="H18" s="18"/>
      <c r="I18" s="21"/>
      <c r="J18" s="54"/>
      <c r="K18" s="3"/>
    </row>
    <row r="19" spans="2:13" x14ac:dyDescent="0.25">
      <c r="B19" t="s">
        <v>94</v>
      </c>
      <c r="C19" s="23" t="s">
        <v>95</v>
      </c>
      <c r="D19" s="14">
        <v>1</v>
      </c>
      <c r="E19" s="14">
        <v>10</v>
      </c>
      <c r="F19" s="14">
        <v>2</v>
      </c>
      <c r="G19" s="51">
        <f>E19*D19</f>
        <v>10</v>
      </c>
      <c r="H19" s="18">
        <v>80</v>
      </c>
      <c r="I19" s="21">
        <f>H19*G19*F19/3600</f>
        <v>0.44444444444444442</v>
      </c>
      <c r="J19" s="54">
        <f t="shared" ref="J19" si="3">D19*E19</f>
        <v>10</v>
      </c>
      <c r="K19" s="3"/>
    </row>
    <row r="20" spans="2:13" x14ac:dyDescent="0.25">
      <c r="B20" t="s">
        <v>94</v>
      </c>
      <c r="C20" s="23" t="s">
        <v>79</v>
      </c>
      <c r="D20" s="14">
        <v>1</v>
      </c>
      <c r="E20" s="14">
        <v>10</v>
      </c>
      <c r="F20" s="14">
        <v>33</v>
      </c>
      <c r="G20" s="51">
        <f t="shared" ref="G20:G21" si="4">E20*D20</f>
        <v>10</v>
      </c>
      <c r="H20" s="18">
        <v>125</v>
      </c>
      <c r="I20" s="21">
        <f t="shared" ref="I20:I21" si="5">H20*G20*F20/3600</f>
        <v>11.458333333333334</v>
      </c>
      <c r="J20" s="54"/>
      <c r="K20" s="3"/>
    </row>
    <row r="21" spans="2:13" x14ac:dyDescent="0.25">
      <c r="B21" t="s">
        <v>94</v>
      </c>
      <c r="C21" s="23" t="s">
        <v>96</v>
      </c>
      <c r="D21" s="14">
        <v>1</v>
      </c>
      <c r="E21" s="14">
        <v>10</v>
      </c>
      <c r="F21" s="14">
        <v>25</v>
      </c>
      <c r="G21" s="51">
        <f t="shared" si="4"/>
        <v>10</v>
      </c>
      <c r="H21" s="18">
        <v>470</v>
      </c>
      <c r="I21" s="21">
        <f t="shared" si="5"/>
        <v>32.638888888888886</v>
      </c>
      <c r="J21" s="54">
        <f t="shared" ref="J21" si="6">D21*E21</f>
        <v>10</v>
      </c>
      <c r="K21" s="3"/>
    </row>
    <row r="22" spans="2:13" x14ac:dyDescent="0.25">
      <c r="I22" s="48">
        <f>SUM(I4:I21)</f>
        <v>1096.9141666666665</v>
      </c>
      <c r="J22" s="50">
        <f>SUM(J4:J21)</f>
        <v>837</v>
      </c>
      <c r="K22">
        <f>SUM(K6:K21)</f>
        <v>272</v>
      </c>
    </row>
    <row r="27" spans="2:13" x14ac:dyDescent="0.25">
      <c r="B27" t="s">
        <v>85</v>
      </c>
      <c r="C27" s="52">
        <v>42718</v>
      </c>
    </row>
    <row r="28" spans="2:13" x14ac:dyDescent="0.25">
      <c r="B28" t="s">
        <v>86</v>
      </c>
      <c r="C28" s="52">
        <v>42736</v>
      </c>
    </row>
    <row r="29" spans="2:13" x14ac:dyDescent="0.25">
      <c r="B29" t="s">
        <v>89</v>
      </c>
      <c r="C29" s="52">
        <v>42744</v>
      </c>
    </row>
    <row r="30" spans="2:13" x14ac:dyDescent="0.25">
      <c r="B30" t="s">
        <v>87</v>
      </c>
      <c r="C30" s="52">
        <v>42759</v>
      </c>
      <c r="J30" t="s">
        <v>80</v>
      </c>
      <c r="K30" t="s">
        <v>8</v>
      </c>
      <c r="L30" t="s">
        <v>91</v>
      </c>
      <c r="M30" t="s">
        <v>92</v>
      </c>
    </row>
    <row r="31" spans="2:13" x14ac:dyDescent="0.25">
      <c r="J31">
        <v>121</v>
      </c>
      <c r="K31">
        <v>3864</v>
      </c>
      <c r="L31">
        <f>K31/100</f>
        <v>38.64</v>
      </c>
      <c r="M31">
        <f>J31/L31</f>
        <v>3.1314699792960661</v>
      </c>
    </row>
    <row r="32" spans="2:13" x14ac:dyDescent="0.25">
      <c r="J32">
        <v>241</v>
      </c>
      <c r="K32">
        <f>K31/J31*J32</f>
        <v>7696.0661157024788</v>
      </c>
      <c r="L32">
        <f>K32/100</f>
        <v>76.960661157024788</v>
      </c>
      <c r="M32">
        <f>J32/L32</f>
        <v>3.1314699792960665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tabSelected="1" workbookViewId="0">
      <selection activeCell="A27" sqref="A27:XFD32"/>
    </sheetView>
  </sheetViews>
  <sheetFormatPr defaultRowHeight="15" x14ac:dyDescent="0.25"/>
  <cols>
    <col min="2" max="2" width="20" customWidth="1"/>
    <col min="3" max="3" width="28" bestFit="1" customWidth="1"/>
    <col min="9" max="9" width="12.85546875" customWidth="1"/>
    <col min="13" max="13" width="17.28515625" bestFit="1" customWidth="1"/>
  </cols>
  <sheetData>
    <row r="3" spans="2:11" ht="60" x14ac:dyDescent="0.25">
      <c r="C3" s="46"/>
      <c r="D3" s="30" t="s">
        <v>22</v>
      </c>
      <c r="E3" s="30" t="s">
        <v>73</v>
      </c>
      <c r="F3" s="30" t="s">
        <v>43</v>
      </c>
      <c r="G3" s="30" t="s">
        <v>59</v>
      </c>
      <c r="H3" s="30" t="s">
        <v>32</v>
      </c>
      <c r="I3" s="30" t="s">
        <v>88</v>
      </c>
      <c r="J3" s="53" t="s">
        <v>80</v>
      </c>
      <c r="K3" s="55" t="s">
        <v>93</v>
      </c>
    </row>
    <row r="4" spans="2:11" x14ac:dyDescent="0.25">
      <c r="C4" s="23" t="s">
        <v>60</v>
      </c>
      <c r="D4" s="14">
        <f>C30-C27</f>
        <v>273</v>
      </c>
      <c r="E4" s="14">
        <v>0</v>
      </c>
      <c r="F4" s="14">
        <f>24*D4*60*60</f>
        <v>23587200</v>
      </c>
      <c r="G4" s="14">
        <v>1</v>
      </c>
      <c r="H4" s="29">
        <v>1.4999999999999999E-2</v>
      </c>
      <c r="I4" s="21">
        <f t="shared" ref="I4:I15" si="0">H4*G4*F4/3600</f>
        <v>98.28</v>
      </c>
      <c r="J4" s="54">
        <v>0</v>
      </c>
      <c r="K4" s="3"/>
    </row>
    <row r="5" spans="2:11" x14ac:dyDescent="0.25">
      <c r="C5" s="23"/>
      <c r="D5" s="14"/>
      <c r="E5" s="14"/>
      <c r="F5" s="14"/>
      <c r="G5" s="14"/>
      <c r="H5" s="29"/>
      <c r="I5" s="21"/>
      <c r="J5" s="54"/>
      <c r="K5" s="3"/>
    </row>
    <row r="6" spans="2:11" x14ac:dyDescent="0.25">
      <c r="B6" t="s">
        <v>81</v>
      </c>
      <c r="C6" s="23" t="s">
        <v>68</v>
      </c>
      <c r="D6" s="14">
        <f>C28-C27</f>
        <v>170</v>
      </c>
      <c r="E6" s="14">
        <v>4</v>
      </c>
      <c r="F6" s="14">
        <v>2.5</v>
      </c>
      <c r="G6" s="14">
        <f>E6*D6</f>
        <v>680</v>
      </c>
      <c r="H6" s="18">
        <v>78</v>
      </c>
      <c r="I6" s="21">
        <f>H6*G6*F6/3600</f>
        <v>36.833333333333336</v>
      </c>
      <c r="J6" s="54">
        <f>D6*E6</f>
        <v>680</v>
      </c>
      <c r="K6" s="3">
        <f>J6/3</f>
        <v>226.66666666666666</v>
      </c>
    </row>
    <row r="7" spans="2:11" x14ac:dyDescent="0.25">
      <c r="C7" s="23"/>
      <c r="D7" s="14"/>
      <c r="E7" s="14"/>
      <c r="F7" s="14"/>
      <c r="G7" s="14"/>
      <c r="H7" s="18"/>
      <c r="I7" s="21"/>
      <c r="J7" s="54"/>
      <c r="K7" s="3"/>
    </row>
    <row r="8" spans="2:11" x14ac:dyDescent="0.25">
      <c r="B8" t="s">
        <v>82</v>
      </c>
      <c r="C8" s="23" t="s">
        <v>69</v>
      </c>
      <c r="D8" s="49">
        <v>2</v>
      </c>
      <c r="E8" s="14">
        <v>1</v>
      </c>
      <c r="F8" s="14">
        <f>60*60*D8</f>
        <v>7200</v>
      </c>
      <c r="G8" s="14">
        <v>1</v>
      </c>
      <c r="H8" s="18">
        <v>73</v>
      </c>
      <c r="I8" s="21">
        <f t="shared" si="0"/>
        <v>146</v>
      </c>
      <c r="J8" s="54">
        <v>1</v>
      </c>
      <c r="K8" s="3"/>
    </row>
    <row r="9" spans="2:11" x14ac:dyDescent="0.25">
      <c r="B9" t="s">
        <v>82</v>
      </c>
      <c r="C9" s="23" t="s">
        <v>70</v>
      </c>
      <c r="D9" s="14">
        <v>1</v>
      </c>
      <c r="E9" s="14">
        <f>60*4</f>
        <v>240</v>
      </c>
      <c r="F9" s="14">
        <v>60</v>
      </c>
      <c r="G9" s="14">
        <v>1</v>
      </c>
      <c r="H9" s="18">
        <v>75</v>
      </c>
      <c r="I9" s="21">
        <f t="shared" si="0"/>
        <v>1.25</v>
      </c>
      <c r="J9" s="54">
        <f t="shared" ref="J9:J15" si="1">D9*E9</f>
        <v>240</v>
      </c>
      <c r="K9" s="3">
        <f>J9/3</f>
        <v>80</v>
      </c>
    </row>
    <row r="10" spans="2:11" x14ac:dyDescent="0.25">
      <c r="C10" s="23"/>
      <c r="D10" s="14"/>
      <c r="E10" s="14"/>
      <c r="F10" s="14"/>
      <c r="G10" s="14"/>
      <c r="H10" s="18"/>
      <c r="I10" s="21"/>
      <c r="J10" s="54"/>
      <c r="K10" s="3"/>
    </row>
    <row r="11" spans="2:11" x14ac:dyDescent="0.25">
      <c r="B11" t="s">
        <v>83</v>
      </c>
      <c r="C11" s="23" t="s">
        <v>71</v>
      </c>
      <c r="D11" s="14">
        <v>9</v>
      </c>
      <c r="E11" s="14">
        <v>23</v>
      </c>
      <c r="F11" s="14">
        <v>2.5</v>
      </c>
      <c r="G11" s="14">
        <f>E11*D11</f>
        <v>207</v>
      </c>
      <c r="H11" s="18">
        <v>78</v>
      </c>
      <c r="I11" s="21">
        <f t="shared" si="0"/>
        <v>11.2125</v>
      </c>
      <c r="J11" s="54">
        <f t="shared" si="1"/>
        <v>207</v>
      </c>
      <c r="K11" s="3">
        <f>J11/3</f>
        <v>69</v>
      </c>
    </row>
    <row r="12" spans="2:11" x14ac:dyDescent="0.25">
      <c r="B12" t="s">
        <v>83</v>
      </c>
      <c r="C12" s="23" t="s">
        <v>72</v>
      </c>
      <c r="D12" s="14">
        <v>9</v>
      </c>
      <c r="E12" s="14">
        <v>1</v>
      </c>
      <c r="F12" s="14">
        <v>90</v>
      </c>
      <c r="G12" s="14">
        <f>E12*D12</f>
        <v>9</v>
      </c>
      <c r="H12" s="18">
        <v>114</v>
      </c>
      <c r="I12" s="21">
        <f t="shared" si="0"/>
        <v>25.65</v>
      </c>
      <c r="J12" s="54">
        <f t="shared" si="1"/>
        <v>9</v>
      </c>
      <c r="K12" s="3">
        <f>J12/3</f>
        <v>3</v>
      </c>
    </row>
    <row r="13" spans="2:11" x14ac:dyDescent="0.25">
      <c r="C13" s="23"/>
      <c r="D13" s="14"/>
      <c r="E13" s="14"/>
      <c r="F13" s="14"/>
      <c r="G13" s="14"/>
      <c r="H13" s="18"/>
      <c r="I13" s="21"/>
      <c r="J13" s="54"/>
      <c r="K13" s="3"/>
    </row>
    <row r="14" spans="2:11" x14ac:dyDescent="0.25">
      <c r="B14" t="s">
        <v>84</v>
      </c>
      <c r="C14" s="23" t="s">
        <v>71</v>
      </c>
      <c r="D14" s="14">
        <v>0</v>
      </c>
      <c r="E14" s="14">
        <v>22</v>
      </c>
      <c r="F14" s="14">
        <v>5</v>
      </c>
      <c r="G14" s="14">
        <f>E14*D14</f>
        <v>0</v>
      </c>
      <c r="H14" s="18">
        <v>78</v>
      </c>
      <c r="I14" s="21">
        <f t="shared" si="0"/>
        <v>0</v>
      </c>
      <c r="J14" s="54">
        <f t="shared" si="1"/>
        <v>0</v>
      </c>
      <c r="K14" s="3"/>
    </row>
    <row r="15" spans="2:11" x14ac:dyDescent="0.25">
      <c r="B15" t="s">
        <v>84</v>
      </c>
      <c r="C15" s="23" t="s">
        <v>72</v>
      </c>
      <c r="D15" s="14">
        <v>0</v>
      </c>
      <c r="E15" s="14">
        <v>2</v>
      </c>
      <c r="F15" s="14">
        <v>90</v>
      </c>
      <c r="G15" s="14">
        <f>E15*D15</f>
        <v>0</v>
      </c>
      <c r="H15" s="18">
        <v>114</v>
      </c>
      <c r="I15" s="21">
        <f t="shared" si="0"/>
        <v>0</v>
      </c>
      <c r="J15" s="54">
        <f t="shared" si="1"/>
        <v>0</v>
      </c>
      <c r="K15" s="3"/>
    </row>
    <row r="16" spans="2:11" x14ac:dyDescent="0.25">
      <c r="C16" s="23"/>
      <c r="D16" s="14"/>
      <c r="E16" s="14"/>
      <c r="F16" s="14"/>
      <c r="G16" s="14"/>
      <c r="H16" s="18"/>
      <c r="I16" s="21"/>
      <c r="J16" s="54"/>
      <c r="K16" s="3"/>
    </row>
    <row r="17" spans="2:13" x14ac:dyDescent="0.25">
      <c r="B17" t="s">
        <v>90</v>
      </c>
      <c r="C17" s="23" t="s">
        <v>65</v>
      </c>
      <c r="D17" s="14">
        <v>24</v>
      </c>
      <c r="E17" s="14">
        <v>12</v>
      </c>
      <c r="F17" s="14">
        <v>93</v>
      </c>
      <c r="G17" s="14">
        <f>E17*D17</f>
        <v>288</v>
      </c>
      <c r="H17" s="18">
        <v>114</v>
      </c>
      <c r="I17" s="21">
        <f>H17*G17*F17/3600</f>
        <v>848.16</v>
      </c>
      <c r="J17" s="54">
        <f t="shared" ref="J17" si="2">D17*E17</f>
        <v>288</v>
      </c>
      <c r="K17" s="3">
        <f>J17/3</f>
        <v>96</v>
      </c>
    </row>
    <row r="18" spans="2:13" x14ac:dyDescent="0.25">
      <c r="C18" s="23"/>
      <c r="D18" s="14"/>
      <c r="E18" s="14"/>
      <c r="F18" s="14"/>
      <c r="G18" s="14"/>
      <c r="H18" s="18"/>
      <c r="I18" s="21"/>
      <c r="J18" s="54"/>
      <c r="K18" s="3"/>
    </row>
    <row r="19" spans="2:13" x14ac:dyDescent="0.25">
      <c r="B19" t="s">
        <v>94</v>
      </c>
      <c r="C19" s="23" t="s">
        <v>95</v>
      </c>
      <c r="D19" s="14">
        <v>1</v>
      </c>
      <c r="E19" s="14">
        <v>10</v>
      </c>
      <c r="F19" s="14">
        <v>2</v>
      </c>
      <c r="G19" s="51">
        <f>E19*D19</f>
        <v>10</v>
      </c>
      <c r="H19" s="18">
        <v>80</v>
      </c>
      <c r="I19" s="21">
        <f>H19*G19*F19/3600</f>
        <v>0.44444444444444442</v>
      </c>
      <c r="J19" s="54">
        <f t="shared" ref="J19" si="3">D19*E19</f>
        <v>10</v>
      </c>
      <c r="K19" s="3"/>
    </row>
    <row r="20" spans="2:13" x14ac:dyDescent="0.25">
      <c r="B20" t="s">
        <v>94</v>
      </c>
      <c r="C20" s="23" t="s">
        <v>79</v>
      </c>
      <c r="D20" s="14">
        <v>1</v>
      </c>
      <c r="E20" s="14">
        <v>10</v>
      </c>
      <c r="F20" s="14">
        <v>33</v>
      </c>
      <c r="G20" s="51">
        <f t="shared" ref="G20:G21" si="4">E20*D20</f>
        <v>10</v>
      </c>
      <c r="H20" s="18">
        <v>125</v>
      </c>
      <c r="I20" s="21">
        <f t="shared" ref="I20:I21" si="5">H20*G20*F20/3600</f>
        <v>11.458333333333334</v>
      </c>
      <c r="J20" s="54"/>
      <c r="K20" s="3"/>
    </row>
    <row r="21" spans="2:13" x14ac:dyDescent="0.25">
      <c r="B21" t="s">
        <v>94</v>
      </c>
      <c r="C21" s="23" t="s">
        <v>96</v>
      </c>
      <c r="D21" s="14">
        <v>1</v>
      </c>
      <c r="E21" s="14">
        <v>10</v>
      </c>
      <c r="F21" s="14">
        <v>25</v>
      </c>
      <c r="G21" s="51">
        <f t="shared" si="4"/>
        <v>10</v>
      </c>
      <c r="H21" s="18">
        <v>470</v>
      </c>
      <c r="I21" s="21">
        <f t="shared" si="5"/>
        <v>32.638888888888886</v>
      </c>
      <c r="J21" s="54">
        <f t="shared" ref="J21" si="6">D21*E21</f>
        <v>10</v>
      </c>
      <c r="K21" s="3"/>
    </row>
    <row r="22" spans="2:13" x14ac:dyDescent="0.25">
      <c r="I22" s="48">
        <f>SUM(I4:I21)</f>
        <v>1211.9274999999998</v>
      </c>
      <c r="J22" s="50">
        <f>SUM(J4:J21)</f>
        <v>1445</v>
      </c>
      <c r="K22">
        <f>SUM(K6:K21)</f>
        <v>474.66666666666663</v>
      </c>
    </row>
    <row r="27" spans="2:13" x14ac:dyDescent="0.25">
      <c r="B27" t="s">
        <v>85</v>
      </c>
      <c r="C27" s="52">
        <v>43009</v>
      </c>
    </row>
    <row r="28" spans="2:13" x14ac:dyDescent="0.25">
      <c r="B28" t="s">
        <v>86</v>
      </c>
      <c r="C28" s="52">
        <f>C27+170</f>
        <v>43179</v>
      </c>
    </row>
    <row r="29" spans="2:13" x14ac:dyDescent="0.25">
      <c r="B29" t="s">
        <v>89</v>
      </c>
      <c r="C29" s="52">
        <v>43191</v>
      </c>
    </row>
    <row r="30" spans="2:13" x14ac:dyDescent="0.25">
      <c r="B30" t="s">
        <v>97</v>
      </c>
      <c r="C30" s="52">
        <v>43282</v>
      </c>
      <c r="J30" t="s">
        <v>80</v>
      </c>
      <c r="K30" t="s">
        <v>8</v>
      </c>
      <c r="L30" t="s">
        <v>91</v>
      </c>
      <c r="M30" t="s">
        <v>92</v>
      </c>
    </row>
    <row r="31" spans="2:13" x14ac:dyDescent="0.25">
      <c r="J31">
        <v>121</v>
      </c>
      <c r="K31">
        <v>3864</v>
      </c>
      <c r="L31">
        <f>K31/100</f>
        <v>38.64</v>
      </c>
      <c r="M31">
        <f>J31/L31</f>
        <v>3.1314699792960661</v>
      </c>
    </row>
    <row r="32" spans="2:13" x14ac:dyDescent="0.25">
      <c r="J32">
        <v>241</v>
      </c>
      <c r="K32">
        <f>K31/J31*J32</f>
        <v>7696.0661157024788</v>
      </c>
      <c r="L32">
        <f>K32/100</f>
        <v>76.960661157024788</v>
      </c>
      <c r="M32">
        <f>J32/L32</f>
        <v>3.1314699792960665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F25" sqref="F25"/>
    </sheetView>
  </sheetViews>
  <sheetFormatPr defaultRowHeight="15" x14ac:dyDescent="0.25"/>
  <cols>
    <col min="2" max="2" width="17.85546875" bestFit="1" customWidth="1"/>
    <col min="3" max="3" width="12" customWidth="1"/>
  </cols>
  <sheetData>
    <row r="1" spans="2:3" ht="30" x14ac:dyDescent="0.25">
      <c r="C1" s="46" t="s">
        <v>75</v>
      </c>
    </row>
    <row r="2" spans="2:3" x14ac:dyDescent="0.25">
      <c r="B2" t="s">
        <v>74</v>
      </c>
      <c r="C2">
        <v>78.09</v>
      </c>
    </row>
    <row r="3" spans="2:3" x14ac:dyDescent="0.25">
      <c r="B3" t="s">
        <v>76</v>
      </c>
      <c r="C3">
        <v>73</v>
      </c>
    </row>
    <row r="4" spans="2:3" x14ac:dyDescent="0.25">
      <c r="B4" t="s">
        <v>77</v>
      </c>
      <c r="C4">
        <v>75</v>
      </c>
    </row>
    <row r="5" spans="2:3" x14ac:dyDescent="0.25">
      <c r="B5" t="s">
        <v>78</v>
      </c>
      <c r="C5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 Est</vt:lpstr>
      <vt:lpstr>Chukchi</vt:lpstr>
      <vt:lpstr>Power Budget Chukchi </vt:lpstr>
      <vt:lpstr>Power Budget Bering</vt:lpstr>
      <vt:lpstr>Test Deployment Dec 2016</vt:lpstr>
      <vt:lpstr>Healy Deployment 2017</vt:lpstr>
      <vt:lpstr>Dyson Deploement 2017</vt:lpstr>
      <vt:lpstr>Sheet2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2016-01-22T17:04:48Z</dcterms:created>
  <dcterms:modified xsi:type="dcterms:W3CDTF">2017-07-11T17:51:10Z</dcterms:modified>
</cp:coreProperties>
</file>