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onohoe\Documents\POPUP\Engineering\Guides\"/>
    </mc:Choice>
  </mc:AlternateContent>
  <bookViews>
    <workbookView xWindow="0" yWindow="0" windowWidth="16815" windowHeight="8205"/>
  </bookViews>
  <sheets>
    <sheet name="Rev 5.3 Battery Calculator" sheetId="5" r:id="rId1"/>
  </sheets>
  <calcPr calcId="162913"/>
</workbook>
</file>

<file path=xl/calcChain.xml><?xml version="1.0" encoding="utf-8"?>
<calcChain xmlns="http://schemas.openxmlformats.org/spreadsheetml/2006/main">
  <c r="F32" i="5" l="1"/>
  <c r="F31" i="5"/>
  <c r="F23" i="5"/>
  <c r="F24" i="5"/>
  <c r="F18" i="5" l="1"/>
  <c r="F14" i="5"/>
  <c r="H18" i="5" l="1"/>
  <c r="D80" i="5" l="1"/>
  <c r="D41" i="5"/>
  <c r="H14" i="5" l="1"/>
  <c r="F38" i="5" l="1"/>
  <c r="C112" i="5"/>
  <c r="F82" i="5" l="1"/>
  <c r="F64" i="5"/>
  <c r="F81" i="5"/>
  <c r="H80" i="5"/>
  <c r="F80" i="5"/>
  <c r="D81" i="5"/>
  <c r="D82" i="5" s="1"/>
  <c r="H81" i="5"/>
  <c r="D42" i="5" l="1"/>
  <c r="D83" i="5"/>
  <c r="H82" i="5"/>
  <c r="H64" i="5"/>
  <c r="J40" i="5"/>
  <c r="K40" i="5" s="1"/>
  <c r="H63" i="5"/>
  <c r="F63" i="5"/>
  <c r="H43" i="5"/>
  <c r="D43" i="5" l="1"/>
  <c r="G43" i="5" s="1"/>
  <c r="I43" i="5" s="1"/>
  <c r="C96" i="5"/>
  <c r="F83" i="5" l="1"/>
  <c r="H83" i="5"/>
  <c r="J41" i="5"/>
  <c r="C10" i="5"/>
  <c r="E38" i="5"/>
  <c r="F109" i="5"/>
  <c r="F110" i="5" s="1"/>
  <c r="F111" i="5" s="1"/>
  <c r="E80" i="5" l="1"/>
  <c r="E81" i="5" s="1"/>
  <c r="D10" i="5"/>
  <c r="F112" i="5"/>
  <c r="F113" i="5" s="1"/>
  <c r="F114" i="5" s="1"/>
  <c r="H42" i="5"/>
  <c r="F42" i="5"/>
  <c r="F41" i="5"/>
  <c r="C90" i="5"/>
  <c r="E82" i="5" l="1"/>
  <c r="C20" i="5"/>
  <c r="H41" i="5"/>
  <c r="C21" i="5"/>
  <c r="E83" i="5" l="1"/>
  <c r="D52" i="5"/>
  <c r="C22" i="5" l="1"/>
  <c r="B120" i="5" l="1"/>
  <c r="B119" i="5"/>
  <c r="B118" i="5"/>
  <c r="K44" i="5" l="1"/>
  <c r="L44" i="5" s="1"/>
  <c r="J44" i="5"/>
  <c r="H44" i="5"/>
  <c r="G44" i="5"/>
  <c r="G41" i="5"/>
  <c r="I41" i="5" s="1"/>
  <c r="L40" i="5"/>
  <c r="H40" i="5"/>
  <c r="G40" i="5"/>
  <c r="F40" i="5"/>
  <c r="E40" i="5"/>
  <c r="D40" i="5"/>
  <c r="H39" i="5"/>
  <c r="G39" i="5"/>
  <c r="J39" i="5" s="1"/>
  <c r="K39" i="5" s="1"/>
  <c r="L39" i="5" s="1"/>
  <c r="F39" i="5"/>
  <c r="E39" i="5"/>
  <c r="D39" i="5"/>
  <c r="H38" i="5"/>
  <c r="D38" i="5"/>
  <c r="G42" i="5"/>
  <c r="D22" i="5"/>
  <c r="D21" i="5"/>
  <c r="I39" i="5" l="1"/>
  <c r="I40" i="5"/>
  <c r="I42" i="5"/>
  <c r="K41" i="5"/>
  <c r="G38" i="5"/>
  <c r="I38" i="5" s="1"/>
  <c r="J42" i="5"/>
  <c r="K42" i="5" s="1"/>
  <c r="L41" i="5" l="1"/>
  <c r="C51" i="5"/>
  <c r="L42" i="5"/>
  <c r="C53" i="5"/>
  <c r="D53" i="5" s="1"/>
  <c r="J38" i="5"/>
  <c r="K38" i="5" s="1"/>
  <c r="L38" i="5" s="1"/>
  <c r="B109" i="5"/>
  <c r="F65" i="5"/>
  <c r="H65" i="5"/>
  <c r="C111" i="5"/>
  <c r="C110" i="5"/>
  <c r="C109" i="5"/>
  <c r="C98" i="5"/>
  <c r="E109" i="5" s="1"/>
  <c r="E110" i="5" s="1"/>
  <c r="E111" i="5" s="1"/>
  <c r="E112" i="5" l="1"/>
  <c r="E113" i="5" s="1"/>
  <c r="E114" i="5" s="1"/>
  <c r="K45" i="5"/>
  <c r="L45" i="5"/>
  <c r="D109" i="5"/>
  <c r="C117" i="5"/>
  <c r="C16" i="5"/>
  <c r="C123" i="5" l="1"/>
  <c r="C121" i="5"/>
  <c r="C122" i="5"/>
  <c r="C119" i="5"/>
  <c r="C118" i="5"/>
  <c r="C13" i="5"/>
  <c r="D8" i="5"/>
  <c r="D7" i="5"/>
  <c r="D6" i="5"/>
  <c r="D4" i="5"/>
  <c r="C14" i="5" l="1"/>
  <c r="C15" i="5" s="1"/>
  <c r="D5" i="5"/>
  <c r="C50" i="5" l="1"/>
  <c r="D50" i="5" s="1"/>
  <c r="D51" i="5" l="1"/>
  <c r="D110" i="5"/>
  <c r="D111" i="5" s="1"/>
  <c r="D112" i="5" s="1"/>
  <c r="C49" i="5" l="1"/>
  <c r="D49" i="5" s="1"/>
  <c r="C57" i="5" s="1"/>
  <c r="J45" i="5"/>
  <c r="C58" i="5" l="1"/>
  <c r="G64" i="5" s="1"/>
  <c r="I64" i="5" s="1"/>
  <c r="G63" i="5" l="1"/>
  <c r="C59" i="5"/>
  <c r="C60" i="5" l="1"/>
  <c r="G65" i="5" s="1"/>
  <c r="I63" i="5"/>
  <c r="J63" i="5"/>
  <c r="J66" i="5" l="1"/>
  <c r="K63" i="5"/>
  <c r="I65" i="5"/>
  <c r="I66" i="5" s="1"/>
  <c r="C69" i="5"/>
  <c r="C70" i="5" s="1"/>
  <c r="C113" i="5" s="1"/>
  <c r="D113" i="5" l="1"/>
  <c r="C114" i="5"/>
  <c r="D44" i="5" s="1"/>
  <c r="F44" i="5" s="1"/>
  <c r="I44" i="5" s="1"/>
  <c r="C100" i="5"/>
  <c r="K66" i="5"/>
  <c r="L63" i="5"/>
  <c r="L66" i="5" s="1"/>
  <c r="C74" i="5" s="1"/>
  <c r="C75" i="5" s="1"/>
  <c r="C120" i="5" l="1"/>
  <c r="C124" i="5" s="1"/>
  <c r="I45" i="5"/>
  <c r="C99" i="5" s="1"/>
  <c r="C76" i="5"/>
  <c r="C77" i="5" s="1"/>
  <c r="G83" i="5" s="1"/>
  <c r="G82" i="5"/>
  <c r="I82" i="5" s="1"/>
  <c r="G81" i="5"/>
  <c r="I81" i="5" s="1"/>
  <c r="G80" i="5"/>
  <c r="J80" i="5" l="1"/>
  <c r="I80" i="5"/>
  <c r="L84" i="5"/>
  <c r="C87" i="5" s="1"/>
  <c r="C91" i="5" s="1"/>
  <c r="I83" i="5"/>
  <c r="I84" i="5" l="1"/>
  <c r="D114" i="5" s="1"/>
  <c r="K80" i="5"/>
  <c r="K84" i="5" s="1"/>
  <c r="L80" i="5"/>
  <c r="J84" i="5"/>
  <c r="C101" i="5" l="1"/>
  <c r="C125" i="5" s="1"/>
  <c r="C102" i="5" l="1"/>
  <c r="C103" i="5" s="1"/>
  <c r="C104" i="5" s="1"/>
  <c r="C126" i="5" s="1"/>
  <c r="C105" i="5" l="1"/>
</calcChain>
</file>

<file path=xl/sharedStrings.xml><?xml version="1.0" encoding="utf-8"?>
<sst xmlns="http://schemas.openxmlformats.org/spreadsheetml/2006/main" count="188" uniqueCount="139">
  <si>
    <t>Release Time</t>
  </si>
  <si>
    <t>Description</t>
  </si>
  <si>
    <t>Days</t>
  </si>
  <si>
    <t>Average Current</t>
  </si>
  <si>
    <t>mAh</t>
  </si>
  <si>
    <t>Sample Sets</t>
  </si>
  <si>
    <t>Profile</t>
  </si>
  <si>
    <t>Asleep</t>
  </si>
  <si>
    <t>Bottom Sample</t>
  </si>
  <si>
    <t>DATA COST</t>
  </si>
  <si>
    <t>Profiling</t>
  </si>
  <si>
    <t>Mode</t>
  </si>
  <si>
    <t>Sending Iridium Message</t>
  </si>
  <si>
    <t>Unit Settings</t>
  </si>
  <si>
    <t>Bottom Sample Interval</t>
  </si>
  <si>
    <t>Pre-Release Wake Up Time</t>
  </si>
  <si>
    <t>Under Ice Sample interval</t>
  </si>
  <si>
    <t>Profile Length</t>
  </si>
  <si>
    <t xml:space="preserve"> (nominal = 3600 seconds   = 1.00 hr)</t>
  </si>
  <si>
    <t>Average Power</t>
  </si>
  <si>
    <t>Time</t>
  </si>
  <si>
    <t>Waiting for Release (Max)</t>
  </si>
  <si>
    <t>Instances Per Day</t>
  </si>
  <si>
    <t>Total Number of Instances</t>
  </si>
  <si>
    <t>Estimated Size</t>
  </si>
  <si>
    <t>Waiting for Profile (Max)</t>
  </si>
  <si>
    <t>Other Parameters</t>
  </si>
  <si>
    <t>Profile Sample Rate</t>
  </si>
  <si>
    <t>Current Time</t>
  </si>
  <si>
    <t>Time From Now Until Release</t>
  </si>
  <si>
    <t>Burn Wire Programming</t>
  </si>
  <si>
    <t>Hours</t>
  </si>
  <si>
    <t>Minutes</t>
  </si>
  <si>
    <t>Legend</t>
  </si>
  <si>
    <r>
      <rPr>
        <b/>
        <sz val="11"/>
        <color theme="1"/>
        <rFont val="Calibri"/>
        <family val="2"/>
        <scheme val="minor"/>
      </rPr>
      <t xml:space="preserve">Input </t>
    </r>
    <r>
      <rPr>
        <sz val="11"/>
        <color theme="1"/>
        <rFont val="Calibri"/>
        <family val="2"/>
        <scheme val="minor"/>
      </rPr>
      <t>- Adjust these values for each deployment</t>
    </r>
  </si>
  <si>
    <r>
      <rPr>
        <b/>
        <sz val="11"/>
        <color theme="1"/>
        <rFont val="Calibri"/>
        <family val="2"/>
        <scheme val="minor"/>
      </rPr>
      <t>Fixed Value</t>
    </r>
    <r>
      <rPr>
        <sz val="11"/>
        <color theme="1"/>
        <rFont val="Calibri"/>
        <family val="2"/>
        <scheme val="minor"/>
      </rPr>
      <t xml:space="preserve"> - Adjust only if programming or circuitry changes</t>
    </r>
  </si>
  <si>
    <r>
      <rPr>
        <b/>
        <sz val="11"/>
        <color theme="1"/>
        <rFont val="Calibri"/>
        <family val="2"/>
        <scheme val="minor"/>
      </rPr>
      <t>Burn Wire Settings</t>
    </r>
    <r>
      <rPr>
        <sz val="11"/>
        <color theme="1"/>
        <rFont val="Calibri"/>
        <family val="2"/>
        <scheme val="minor"/>
      </rPr>
      <t xml:space="preserve"> - Program these values into burn wire release</t>
    </r>
  </si>
  <si>
    <r>
      <rPr>
        <b/>
        <sz val="11"/>
        <color theme="1"/>
        <rFont val="Calibri"/>
        <family val="2"/>
        <scheme val="minor"/>
      </rPr>
      <t>Calculated Value</t>
    </r>
    <r>
      <rPr>
        <sz val="11"/>
        <color theme="1"/>
        <rFont val="Calibri"/>
        <family val="2"/>
        <scheme val="minor"/>
      </rPr>
      <t xml:space="preserve"> - only change formula if programming changes</t>
    </r>
  </si>
  <si>
    <t>TOTAL</t>
  </si>
  <si>
    <t>Max Time Per Instance</t>
  </si>
  <si>
    <t>filename</t>
  </si>
  <si>
    <t>botdat.txt</t>
  </si>
  <si>
    <t>prodat.txt</t>
  </si>
  <si>
    <t>icedat.txt</t>
  </si>
  <si>
    <t>Value needs to be verified</t>
  </si>
  <si>
    <t xml:space="preserve"> Approx. Messages</t>
  </si>
  <si>
    <t>Number of Messages</t>
  </si>
  <si>
    <t>summary.txt</t>
  </si>
  <si>
    <t>Files</t>
  </si>
  <si>
    <t>Messages from Files</t>
  </si>
  <si>
    <t>Number of Cycles</t>
  </si>
  <si>
    <r>
      <t>"</t>
    </r>
    <r>
      <rPr>
        <i/>
        <sz val="11"/>
        <color theme="1"/>
        <rFont val="Calibri"/>
        <family val="2"/>
        <scheme val="minor"/>
      </rPr>
      <t>Hello!</t>
    </r>
    <r>
      <rPr>
        <sz val="11"/>
        <color theme="1"/>
        <rFont val="Calibri"/>
        <family val="2"/>
        <scheme val="minor"/>
      </rPr>
      <t>" Messages</t>
    </r>
  </si>
  <si>
    <t>Total Number of Messages</t>
  </si>
  <si>
    <t>Power Estimate</t>
  </si>
  <si>
    <t>Cost Per Credit (British Pounds)</t>
  </si>
  <si>
    <t>Cost Per Credit (US Dollars)</t>
  </si>
  <si>
    <t>Rockblock Credits</t>
  </si>
  <si>
    <t>Exchange Rate (GBP to USD)</t>
  </si>
  <si>
    <t>Data Cost</t>
  </si>
  <si>
    <t>Total Power Required</t>
  </si>
  <si>
    <t>Battery Pack Nominal Power</t>
  </si>
  <si>
    <t>Battery De-Rating for Cold</t>
  </si>
  <si>
    <t>Extra Power Available</t>
  </si>
  <si>
    <t>Timeline</t>
  </si>
  <si>
    <t>Average Time Per Instance</t>
  </si>
  <si>
    <t>Additional Sample Sets</t>
  </si>
  <si>
    <t>At Surface - Transmit Data</t>
  </si>
  <si>
    <t>Time Between Transmission Attempts</t>
  </si>
  <si>
    <t>Total Time to Transmit Under Ice Data</t>
  </si>
  <si>
    <t xml:space="preserve">Unit Start </t>
  </si>
  <si>
    <t>Estimated Battery Remaining</t>
  </si>
  <si>
    <t>Initial Battery (De-Rated)</t>
  </si>
  <si>
    <t>Initial Battery (Nominal)</t>
  </si>
  <si>
    <t>Total Actual Power Available</t>
  </si>
  <si>
    <t>Pre-Release Wake Up Interval</t>
  </si>
  <si>
    <t>Bytes Per SBD Message</t>
  </si>
  <si>
    <t>Under Ice Sample</t>
  </si>
  <si>
    <t>Power Usage</t>
  </si>
  <si>
    <t>Under Ice - Sample</t>
  </si>
  <si>
    <t>Under Ice - Image</t>
  </si>
  <si>
    <t>Taking Image</t>
  </si>
  <si>
    <t>Power Needed to Transmit All Data</t>
  </si>
  <si>
    <t xml:space="preserve">Drifter Interval </t>
  </si>
  <si>
    <t>Battery Pack Nominal Voltage</t>
  </si>
  <si>
    <t>Battery Pack Number of D Cells</t>
  </si>
  <si>
    <t>Under Ice - Sampling</t>
  </si>
  <si>
    <t>Under Ice - Imaging</t>
  </si>
  <si>
    <t>Under Ice - Search for GPS Satellite</t>
  </si>
  <si>
    <t>GPS Fix Search Time</t>
  </si>
  <si>
    <t>Looking for GPS Satellite</t>
  </si>
  <si>
    <t>IMAGES.dat</t>
  </si>
  <si>
    <t>File Names</t>
  </si>
  <si>
    <t>IMAGES.DAT</t>
  </si>
  <si>
    <t>At Surface - Search for GPS Satellite</t>
  </si>
  <si>
    <t>1 - Anchored</t>
  </si>
  <si>
    <t>Anchored Before Release</t>
  </si>
  <si>
    <t>Power Needed Until Free of Ice</t>
  </si>
  <si>
    <t xml:space="preserve"> (nominal = 90 seconds)</t>
  </si>
  <si>
    <t>Minimum Avg # of Successful Messages Per Cycle</t>
  </si>
  <si>
    <t>Boot up Iridium Modem</t>
  </si>
  <si>
    <t>At Surface - Boot Up Iridium Modem</t>
  </si>
  <si>
    <t>Profile End</t>
  </si>
  <si>
    <t xml:space="preserve"> (nominal = 7200 seconds   = 2.00 hr)</t>
  </si>
  <si>
    <t>SST Drifter Mode</t>
  </si>
  <si>
    <t>SST Drifter Mode End</t>
  </si>
  <si>
    <t>Power Needed for SST Drifter Mode</t>
  </si>
  <si>
    <t>SST Drifter Mode - Search for GPS Fix</t>
  </si>
  <si>
    <t>SST Drifter Mode - Boot Up Iridium Modem</t>
  </si>
  <si>
    <t>SST Drifter Mode - Send Message</t>
  </si>
  <si>
    <t>All Under Ice Data/Images Sent</t>
  </si>
  <si>
    <t>First GPS Satellite Acquired</t>
  </si>
  <si>
    <t>sstdat.txt</t>
  </si>
  <si>
    <t>4 - Under Ice</t>
  </si>
  <si>
    <t>3 - Profiling</t>
  </si>
  <si>
    <t>6 - Surface Drifer</t>
  </si>
  <si>
    <t>2 - Waiting for Profile</t>
  </si>
  <si>
    <t>5 - Sending Under Ice Data</t>
  </si>
  <si>
    <t>SST Drifter Mode - Take Sample</t>
  </si>
  <si>
    <t>Under Ice Data Message Estimates</t>
  </si>
  <si>
    <t>SST Data Message Estimates (New Data Collected While Transmitting Under Ice Data)</t>
  </si>
  <si>
    <t>Phase                            (Numbers correspond to 'Mode' in program)</t>
  </si>
  <si>
    <t>When to set the release for subsea sonics?</t>
  </si>
  <si>
    <t>Unit Set Date</t>
  </si>
  <si>
    <t>Unit Release Date</t>
  </si>
  <si>
    <t>Max Days</t>
  </si>
  <si>
    <t xml:space="preserve"> (nominal = 10800 seconds  = 3.00 hr)</t>
  </si>
  <si>
    <t>Average Image Size</t>
  </si>
  <si>
    <t>Estimated Maximum Time Under Ice</t>
  </si>
  <si>
    <t>Estimated Maximum Time Drifting at Surface</t>
  </si>
  <si>
    <t>When to set the release for DBV?</t>
  </si>
  <si>
    <t>C=a*T</t>
  </si>
  <si>
    <t>C- capacity in amp-hours</t>
  </si>
  <si>
    <t>T= time in hours</t>
  </si>
  <si>
    <t>time in days</t>
  </si>
  <si>
    <t>a= current drawn in amps, board quiescence</t>
  </si>
  <si>
    <t>capacity de-rated for cold</t>
  </si>
  <si>
    <t>Sending Bottom and Under Ice Data</t>
  </si>
  <si>
    <t>Asleep, Main Board Quiescence</t>
  </si>
  <si>
    <t xml:space="preserve">RTC backup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</si>
</sst>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164" formatCode="m/d/yyyy\ h:mm:ss"/>
    <numFmt numFmtId="165" formatCode="0\ &quot;mA&quot;"/>
    <numFmt numFmtId="166" formatCode="0\ &quot;mAh&quot;"/>
    <numFmt numFmtId="167" formatCode="0\ &quot;bytes&quot;"/>
    <numFmt numFmtId="168" formatCode="0.000\ &quot;mA&quot;"/>
    <numFmt numFmtId="169" formatCode="0\ &quot;samples&quot;"/>
    <numFmt numFmtId="170" formatCode="0.00\ &quot;Ah&quot;"/>
    <numFmt numFmtId="171" formatCode="[$£-809]#,##0.00"/>
    <numFmt numFmtId="172" formatCode="&quot;$&quot;#,##0.00"/>
    <numFmt numFmtId="173" formatCode="0.00\ &quot;hr&quot;"/>
    <numFmt numFmtId="174" formatCode="0\ &quot;seconds&quot;"/>
    <numFmt numFmtId="175" formatCode="&quot; =&quot;\ 0.00\ &quot;hr&quot;"/>
    <numFmt numFmtId="176" formatCode="0.0\ &quot;mA&quot;"/>
    <numFmt numFmtId="177" formatCode="0\ &quot;Hz&quot;"/>
    <numFmt numFmtId="178" formatCode="0.0\ &quot;mAh&quot;"/>
    <numFmt numFmtId="179" formatCode="0.000\ &quot;Days&quot;"/>
    <numFmt numFmtId="180" formatCode="0\ "/>
    <numFmt numFmtId="181" formatCode="0.0\ &quot;Days&quot;"/>
    <numFmt numFmtId="182" formatCode="#,##0\ &quot;bytes&quot;"/>
    <numFmt numFmtId="183" formatCode="0\ \V"/>
    <numFmt numFmtId="184" formatCode="0\ &quot;kB&quot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66CC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39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quotePrefix="1"/>
    <xf numFmtId="1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7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74" fontId="0" fillId="2" borderId="1" xfId="0" applyNumberFormat="1" applyFill="1" applyBorder="1" applyAlignment="1">
      <alignment horizontal="center"/>
    </xf>
    <xf numFmtId="175" fontId="4" fillId="0" borderId="2" xfId="0" applyNumberFormat="1" applyFont="1" applyBorder="1" applyAlignment="1">
      <alignment horizontal="center"/>
    </xf>
    <xf numFmtId="175" fontId="4" fillId="0" borderId="1" xfId="0" applyNumberFormat="1" applyFont="1" applyBorder="1" applyAlignment="1">
      <alignment horizontal="center"/>
    </xf>
    <xf numFmtId="176" fontId="0" fillId="4" borderId="1" xfId="0" applyNumberFormat="1" applyFill="1" applyBorder="1" applyAlignment="1">
      <alignment horizontal="center"/>
    </xf>
    <xf numFmtId="0" fontId="0" fillId="0" borderId="0" xfId="0" applyBorder="1"/>
    <xf numFmtId="174" fontId="0" fillId="0" borderId="0" xfId="0" applyNumberForma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3" borderId="2" xfId="0" applyFill="1" applyBorder="1" applyAlignment="1">
      <alignment horizontal="center"/>
    </xf>
    <xf numFmtId="170" fontId="0" fillId="3" borderId="1" xfId="0" applyNumberFormat="1" applyFill="1" applyBorder="1"/>
    <xf numFmtId="164" fontId="0" fillId="3" borderId="1" xfId="0" applyNumberFormat="1" applyFill="1" applyBorder="1"/>
    <xf numFmtId="182" fontId="0" fillId="3" borderId="1" xfId="0" applyNumberFormat="1" applyFill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174" fontId="0" fillId="3" borderId="2" xfId="0" applyNumberFormat="1" applyFill="1" applyBorder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166" fontId="0" fillId="3" borderId="2" xfId="0" applyNumberFormat="1" applyFill="1" applyBorder="1" applyAlignment="1">
      <alignment horizontal="center"/>
    </xf>
    <xf numFmtId="182" fontId="0" fillId="3" borderId="2" xfId="0" applyNumberFormat="1" applyFill="1" applyBorder="1" applyAlignment="1">
      <alignment horizontal="center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6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wrapText="1"/>
    </xf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1" fontId="0" fillId="3" borderId="6" xfId="0" applyNumberForma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174" fontId="0" fillId="3" borderId="6" xfId="0" applyNumberFormat="1" applyFill="1" applyBorder="1" applyAlignment="1">
      <alignment horizontal="center"/>
    </xf>
    <xf numFmtId="165" fontId="0" fillId="3" borderId="6" xfId="0" applyNumberFormat="1" applyFill="1" applyBorder="1" applyAlignment="1">
      <alignment horizontal="center"/>
    </xf>
    <xf numFmtId="166" fontId="0" fillId="3" borderId="6" xfId="0" applyNumberFormat="1" applyFill="1" applyBorder="1" applyAlignment="1">
      <alignment horizontal="center"/>
    </xf>
    <xf numFmtId="182" fontId="0" fillId="3" borderId="6" xfId="0" applyNumberFormat="1" applyFill="1" applyBorder="1" applyAlignment="1">
      <alignment horizontal="center"/>
    </xf>
    <xf numFmtId="0" fontId="5" fillId="0" borderId="7" xfId="0" applyFont="1" applyBorder="1"/>
    <xf numFmtId="0" fontId="1" fillId="0" borderId="8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174" fontId="0" fillId="3" borderId="10" xfId="0" applyNumberFormat="1" applyFill="1" applyBorder="1" applyAlignment="1">
      <alignment horizontal="center"/>
    </xf>
    <xf numFmtId="1" fontId="0" fillId="3" borderId="10" xfId="0" applyNumberFormat="1" applyFill="1" applyBorder="1" applyAlignment="1">
      <alignment horizontal="center"/>
    </xf>
    <xf numFmtId="165" fontId="0" fillId="3" borderId="10" xfId="0" applyNumberFormat="1" applyFill="1" applyBorder="1" applyAlignment="1">
      <alignment horizontal="center"/>
    </xf>
    <xf numFmtId="166" fontId="0" fillId="3" borderId="10" xfId="0" applyNumberFormat="1" applyFill="1" applyBorder="1" applyAlignment="1">
      <alignment horizontal="center"/>
    </xf>
    <xf numFmtId="182" fontId="0" fillId="3" borderId="10" xfId="0" applyNumberFormat="1" applyFill="1" applyBorder="1" applyAlignment="1">
      <alignment horizontal="center"/>
    </xf>
    <xf numFmtId="0" fontId="5" fillId="0" borderId="11" xfId="0" applyFont="1" applyBorder="1"/>
    <xf numFmtId="0" fontId="1" fillId="0" borderId="12" xfId="0" applyFont="1" applyFill="1" applyBorder="1" applyAlignment="1">
      <alignment horizontal="center"/>
    </xf>
    <xf numFmtId="1" fontId="0" fillId="3" borderId="14" xfId="0" applyNumberFormat="1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174" fontId="0" fillId="3" borderId="14" xfId="0" applyNumberFormat="1" applyFill="1" applyBorder="1" applyAlignment="1">
      <alignment horizontal="center"/>
    </xf>
    <xf numFmtId="165" fontId="0" fillId="3" borderId="14" xfId="0" applyNumberFormat="1" applyFill="1" applyBorder="1" applyAlignment="1">
      <alignment horizontal="center"/>
    </xf>
    <xf numFmtId="182" fontId="0" fillId="3" borderId="14" xfId="0" applyNumberFormat="1" applyFill="1" applyBorder="1" applyAlignment="1">
      <alignment horizontal="center"/>
    </xf>
    <xf numFmtId="0" fontId="5" fillId="0" borderId="15" xfId="0" applyFont="1" applyBorder="1"/>
    <xf numFmtId="0" fontId="1" fillId="0" borderId="16" xfId="0" applyFont="1" applyFill="1" applyBorder="1" applyAlignment="1">
      <alignment horizontal="center"/>
    </xf>
    <xf numFmtId="0" fontId="5" fillId="0" borderId="17" xfId="0" applyFont="1" applyBorder="1"/>
    <xf numFmtId="166" fontId="0" fillId="3" borderId="14" xfId="0" applyNumberFormat="1" applyFill="1" applyBorder="1" applyAlignment="1">
      <alignment horizontal="center"/>
    </xf>
    <xf numFmtId="168" fontId="0" fillId="3" borderId="6" xfId="0" applyNumberFormat="1" applyFill="1" applyBorder="1" applyAlignment="1">
      <alignment horizontal="center"/>
    </xf>
    <xf numFmtId="166" fontId="1" fillId="0" borderId="6" xfId="0" applyNumberFormat="1" applyFont="1" applyBorder="1" applyAlignment="1">
      <alignment horizontal="center"/>
    </xf>
    <xf numFmtId="169" fontId="1" fillId="0" borderId="6" xfId="0" applyNumberFormat="1" applyFont="1" applyBorder="1" applyAlignment="1">
      <alignment horizontal="center"/>
    </xf>
    <xf numFmtId="182" fontId="1" fillId="0" borderId="6" xfId="0" applyNumberFormat="1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5" fillId="0" borderId="16" xfId="0" applyFont="1" applyBorder="1"/>
    <xf numFmtId="0" fontId="5" fillId="0" borderId="12" xfId="0" applyFont="1" applyBorder="1"/>
    <xf numFmtId="174" fontId="0" fillId="2" borderId="14" xfId="0" applyNumberFormat="1" applyFill="1" applyBorder="1" applyAlignment="1">
      <alignment horizontal="center"/>
    </xf>
    <xf numFmtId="175" fontId="4" fillId="0" borderId="14" xfId="0" applyNumberFormat="1" applyFont="1" applyBorder="1" applyAlignment="1">
      <alignment horizontal="center"/>
    </xf>
    <xf numFmtId="180" fontId="1" fillId="5" borderId="16" xfId="0" applyNumberFormat="1" applyFont="1" applyFill="1" applyBorder="1" applyAlignment="1">
      <alignment horizontal="center"/>
    </xf>
    <xf numFmtId="174" fontId="0" fillId="4" borderId="16" xfId="0" applyNumberFormat="1" applyFill="1" applyBorder="1" applyAlignment="1">
      <alignment horizontal="center"/>
    </xf>
    <xf numFmtId="1" fontId="0" fillId="3" borderId="16" xfId="0" applyNumberFormat="1" applyFill="1" applyBorder="1" applyAlignment="1">
      <alignment horizontal="center"/>
    </xf>
    <xf numFmtId="1" fontId="0" fillId="6" borderId="12" xfId="0" applyNumberForma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180" fontId="1" fillId="5" borderId="17" xfId="0" applyNumberFormat="1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179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16" xfId="0" applyBorder="1"/>
    <xf numFmtId="174" fontId="0" fillId="3" borderId="17" xfId="0" applyNumberFormat="1" applyFill="1" applyBorder="1" applyAlignment="1">
      <alignment horizontal="center"/>
    </xf>
    <xf numFmtId="0" fontId="0" fillId="0" borderId="12" xfId="0" applyBorder="1"/>
    <xf numFmtId="176" fontId="0" fillId="4" borderId="14" xfId="0" applyNumberFormat="1" applyFill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3" borderId="20" xfId="0" applyFill="1" applyBorder="1" applyAlignment="1">
      <alignment horizontal="center"/>
    </xf>
    <xf numFmtId="167" fontId="0" fillId="3" borderId="14" xfId="0" applyNumberFormat="1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1" fillId="0" borderId="23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13" xfId="0" applyFont="1" applyBorder="1" applyAlignment="1">
      <alignment horizontal="center" wrapText="1"/>
    </xf>
    <xf numFmtId="0" fontId="1" fillId="0" borderId="20" xfId="0" applyFont="1" applyFill="1" applyBorder="1" applyAlignment="1">
      <alignment horizontal="center" wrapText="1"/>
    </xf>
    <xf numFmtId="0" fontId="1" fillId="5" borderId="18" xfId="0" applyFont="1" applyFill="1" applyBorder="1" applyAlignment="1">
      <alignment horizontal="center"/>
    </xf>
    <xf numFmtId="180" fontId="1" fillId="5" borderId="19" xfId="0" applyNumberFormat="1" applyFont="1" applyFill="1" applyBorder="1" applyAlignment="1">
      <alignment horizontal="center"/>
    </xf>
    <xf numFmtId="0" fontId="0" fillId="0" borderId="18" xfId="0" applyBorder="1" applyAlignment="1">
      <alignment horizontal="left"/>
    </xf>
    <xf numFmtId="168" fontId="0" fillId="4" borderId="2" xfId="0" applyNumberFormat="1" applyFill="1" applyBorder="1" applyAlignment="1">
      <alignment horizontal="center"/>
    </xf>
    <xf numFmtId="0" fontId="1" fillId="0" borderId="19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0" fillId="0" borderId="24" xfId="0" applyFont="1" applyBorder="1" applyAlignment="1">
      <alignment horizontal="left"/>
    </xf>
    <xf numFmtId="164" fontId="0" fillId="2" borderId="2" xfId="0" applyNumberFormat="1" applyFill="1" applyBorder="1" applyAlignment="1">
      <alignment horizontal="center"/>
    </xf>
    <xf numFmtId="0" fontId="0" fillId="2" borderId="18" xfId="0" applyFill="1" applyBorder="1"/>
    <xf numFmtId="171" fontId="0" fillId="0" borderId="17" xfId="0" applyNumberFormat="1" applyFill="1" applyBorder="1" applyAlignment="1">
      <alignment horizontal="center"/>
    </xf>
    <xf numFmtId="0" fontId="0" fillId="0" borderId="17" xfId="0" applyNumberForma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6" xfId="0" applyBorder="1" applyAlignment="1">
      <alignment horizontal="center"/>
    </xf>
    <xf numFmtId="172" fontId="0" fillId="3" borderId="27" xfId="0" applyNumberFormat="1" applyFill="1" applyBorder="1" applyAlignment="1">
      <alignment horizontal="center"/>
    </xf>
    <xf numFmtId="172" fontId="1" fillId="3" borderId="7" xfId="0" applyNumberFormat="1" applyFont="1" applyFill="1" applyBorder="1" applyAlignment="1">
      <alignment horizontal="center"/>
    </xf>
    <xf numFmtId="174" fontId="0" fillId="3" borderId="11" xfId="0" applyNumberFormat="1" applyFill="1" applyBorder="1" applyAlignment="1">
      <alignment horizontal="center"/>
    </xf>
    <xf numFmtId="173" fontId="0" fillId="3" borderId="17" xfId="0" applyNumberFormat="1" applyFill="1" applyBorder="1" applyAlignment="1">
      <alignment horizontal="center"/>
    </xf>
    <xf numFmtId="181" fontId="0" fillId="3" borderId="15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83" fontId="0" fillId="4" borderId="17" xfId="0" applyNumberFormat="1" applyFill="1" applyBorder="1" applyAlignment="1">
      <alignment horizontal="center"/>
    </xf>
    <xf numFmtId="170" fontId="3" fillId="3" borderId="17" xfId="0" applyNumberFormat="1" applyFont="1" applyFill="1" applyBorder="1" applyAlignment="1">
      <alignment horizontal="center"/>
    </xf>
    <xf numFmtId="166" fontId="0" fillId="0" borderId="16" xfId="0" applyNumberFormat="1" applyBorder="1" applyAlignment="1">
      <alignment horizontal="center"/>
    </xf>
    <xf numFmtId="166" fontId="0" fillId="3" borderId="17" xfId="0" applyNumberFormat="1" applyFill="1" applyBorder="1" applyAlignment="1">
      <alignment horizontal="center"/>
    </xf>
    <xf numFmtId="166" fontId="0" fillId="3" borderId="17" xfId="0" applyNumberFormat="1" applyFont="1" applyFill="1" applyBorder="1" applyAlignment="1">
      <alignment horizontal="center"/>
    </xf>
    <xf numFmtId="170" fontId="1" fillId="3" borderId="17" xfId="0" applyNumberFormat="1" applyFont="1" applyFill="1" applyBorder="1" applyAlignment="1">
      <alignment horizontal="center"/>
    </xf>
    <xf numFmtId="10" fontId="3" fillId="3" borderId="15" xfId="0" applyNumberFormat="1" applyFont="1" applyFill="1" applyBorder="1" applyAlignment="1">
      <alignment horizontal="center"/>
    </xf>
    <xf numFmtId="10" fontId="3" fillId="4" borderId="17" xfId="0" applyNumberFormat="1" applyFont="1" applyFill="1" applyBorder="1" applyAlignment="1">
      <alignment horizontal="center"/>
    </xf>
    <xf numFmtId="0" fontId="0" fillId="0" borderId="26" xfId="0" applyFont="1" applyFill="1" applyBorder="1" applyAlignment="1">
      <alignment horizontal="center"/>
    </xf>
    <xf numFmtId="166" fontId="0" fillId="3" borderId="27" xfId="0" applyNumberFormat="1" applyFont="1" applyFill="1" applyBorder="1" applyAlignment="1">
      <alignment horizontal="center"/>
    </xf>
    <xf numFmtId="166" fontId="0" fillId="3" borderId="11" xfId="0" applyNumberFormat="1" applyFont="1" applyFill="1" applyBorder="1" applyAlignment="1">
      <alignment horizontal="center"/>
    </xf>
    <xf numFmtId="0" fontId="0" fillId="0" borderId="8" xfId="0" applyBorder="1"/>
    <xf numFmtId="164" fontId="0" fillId="3" borderId="10" xfId="0" applyNumberFormat="1" applyFill="1" applyBorder="1"/>
    <xf numFmtId="170" fontId="0" fillId="3" borderId="10" xfId="0" applyNumberFormat="1" applyFill="1" applyBorder="1"/>
    <xf numFmtId="170" fontId="0" fillId="3" borderId="11" xfId="0" applyNumberFormat="1" applyFill="1" applyBorder="1"/>
    <xf numFmtId="170" fontId="0" fillId="3" borderId="17" xfId="0" applyNumberFormat="1" applyFill="1" applyBorder="1"/>
    <xf numFmtId="164" fontId="0" fillId="3" borderId="14" xfId="0" applyNumberFormat="1" applyFill="1" applyBorder="1"/>
    <xf numFmtId="170" fontId="0" fillId="3" borderId="14" xfId="0" applyNumberFormat="1" applyFill="1" applyBorder="1"/>
    <xf numFmtId="170" fontId="0" fillId="3" borderId="15" xfId="0" applyNumberFormat="1" applyFill="1" applyBorder="1"/>
    <xf numFmtId="10" fontId="0" fillId="3" borderId="17" xfId="0" applyNumberFormat="1" applyFill="1" applyBorder="1"/>
    <xf numFmtId="10" fontId="0" fillId="3" borderId="15" xfId="0" applyNumberFormat="1" applyFill="1" applyBorder="1"/>
    <xf numFmtId="10" fontId="0" fillId="3" borderId="19" xfId="0" applyNumberFormat="1" applyFill="1" applyBorder="1"/>
    <xf numFmtId="0" fontId="0" fillId="0" borderId="5" xfId="0" applyBorder="1" applyAlignment="1">
      <alignment horizontal="center"/>
    </xf>
    <xf numFmtId="170" fontId="0" fillId="3" borderId="7" xfId="0" applyNumberFormat="1" applyFill="1" applyBorder="1"/>
    <xf numFmtId="174" fontId="0" fillId="4" borderId="15" xfId="0" applyNumberFormat="1" applyFill="1" applyBorder="1" applyAlignment="1">
      <alignment horizontal="center"/>
    </xf>
    <xf numFmtId="0" fontId="1" fillId="0" borderId="28" xfId="0" applyFont="1" applyFill="1" applyBorder="1" applyAlignment="1">
      <alignment horizontal="center"/>
    </xf>
    <xf numFmtId="1" fontId="0" fillId="3" borderId="4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74" fontId="0" fillId="3" borderId="4" xfId="0" applyNumberFormat="1" applyFill="1" applyBorder="1" applyAlignment="1">
      <alignment horizontal="center"/>
    </xf>
    <xf numFmtId="165" fontId="0" fillId="3" borderId="4" xfId="0" applyNumberFormat="1" applyFill="1" applyBorder="1" applyAlignment="1">
      <alignment horizontal="center"/>
    </xf>
    <xf numFmtId="166" fontId="0" fillId="3" borderId="4" xfId="0" applyNumberFormat="1" applyFill="1" applyBorder="1" applyAlignment="1">
      <alignment horizontal="center"/>
    </xf>
    <xf numFmtId="182" fontId="0" fillId="3" borderId="4" xfId="0" applyNumberFormat="1" applyFill="1" applyBorder="1" applyAlignment="1">
      <alignment horizontal="center"/>
    </xf>
    <xf numFmtId="0" fontId="0" fillId="0" borderId="26" xfId="0" applyBorder="1"/>
    <xf numFmtId="176" fontId="0" fillId="4" borderId="3" xfId="0" applyNumberFormat="1" applyFill="1" applyBorder="1" applyAlignment="1">
      <alignment horizontal="center"/>
    </xf>
    <xf numFmtId="0" fontId="1" fillId="0" borderId="32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9" xfId="0" applyFont="1" applyFill="1" applyBorder="1" applyAlignment="1">
      <alignment horizontal="center" wrapText="1"/>
    </xf>
    <xf numFmtId="0" fontId="1" fillId="0" borderId="33" xfId="0" applyFont="1" applyFill="1" applyBorder="1" applyAlignment="1">
      <alignment horizontal="center" wrapText="1"/>
    </xf>
    <xf numFmtId="166" fontId="1" fillId="0" borderId="13" xfId="0" applyNumberFormat="1" applyFont="1" applyBorder="1" applyAlignment="1">
      <alignment horizontal="center"/>
    </xf>
    <xf numFmtId="169" fontId="1" fillId="0" borderId="13" xfId="0" applyNumberFormat="1" applyFont="1" applyBorder="1" applyAlignment="1">
      <alignment horizontal="center"/>
    </xf>
    <xf numFmtId="182" fontId="1" fillId="0" borderId="13" xfId="0" applyNumberFormat="1" applyFont="1" applyFill="1" applyBorder="1" applyAlignment="1">
      <alignment horizontal="center"/>
    </xf>
    <xf numFmtId="1" fontId="1" fillId="0" borderId="20" xfId="0" applyNumberFormat="1" applyFont="1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174" fontId="0" fillId="6" borderId="17" xfId="0" applyNumberFormat="1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178" fontId="0" fillId="3" borderId="6" xfId="0" applyNumberFormat="1" applyFill="1" applyBorder="1" applyAlignment="1">
      <alignment horizontal="center"/>
    </xf>
    <xf numFmtId="174" fontId="0" fillId="4" borderId="27" xfId="0" applyNumberFormat="1" applyFill="1" applyBorder="1" applyAlignment="1">
      <alignment horizontal="center"/>
    </xf>
    <xf numFmtId="174" fontId="0" fillId="4" borderId="17" xfId="0" applyNumberFormat="1" applyFill="1" applyBorder="1" applyAlignment="1">
      <alignment horizontal="center"/>
    </xf>
    <xf numFmtId="176" fontId="0" fillId="6" borderId="1" xfId="0" applyNumberForma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177" fontId="0" fillId="4" borderId="11" xfId="0" applyNumberFormat="1" applyFill="1" applyBorder="1" applyAlignment="1">
      <alignment horizontal="center"/>
    </xf>
    <xf numFmtId="167" fontId="0" fillId="4" borderId="17" xfId="0" applyNumberFormat="1" applyFill="1" applyBorder="1" applyAlignment="1">
      <alignment horizontal="center"/>
    </xf>
    <xf numFmtId="182" fontId="0" fillId="3" borderId="1" xfId="0" applyNumberFormat="1" applyFont="1" applyFill="1" applyBorder="1" applyAlignment="1">
      <alignment horizontal="center"/>
    </xf>
    <xf numFmtId="0" fontId="0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184" fontId="0" fillId="2" borderId="17" xfId="0" applyNumberFormat="1" applyFill="1" applyBorder="1" applyAlignment="1">
      <alignment horizontal="center"/>
    </xf>
    <xf numFmtId="164" fontId="0" fillId="3" borderId="7" xfId="0" applyNumberFormat="1" applyFill="1" applyBorder="1" applyAlignment="1">
      <alignment horizontal="center"/>
    </xf>
    <xf numFmtId="181" fontId="0" fillId="2" borderId="17" xfId="0" applyNumberFormat="1" applyFill="1" applyBorder="1" applyAlignment="1">
      <alignment horizontal="center"/>
    </xf>
    <xf numFmtId="181" fontId="0" fillId="2" borderId="15" xfId="0" applyNumberFormat="1" applyFill="1" applyBorder="1" applyAlignment="1">
      <alignment horizontal="center"/>
    </xf>
    <xf numFmtId="10" fontId="0" fillId="0" borderId="0" xfId="0" applyNumberFormat="1"/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/>
    <xf numFmtId="0" fontId="0" fillId="0" borderId="7" xfId="0" applyBorder="1" applyAlignment="1"/>
    <xf numFmtId="0" fontId="2" fillId="0" borderId="1" xfId="0" applyFont="1" applyBorder="1" applyAlignment="1"/>
    <xf numFmtId="0" fontId="2" fillId="0" borderId="17" xfId="0" applyFont="1" applyBorder="1" applyAlignment="1"/>
    <xf numFmtId="0" fontId="2" fillId="0" borderId="2" xfId="0" applyFont="1" applyBorder="1" applyAlignment="1"/>
    <xf numFmtId="0" fontId="2" fillId="0" borderId="19" xfId="0" applyFont="1" applyBorder="1" applyAlignment="1"/>
    <xf numFmtId="0" fontId="1" fillId="0" borderId="9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0" fillId="0" borderId="19" xfId="0" applyBorder="1" applyAlignment="1"/>
    <xf numFmtId="0" fontId="0" fillId="0" borderId="1" xfId="0" applyBorder="1" applyAlignment="1">
      <alignment horizontal="left"/>
    </xf>
    <xf numFmtId="0" fontId="0" fillId="0" borderId="1" xfId="0" applyBorder="1" applyAlignment="1"/>
    <xf numFmtId="0" fontId="0" fillId="0" borderId="17" xfId="0" applyBorder="1" applyAlignment="1"/>
    <xf numFmtId="0" fontId="1" fillId="0" borderId="14" xfId="0" applyFont="1" applyBorder="1" applyAlignment="1">
      <alignment horizontal="left"/>
    </xf>
    <xf numFmtId="0" fontId="0" fillId="0" borderId="14" xfId="0" applyBorder="1" applyAlignment="1"/>
    <xf numFmtId="0" fontId="0" fillId="0" borderId="15" xfId="0" applyBorder="1" applyAlignment="1"/>
    <xf numFmtId="0" fontId="1" fillId="0" borderId="21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5" xfId="0" applyBorder="1" applyAlignment="1"/>
    <xf numFmtId="0" fontId="0" fillId="0" borderId="22" xfId="0" applyBorder="1" applyAlignment="1"/>
    <xf numFmtId="0" fontId="1" fillId="0" borderId="30" xfId="0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2" fillId="0" borderId="14" xfId="0" applyFont="1" applyBorder="1" applyAlignment="1"/>
    <xf numFmtId="0" fontId="1" fillId="5" borderId="21" xfId="0" applyFont="1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1" fillId="0" borderId="9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164" fontId="0" fillId="2" borderId="32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64" fontId="0" fillId="3" borderId="33" xfId="0" applyNumberFormat="1" applyFill="1" applyBorder="1" applyAlignment="1">
      <alignment horizontal="center"/>
    </xf>
    <xf numFmtId="0" fontId="0" fillId="0" borderId="1" xfId="0" applyBorder="1"/>
    <xf numFmtId="0" fontId="0" fillId="4" borderId="16" xfId="0" applyFill="1" applyBorder="1"/>
    <xf numFmtId="0" fontId="0" fillId="0" borderId="17" xfId="0" applyBorder="1"/>
    <xf numFmtId="0" fontId="0" fillId="2" borderId="16" xfId="0" applyFill="1" applyBorder="1"/>
    <xf numFmtId="0" fontId="0" fillId="3" borderId="16" xfId="0" applyFill="1" applyBorder="1"/>
    <xf numFmtId="0" fontId="0" fillId="3" borderId="12" xfId="0" applyFill="1" applyBorder="1"/>
    <xf numFmtId="0" fontId="0" fillId="0" borderId="14" xfId="0" applyBorder="1"/>
    <xf numFmtId="0" fontId="0" fillId="0" borderId="15" xfId="0" applyBorder="1"/>
    <xf numFmtId="0" fontId="0" fillId="4" borderId="18" xfId="0" applyFill="1" applyBorder="1"/>
    <xf numFmtId="0" fontId="0" fillId="0" borderId="2" xfId="0" applyBorder="1"/>
    <xf numFmtId="0" fontId="0" fillId="0" borderId="19" xfId="0" applyBorder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Pop</a:t>
            </a:r>
            <a:r>
              <a:rPr lang="en-US" baseline="0"/>
              <a:t> Up Battery Power</a:t>
            </a:r>
            <a:endParaRPr lang="en-US"/>
          </a:p>
        </c:rich>
      </c:tx>
      <c:layout>
        <c:manualLayout>
          <c:xMode val="edge"/>
          <c:yMode val="edge"/>
          <c:x val="0.39706394550614665"/>
          <c:y val="1.350210611592249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2959894913798016E-2"/>
          <c:y val="7.0231387743198773E-2"/>
          <c:w val="0.78224212039720198"/>
          <c:h val="0.83865866766654174"/>
        </c:manualLayout>
      </c:layout>
      <c:scatterChart>
        <c:scatterStyle val="lineMarker"/>
        <c:varyColors val="0"/>
        <c:ser>
          <c:idx val="2"/>
          <c:order val="0"/>
          <c:tx>
            <c:strRef>
              <c:f>'Rev 5.3 Battery Calculator'!$F$108</c:f>
              <c:strCache>
                <c:ptCount val="1"/>
                <c:pt idx="0">
                  <c:v>Initial Battery (Nominal)</c:v>
                </c:pt>
              </c:strCache>
            </c:strRef>
          </c:tx>
          <c:spPr>
            <a:ln w="28575"/>
          </c:spPr>
          <c:marker>
            <c:symbol val="none"/>
          </c:marker>
          <c:xVal>
            <c:numRef>
              <c:f>'Rev 5.3 Battery Calculator'!$C$109:$C$114</c:f>
              <c:numCache>
                <c:formatCode>m/d/yyyy\ h:mm:ss</c:formatCode>
                <c:ptCount val="6"/>
                <c:pt idx="0">
                  <c:v>44012.5</c:v>
                </c:pt>
                <c:pt idx="1">
                  <c:v>44469.416666666664</c:v>
                </c:pt>
                <c:pt idx="2">
                  <c:v>44469.584374999999</c:v>
                </c:pt>
                <c:pt idx="3">
                  <c:v>44472.5</c:v>
                </c:pt>
                <c:pt idx="4">
                  <c:v>44473.730555555558</c:v>
                </c:pt>
                <c:pt idx="5">
                  <c:v>44503.730555555558</c:v>
                </c:pt>
              </c:numCache>
            </c:numRef>
          </c:xVal>
          <c:yVal>
            <c:numRef>
              <c:f>'Rev 5.3 Battery Calculator'!$F$109:$F$114</c:f>
              <c:numCache>
                <c:formatCode>0.00\ "Ah"</c:formatCode>
                <c:ptCount val="6"/>
                <c:pt idx="0">
                  <c:v>42</c:v>
                </c:pt>
                <c:pt idx="1">
                  <c:v>42</c:v>
                </c:pt>
                <c:pt idx="2">
                  <c:v>42</c:v>
                </c:pt>
                <c:pt idx="3">
                  <c:v>42</c:v>
                </c:pt>
                <c:pt idx="4">
                  <c:v>42</c:v>
                </c:pt>
                <c:pt idx="5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51-4619-9787-A29DEE7A81B0}"/>
            </c:ext>
          </c:extLst>
        </c:ser>
        <c:ser>
          <c:idx val="1"/>
          <c:order val="1"/>
          <c:tx>
            <c:strRef>
              <c:f>'Rev 5.3 Battery Calculator'!$E$108</c:f>
              <c:strCache>
                <c:ptCount val="1"/>
                <c:pt idx="0">
                  <c:v>Initial Battery (De-Rated)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none"/>
          </c:marker>
          <c:xVal>
            <c:numRef>
              <c:f>'Rev 5.3 Battery Calculator'!$C$109:$C$114</c:f>
              <c:numCache>
                <c:formatCode>m/d/yyyy\ h:mm:ss</c:formatCode>
                <c:ptCount val="6"/>
                <c:pt idx="0">
                  <c:v>44012.5</c:v>
                </c:pt>
                <c:pt idx="1">
                  <c:v>44469.416666666664</c:v>
                </c:pt>
                <c:pt idx="2">
                  <c:v>44469.584374999999</c:v>
                </c:pt>
                <c:pt idx="3">
                  <c:v>44472.5</c:v>
                </c:pt>
                <c:pt idx="4">
                  <c:v>44473.730555555558</c:v>
                </c:pt>
                <c:pt idx="5">
                  <c:v>44503.730555555558</c:v>
                </c:pt>
              </c:numCache>
            </c:numRef>
          </c:xVal>
          <c:yVal>
            <c:numRef>
              <c:f>'Rev 5.3 Battery Calculator'!$E$109:$E$114</c:f>
              <c:numCache>
                <c:formatCode>0.00\ "Ah"</c:formatCode>
                <c:ptCount val="6"/>
                <c:pt idx="0">
                  <c:v>31.5</c:v>
                </c:pt>
                <c:pt idx="1">
                  <c:v>31.5</c:v>
                </c:pt>
                <c:pt idx="2">
                  <c:v>31.5</c:v>
                </c:pt>
                <c:pt idx="3">
                  <c:v>31.5</c:v>
                </c:pt>
                <c:pt idx="4">
                  <c:v>31.5</c:v>
                </c:pt>
                <c:pt idx="5">
                  <c:v>31.5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51-4619-9787-A29DEE7A81B0}"/>
            </c:ext>
          </c:extLst>
        </c:ser>
        <c:ser>
          <c:idx val="0"/>
          <c:order val="2"/>
          <c:tx>
            <c:v>Estimated Battery Remaining (De-Rated for Cold)</c:v>
          </c:tx>
          <c:spPr>
            <a:ln>
              <a:prstDash val="sysDash"/>
            </a:ln>
          </c:spPr>
          <c:marker>
            <c:symbol val="square"/>
            <c:size val="8"/>
          </c:marker>
          <c:dLbls>
            <c:dLbl>
              <c:idx val="0"/>
              <c:layout>
                <c:manualLayout>
                  <c:x val="-4.9630326814660668E-2"/>
                  <c:y val="-2.612244226323194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Unit Start 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F051-4619-9787-A29DEE7A81B0}"/>
                </c:ext>
              </c:extLst>
            </c:dLbl>
            <c:dLbl>
              <c:idx val="1"/>
              <c:layout>
                <c:manualLayout>
                  <c:x val="-4.6119394671094403E-2"/>
                  <c:y val="-2.592121240917486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Profile Start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F051-4619-9787-A29DEE7A81B0}"/>
                </c:ext>
              </c:extLst>
            </c:dLbl>
            <c:dLbl>
              <c:idx val="2"/>
              <c:layout>
                <c:manualLayout>
                  <c:x val="-3.7481985954619886E-2"/>
                  <c:y val="4.446063657736668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Profile End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F051-4619-9787-A29DEE7A81B0}"/>
                </c:ext>
              </c:extLst>
            </c:dLbl>
            <c:dLbl>
              <c:idx val="3"/>
              <c:layout>
                <c:manualLayout>
                  <c:x val="0"/>
                  <c:y val="2.1667968244095788E-2"/>
                </c:manualLayout>
              </c:layout>
              <c:tx>
                <c:rich>
                  <a:bodyPr/>
                  <a:lstStyle/>
                  <a:p>
                    <a:r>
                      <a:rPr lang="en-US" sz="1000" b="0" i="0" baseline="0">
                        <a:effectLst/>
                      </a:rPr>
                      <a:t>First GPS Satellite Acquired</a:t>
                    </a:r>
                    <a:endParaRPr lang="en-US" sz="1000">
                      <a:effectLst/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F051-4619-9787-A29DEE7A81B0}"/>
                </c:ext>
              </c:extLst>
            </c:dLbl>
            <c:dLbl>
              <c:idx val="4"/>
              <c:layout>
                <c:manualLayout>
                  <c:x val="5.2651263702046093E-3"/>
                  <c:y val="1.3749931172792353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All </a:t>
                    </a:r>
                    <a:r>
                      <a:rPr lang="en-US" baseline="0"/>
                      <a:t>Under Ice  Data Sent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F051-4619-9787-A29DEE7A81B0}"/>
                </c:ext>
              </c:extLst>
            </c:dLbl>
            <c:dLbl>
              <c:idx val="5"/>
              <c:layout>
                <c:manualLayout>
                  <c:x val="3.307835069595623E-4"/>
                  <c:y val="-8.512238834675884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SST Drifter Mode End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F051-4619-9787-A29DEE7A81B0}"/>
                </c:ext>
              </c:extLst>
            </c:dLbl>
            <c:dLbl>
              <c:idx val="6"/>
              <c:layout>
                <c:manualLayout>
                  <c:x val="-4.8180233882703797E-3"/>
                  <c:y val="5.3705689573355676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Drifter Mode End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051-4619-9787-A29DEE7A81B0}"/>
                </c:ext>
              </c:extLst>
            </c:dLbl>
            <c:dLbl>
              <c:idx val="7"/>
              <c:layout>
                <c:manualLayout>
                  <c:x val="-3.8416981830918162E-3"/>
                  <c:y val="6.530439158706520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Drifter Mode End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051-4619-9787-A29DEE7A81B0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'Rev 5.3 Battery Calculator'!$C$109:$C$114</c:f>
              <c:numCache>
                <c:formatCode>m/d/yyyy\ h:mm:ss</c:formatCode>
                <c:ptCount val="6"/>
                <c:pt idx="0">
                  <c:v>44012.5</c:v>
                </c:pt>
                <c:pt idx="1">
                  <c:v>44469.416666666664</c:v>
                </c:pt>
                <c:pt idx="2">
                  <c:v>44469.584374999999</c:v>
                </c:pt>
                <c:pt idx="3">
                  <c:v>44472.5</c:v>
                </c:pt>
                <c:pt idx="4">
                  <c:v>44473.730555555558</c:v>
                </c:pt>
                <c:pt idx="5">
                  <c:v>44503.730555555558</c:v>
                </c:pt>
              </c:numCache>
            </c:numRef>
          </c:xVal>
          <c:yVal>
            <c:numRef>
              <c:f>'Rev 5.3 Battery Calculator'!$D$109:$D$114</c:f>
              <c:numCache>
                <c:formatCode>0.00\ "Ah"</c:formatCode>
                <c:ptCount val="6"/>
                <c:pt idx="0">
                  <c:v>31.5</c:v>
                </c:pt>
                <c:pt idx="1">
                  <c:v>30.074159999999999</c:v>
                </c:pt>
                <c:pt idx="2">
                  <c:v>29.779084999999998</c:v>
                </c:pt>
                <c:pt idx="3">
                  <c:v>29.763459999999998</c:v>
                </c:pt>
                <c:pt idx="4">
                  <c:v>27.070037777777777</c:v>
                </c:pt>
                <c:pt idx="5">
                  <c:v>23.777798888888888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051-4619-9787-A29DEE7A8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11648"/>
        <c:axId val="42013824"/>
      </c:scatterChart>
      <c:valAx>
        <c:axId val="42011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m/d/yyyy" sourceLinked="0"/>
        <c:majorTickMark val="out"/>
        <c:minorTickMark val="none"/>
        <c:tickLblPos val="nextTo"/>
        <c:crossAx val="42013824"/>
        <c:crosses val="autoZero"/>
        <c:crossBetween val="midCat"/>
      </c:valAx>
      <c:valAx>
        <c:axId val="4201382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Battery Remaining</a:t>
                </a:r>
              </a:p>
            </c:rich>
          </c:tx>
          <c:layout/>
          <c:overlay val="0"/>
        </c:title>
        <c:numFmt formatCode="0.00\ &quot;Ah&quot;" sourceLinked="1"/>
        <c:majorTickMark val="out"/>
        <c:minorTickMark val="none"/>
        <c:tickLblPos val="nextTo"/>
        <c:crossAx val="42011648"/>
        <c:crosses val="autoZero"/>
        <c:crossBetween val="midCat"/>
        <c:majorUnit val="5"/>
      </c:valAx>
    </c:plotArea>
    <c:legend>
      <c:legendPos val="r"/>
      <c:layout>
        <c:manualLayout>
          <c:xMode val="edge"/>
          <c:yMode val="edge"/>
          <c:x val="0.23564015341455813"/>
          <c:y val="0.51878417913708108"/>
          <c:w val="0.29834856735623277"/>
          <c:h val="0.1148121484814398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Usage Chart</a:t>
            </a:r>
          </a:p>
        </c:rich>
      </c:tx>
      <c:layout>
        <c:manualLayout>
          <c:xMode val="edge"/>
          <c:yMode val="edge"/>
          <c:x val="0.3747372096196831"/>
          <c:y val="2.843488810439730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311812124297284"/>
          <c:y val="0.30833797919103545"/>
          <c:w val="0.64749367593219542"/>
          <c:h val="0.63589013833940888"/>
        </c:manualLayout>
      </c:layout>
      <c:pieChart>
        <c:varyColors val="1"/>
        <c:ser>
          <c:idx val="0"/>
          <c:order val="0"/>
          <c:dLbls>
            <c:numFmt formatCode="0.0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'Rev 5.3 Battery Calculator'!$B$118:$B$126</c:f>
              <c:strCache>
                <c:ptCount val="9"/>
                <c:pt idx="0">
                  <c:v>Anchored Before Release</c:v>
                </c:pt>
                <c:pt idx="1">
                  <c:v>Profile</c:v>
                </c:pt>
                <c:pt idx="2">
                  <c:v>Asleep</c:v>
                </c:pt>
                <c:pt idx="3">
                  <c:v>Under Ice - Sampling</c:v>
                </c:pt>
                <c:pt idx="4">
                  <c:v>Under Ice - Imaging</c:v>
                </c:pt>
                <c:pt idx="5">
                  <c:v>Under Ice - Search for GPS Satellite</c:v>
                </c:pt>
                <c:pt idx="6">
                  <c:v>Sending Bottom and Under Ice Data</c:v>
                </c:pt>
                <c:pt idx="7">
                  <c:v>SST Drifter Mode</c:v>
                </c:pt>
                <c:pt idx="8">
                  <c:v>Extra Power Available</c:v>
                </c:pt>
              </c:strCache>
            </c:strRef>
          </c:cat>
          <c:val>
            <c:numRef>
              <c:f>'Rev 5.3 Battery Calculator'!$C$118:$C$126</c:f>
              <c:numCache>
                <c:formatCode>0.00%</c:formatCode>
                <c:ptCount val="9"/>
                <c:pt idx="0">
                  <c:v>4.5264761904761905E-2</c:v>
                </c:pt>
                <c:pt idx="1">
                  <c:v>9.367460317460316E-3</c:v>
                </c:pt>
                <c:pt idx="2">
                  <c:v>5.6032880952381191E-3</c:v>
                </c:pt>
                <c:pt idx="3">
                  <c:v>4.5634920634920638E-4</c:v>
                </c:pt>
                <c:pt idx="4">
                  <c:v>3.9682539682539683E-5</c:v>
                </c:pt>
                <c:pt idx="5">
                  <c:v>7.2380952380952381E-4</c:v>
                </c:pt>
                <c:pt idx="6">
                  <c:v>8.5505467372134034E-2</c:v>
                </c:pt>
                <c:pt idx="7">
                  <c:v>0.10451552028218694</c:v>
                </c:pt>
                <c:pt idx="8">
                  <c:v>0.7485236607583774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BC-4536-846C-7C733EE8DCF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307601</xdr:colOff>
      <xdr:row>85</xdr:row>
      <xdr:rowOff>186578</xdr:rowOff>
    </xdr:from>
    <xdr:to>
      <xdr:col>19</xdr:col>
      <xdr:colOff>221876</xdr:colOff>
      <xdr:row>117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481851</xdr:colOff>
      <xdr:row>118</xdr:row>
      <xdr:rowOff>11205</xdr:rowOff>
    </xdr:from>
    <xdr:to>
      <xdr:col>14</xdr:col>
      <xdr:colOff>481853</xdr:colOff>
      <xdr:row>150</xdr:row>
      <xdr:rowOff>156881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N131"/>
  <sheetViews>
    <sheetView tabSelected="1" topLeftCell="B16" zoomScale="85" zoomScaleNormal="85" workbookViewId="0">
      <selection activeCell="F32" sqref="F32"/>
    </sheetView>
  </sheetViews>
  <sheetFormatPr defaultRowHeight="15" x14ac:dyDescent="0.25"/>
  <cols>
    <col min="2" max="2" width="50.42578125" customWidth="1"/>
    <col min="3" max="3" width="23" customWidth="1"/>
    <col min="4" max="4" width="15.85546875" customWidth="1"/>
    <col min="5" max="5" width="19.28515625" customWidth="1"/>
    <col min="6" max="6" width="17.7109375" customWidth="1"/>
    <col min="7" max="7" width="21" customWidth="1"/>
    <col min="8" max="8" width="12.42578125" customWidth="1"/>
    <col min="9" max="9" width="14" customWidth="1"/>
    <col min="10" max="10" width="15.85546875" customWidth="1"/>
    <col min="11" max="11" width="15.7109375" customWidth="1"/>
    <col min="12" max="12" width="11" customWidth="1"/>
    <col min="13" max="13" width="11.42578125" customWidth="1"/>
    <col min="14" max="14" width="11.7109375" customWidth="1"/>
    <col min="15" max="15" width="12.28515625" customWidth="1"/>
  </cols>
  <sheetData>
    <row r="1" spans="2:14" ht="15.75" thickBot="1" x14ac:dyDescent="0.3"/>
    <row r="2" spans="2:14" ht="15.75" thickBot="1" x14ac:dyDescent="0.3">
      <c r="B2" s="205" t="s">
        <v>13</v>
      </c>
      <c r="C2" s="206"/>
      <c r="D2" s="207"/>
      <c r="E2" s="207"/>
      <c r="F2" s="207"/>
      <c r="G2" s="208"/>
      <c r="I2" s="185" t="s">
        <v>33</v>
      </c>
      <c r="J2" s="186"/>
      <c r="K2" s="187"/>
      <c r="L2" s="187"/>
      <c r="M2" s="187"/>
      <c r="N2" s="188"/>
    </row>
    <row r="3" spans="2:14" x14ac:dyDescent="0.25">
      <c r="B3" s="104" t="s">
        <v>28</v>
      </c>
      <c r="C3" s="105">
        <v>43952.5</v>
      </c>
      <c r="D3" s="191"/>
      <c r="E3" s="191"/>
      <c r="F3" s="191"/>
      <c r="G3" s="192"/>
      <c r="I3" s="106"/>
      <c r="J3" s="196" t="s">
        <v>34</v>
      </c>
      <c r="K3" s="197"/>
      <c r="L3" s="197"/>
      <c r="M3" s="197"/>
      <c r="N3" s="198"/>
    </row>
    <row r="4" spans="2:14" x14ac:dyDescent="0.25">
      <c r="B4" s="61" t="s">
        <v>69</v>
      </c>
      <c r="C4" s="8">
        <v>44012.5</v>
      </c>
      <c r="D4" s="189" t="str">
        <f ca="1">IF(C4&lt;TODAY(),"&lt;-- WARNING!!! START TIME MUST BE AFTER TODAY'S DATE","")</f>
        <v/>
      </c>
      <c r="E4" s="189"/>
      <c r="F4" s="189"/>
      <c r="G4" s="190"/>
      <c r="I4" s="65"/>
      <c r="J4" s="199" t="s">
        <v>36</v>
      </c>
      <c r="K4" s="200"/>
      <c r="L4" s="200"/>
      <c r="M4" s="200"/>
      <c r="N4" s="201"/>
    </row>
    <row r="5" spans="2:14" x14ac:dyDescent="0.25">
      <c r="B5" s="61" t="s">
        <v>0</v>
      </c>
      <c r="C5" s="8">
        <v>44469.5</v>
      </c>
      <c r="D5" s="189" t="str">
        <f>IF(C5&lt;C4,"&lt;-- WARNING!!! RELEASE TIME IS BEFORE UNIT START","")</f>
        <v/>
      </c>
      <c r="E5" s="189"/>
      <c r="F5" s="189"/>
      <c r="G5" s="190"/>
      <c r="I5" s="66"/>
      <c r="J5" s="199" t="s">
        <v>35</v>
      </c>
      <c r="K5" s="200"/>
      <c r="L5" s="200"/>
      <c r="M5" s="200"/>
      <c r="N5" s="201"/>
    </row>
    <row r="6" spans="2:14" x14ac:dyDescent="0.25">
      <c r="B6" s="61" t="s">
        <v>14</v>
      </c>
      <c r="C6" s="9">
        <v>3600</v>
      </c>
      <c r="D6" s="10">
        <f>C6/60/60</f>
        <v>1</v>
      </c>
      <c r="E6" s="189" t="s">
        <v>18</v>
      </c>
      <c r="F6" s="200"/>
      <c r="G6" s="201"/>
      <c r="I6" s="67"/>
      <c r="J6" s="199" t="s">
        <v>37</v>
      </c>
      <c r="K6" s="200"/>
      <c r="L6" s="200"/>
      <c r="M6" s="200"/>
      <c r="N6" s="201"/>
    </row>
    <row r="7" spans="2:14" ht="15.75" thickBot="1" x14ac:dyDescent="0.3">
      <c r="B7" s="61" t="s">
        <v>74</v>
      </c>
      <c r="C7" s="9">
        <v>7200</v>
      </c>
      <c r="D7" s="11">
        <f>C7/60/60</f>
        <v>2</v>
      </c>
      <c r="E7" s="189" t="s">
        <v>102</v>
      </c>
      <c r="F7" s="200"/>
      <c r="G7" s="201"/>
      <c r="I7" s="68"/>
      <c r="J7" s="202" t="s">
        <v>44</v>
      </c>
      <c r="K7" s="203"/>
      <c r="L7" s="203"/>
      <c r="M7" s="203"/>
      <c r="N7" s="204"/>
    </row>
    <row r="8" spans="2:14" x14ac:dyDescent="0.25">
      <c r="B8" s="61" t="s">
        <v>16</v>
      </c>
      <c r="C8" s="9">
        <v>3600</v>
      </c>
      <c r="D8" s="11">
        <f>C8/60/60</f>
        <v>1</v>
      </c>
      <c r="E8" s="189" t="s">
        <v>18</v>
      </c>
      <c r="F8" s="200"/>
      <c r="G8" s="201"/>
    </row>
    <row r="9" spans="2:14" x14ac:dyDescent="0.25">
      <c r="B9" s="61" t="s">
        <v>17</v>
      </c>
      <c r="C9" s="9">
        <v>90</v>
      </c>
      <c r="D9" s="11"/>
      <c r="E9" s="189" t="s">
        <v>97</v>
      </c>
      <c r="F9" s="200"/>
      <c r="G9" s="201"/>
    </row>
    <row r="10" spans="2:14" ht="15.75" thickBot="1" x14ac:dyDescent="0.3">
      <c r="B10" s="62" t="s">
        <v>82</v>
      </c>
      <c r="C10" s="63">
        <f>3600*3</f>
        <v>10800</v>
      </c>
      <c r="D10" s="64">
        <f>C10/60/60</f>
        <v>3</v>
      </c>
      <c r="E10" s="211" t="s">
        <v>125</v>
      </c>
      <c r="F10" s="203"/>
      <c r="G10" s="204"/>
    </row>
    <row r="11" spans="2:14" ht="15.75" thickBot="1" x14ac:dyDescent="0.3"/>
    <row r="12" spans="2:14" ht="15.75" thickBot="1" x14ac:dyDescent="0.3">
      <c r="B12" s="212" t="s">
        <v>30</v>
      </c>
      <c r="C12" s="213"/>
      <c r="F12" s="172" t="s">
        <v>121</v>
      </c>
      <c r="G12" s="173"/>
      <c r="H12" s="174"/>
    </row>
    <row r="13" spans="2:14" ht="15.75" thickBot="1" x14ac:dyDescent="0.3">
      <c r="B13" s="97" t="s">
        <v>2</v>
      </c>
      <c r="C13" s="98">
        <f>FLOOR(C16,1)</f>
        <v>517</v>
      </c>
      <c r="F13" s="167" t="s">
        <v>122</v>
      </c>
      <c r="G13" s="175" t="s">
        <v>124</v>
      </c>
      <c r="H13" s="176" t="s">
        <v>123</v>
      </c>
    </row>
    <row r="14" spans="2:14" ht="15.75" thickBot="1" x14ac:dyDescent="0.3">
      <c r="B14" s="69" t="s">
        <v>31</v>
      </c>
      <c r="C14" s="70">
        <f>FLOOR((C16-C13)*24,1)</f>
        <v>0</v>
      </c>
      <c r="F14" s="177">
        <f>C4</f>
        <v>44012.5</v>
      </c>
      <c r="G14" s="178">
        <v>170</v>
      </c>
      <c r="H14" s="180">
        <f>F14+G14</f>
        <v>44182.5</v>
      </c>
    </row>
    <row r="15" spans="2:14" ht="15.75" thickBot="1" x14ac:dyDescent="0.3">
      <c r="B15" s="69" t="s">
        <v>32</v>
      </c>
      <c r="C15" s="70">
        <f>((C16-C13)-C14/24)*24*60</f>
        <v>0</v>
      </c>
    </row>
    <row r="16" spans="2:14" ht="15.75" thickBot="1" x14ac:dyDescent="0.3">
      <c r="B16" s="71" t="s">
        <v>29</v>
      </c>
      <c r="C16" s="72">
        <f>C5-C3</f>
        <v>517</v>
      </c>
      <c r="F16" s="172" t="s">
        <v>129</v>
      </c>
      <c r="G16" s="173"/>
      <c r="H16" s="174"/>
      <c r="J16" s="15"/>
    </row>
    <row r="17" spans="2:11" ht="15.75" thickBot="1" x14ac:dyDescent="0.3">
      <c r="F17" s="184" t="s">
        <v>122</v>
      </c>
      <c r="G17" s="175" t="s">
        <v>124</v>
      </c>
      <c r="H17" s="176" t="s">
        <v>123</v>
      </c>
      <c r="J17" s="15"/>
    </row>
    <row r="18" spans="2:11" ht="15.75" thickBot="1" x14ac:dyDescent="0.3">
      <c r="B18" s="102" t="s">
        <v>11</v>
      </c>
      <c r="C18" s="26" t="s">
        <v>19</v>
      </c>
      <c r="D18" s="103" t="s">
        <v>20</v>
      </c>
      <c r="F18" s="223">
        <f>C4</f>
        <v>44012.5</v>
      </c>
      <c r="G18" s="224">
        <v>730</v>
      </c>
      <c r="H18" s="225">
        <f>F18+G18</f>
        <v>44742.5</v>
      </c>
    </row>
    <row r="19" spans="2:11" ht="15.75" thickBot="1" x14ac:dyDescent="0.3">
      <c r="B19" s="99" t="s">
        <v>137</v>
      </c>
      <c r="C19" s="100">
        <v>1.4999999999999999E-2</v>
      </c>
      <c r="D19" s="101"/>
      <c r="F19" s="237" t="s">
        <v>130</v>
      </c>
      <c r="G19" s="186"/>
      <c r="H19" s="238"/>
    </row>
    <row r="20" spans="2:11" x14ac:dyDescent="0.25">
      <c r="B20" s="73" t="s">
        <v>8</v>
      </c>
      <c r="C20" s="12">
        <f>78</f>
        <v>78</v>
      </c>
      <c r="D20" s="161">
        <v>6</v>
      </c>
      <c r="F20" s="234">
        <v>7.7</v>
      </c>
      <c r="G20" s="235" t="s">
        <v>131</v>
      </c>
      <c r="H20" s="236"/>
    </row>
    <row r="21" spans="2:11" x14ac:dyDescent="0.25">
      <c r="B21" s="74" t="s">
        <v>21</v>
      </c>
      <c r="C21" s="12">
        <f>73</f>
        <v>73</v>
      </c>
      <c r="D21" s="75">
        <f>C7*2</f>
        <v>14400</v>
      </c>
      <c r="F21" s="227">
        <v>0.75</v>
      </c>
      <c r="G21" s="226" t="s">
        <v>135</v>
      </c>
      <c r="H21" s="228"/>
    </row>
    <row r="22" spans="2:11" x14ac:dyDescent="0.25">
      <c r="B22" s="74" t="s">
        <v>10</v>
      </c>
      <c r="C22" s="12">
        <f>75+48</f>
        <v>123</v>
      </c>
      <c r="D22" s="75">
        <f>C9</f>
        <v>90</v>
      </c>
      <c r="F22" s="229">
        <v>1.1967E-4</v>
      </c>
      <c r="G22" s="226" t="s">
        <v>134</v>
      </c>
      <c r="H22" s="228"/>
    </row>
    <row r="23" spans="2:11" x14ac:dyDescent="0.25">
      <c r="B23" s="74" t="s">
        <v>76</v>
      </c>
      <c r="C23" s="166">
        <v>125</v>
      </c>
      <c r="D23" s="161">
        <v>6</v>
      </c>
      <c r="F23" s="230">
        <f>F20*F21/F22</f>
        <v>48257.708698922041</v>
      </c>
      <c r="G23" s="226" t="s">
        <v>132</v>
      </c>
      <c r="H23" s="228"/>
    </row>
    <row r="24" spans="2:11" ht="15.75" thickBot="1" x14ac:dyDescent="0.3">
      <c r="B24" s="74" t="s">
        <v>80</v>
      </c>
      <c r="C24" s="166">
        <v>150</v>
      </c>
      <c r="D24" s="161">
        <v>10</v>
      </c>
      <c r="F24" s="231">
        <f>F23/24</f>
        <v>2010.737862455085</v>
      </c>
      <c r="G24" s="232" t="s">
        <v>133</v>
      </c>
      <c r="H24" s="233"/>
    </row>
    <row r="25" spans="2:11" x14ac:dyDescent="0.25">
      <c r="B25" s="74" t="s">
        <v>89</v>
      </c>
      <c r="C25" s="12">
        <v>114</v>
      </c>
      <c r="D25" s="165">
        <v>120</v>
      </c>
    </row>
    <row r="26" spans="2:11" x14ac:dyDescent="0.25">
      <c r="B26" s="149" t="s">
        <v>99</v>
      </c>
      <c r="C26" s="150">
        <v>400</v>
      </c>
      <c r="D26" s="164">
        <v>25</v>
      </c>
    </row>
    <row r="27" spans="2:11" ht="15.75" thickBot="1" x14ac:dyDescent="0.3">
      <c r="B27" s="76" t="s">
        <v>12</v>
      </c>
      <c r="C27" s="77">
        <v>200</v>
      </c>
      <c r="D27" s="141">
        <v>60</v>
      </c>
    </row>
    <row r="28" spans="2:11" ht="15.75" thickBot="1" x14ac:dyDescent="0.3">
      <c r="F28" t="s">
        <v>138</v>
      </c>
    </row>
    <row r="29" spans="2:11" ht="15.75" thickBot="1" x14ac:dyDescent="0.3">
      <c r="B29" s="209" t="s">
        <v>26</v>
      </c>
      <c r="C29" s="210"/>
      <c r="F29">
        <v>0.23499999999999999</v>
      </c>
      <c r="G29" s="235" t="s">
        <v>131</v>
      </c>
    </row>
    <row r="30" spans="2:11" x14ac:dyDescent="0.25">
      <c r="B30" s="128" t="s">
        <v>27</v>
      </c>
      <c r="C30" s="168">
        <v>4</v>
      </c>
      <c r="F30">
        <v>1.0950000000000001E-4</v>
      </c>
    </row>
    <row r="31" spans="2:11" x14ac:dyDescent="0.25">
      <c r="B31" s="74" t="s">
        <v>88</v>
      </c>
      <c r="C31" s="165">
        <v>120</v>
      </c>
      <c r="F31">
        <f>F29/F30</f>
        <v>2146.1187214611869</v>
      </c>
      <c r="K31" s="171"/>
    </row>
    <row r="32" spans="2:11" x14ac:dyDescent="0.25">
      <c r="B32" s="74" t="s">
        <v>75</v>
      </c>
      <c r="C32" s="169">
        <v>330</v>
      </c>
      <c r="F32">
        <f>F31/24</f>
        <v>89.421613394216124</v>
      </c>
    </row>
    <row r="33" spans="2:13" x14ac:dyDescent="0.25">
      <c r="B33" s="74" t="s">
        <v>126</v>
      </c>
      <c r="C33" s="179">
        <v>0</v>
      </c>
    </row>
    <row r="34" spans="2:13" x14ac:dyDescent="0.25">
      <c r="B34" s="74" t="s">
        <v>127</v>
      </c>
      <c r="C34" s="181">
        <v>3</v>
      </c>
    </row>
    <row r="35" spans="2:13" ht="15.75" thickBot="1" x14ac:dyDescent="0.3">
      <c r="B35" s="76" t="s">
        <v>128</v>
      </c>
      <c r="C35" s="182">
        <v>30</v>
      </c>
    </row>
    <row r="36" spans="2:13" ht="15.75" thickBot="1" x14ac:dyDescent="0.3">
      <c r="B36" s="13"/>
      <c r="C36" s="14"/>
    </row>
    <row r="37" spans="2:13" ht="45.75" thickBot="1" x14ac:dyDescent="0.3">
      <c r="B37" s="25" t="s">
        <v>1</v>
      </c>
      <c r="C37" s="26" t="s">
        <v>120</v>
      </c>
      <c r="D37" s="26" t="s">
        <v>2</v>
      </c>
      <c r="E37" s="26" t="s">
        <v>22</v>
      </c>
      <c r="F37" s="26" t="s">
        <v>39</v>
      </c>
      <c r="G37" s="26" t="s">
        <v>23</v>
      </c>
      <c r="H37" s="26" t="s">
        <v>3</v>
      </c>
      <c r="I37" s="26" t="s">
        <v>4</v>
      </c>
      <c r="J37" s="26" t="s">
        <v>5</v>
      </c>
      <c r="K37" s="26" t="s">
        <v>24</v>
      </c>
      <c r="L37" s="27" t="s">
        <v>45</v>
      </c>
      <c r="M37" s="28" t="s">
        <v>40</v>
      </c>
    </row>
    <row r="38" spans="2:13" ht="15.75" thickBot="1" x14ac:dyDescent="0.3">
      <c r="B38" s="29" t="s">
        <v>95</v>
      </c>
      <c r="C38" s="30" t="s">
        <v>94</v>
      </c>
      <c r="D38" s="31">
        <f>C5-C4</f>
        <v>457</v>
      </c>
      <c r="E38" s="32">
        <f>24*60*60/C6</f>
        <v>24</v>
      </c>
      <c r="F38" s="33">
        <f>D20</f>
        <v>6</v>
      </c>
      <c r="G38" s="31">
        <f>E38*D38</f>
        <v>10968</v>
      </c>
      <c r="H38" s="34">
        <f t="shared" ref="H38:H43" si="0">C20</f>
        <v>78</v>
      </c>
      <c r="I38" s="35">
        <f t="shared" ref="I38:I44" si="1">H38*G38*F38/3600</f>
        <v>1425.84</v>
      </c>
      <c r="J38" s="31">
        <f>G38</f>
        <v>10968</v>
      </c>
      <c r="K38" s="36">
        <f>J38*17</f>
        <v>186456</v>
      </c>
      <c r="L38" s="32">
        <f>CEILING(K38/$C$32,1)</f>
        <v>566</v>
      </c>
      <c r="M38" s="37" t="s">
        <v>41</v>
      </c>
    </row>
    <row r="39" spans="2:13" ht="15.75" thickBot="1" x14ac:dyDescent="0.3">
      <c r="B39" s="29" t="s">
        <v>25</v>
      </c>
      <c r="C39" s="30" t="s">
        <v>115</v>
      </c>
      <c r="D39" s="162">
        <f>C7*2/(24*60*60)</f>
        <v>0.16666666666666666</v>
      </c>
      <c r="E39" s="32">
        <f>1</f>
        <v>1</v>
      </c>
      <c r="F39" s="33">
        <f>C7*2</f>
        <v>14400</v>
      </c>
      <c r="G39" s="31">
        <f>1</f>
        <v>1</v>
      </c>
      <c r="H39" s="34">
        <f t="shared" si="0"/>
        <v>73</v>
      </c>
      <c r="I39" s="35">
        <f t="shared" si="1"/>
        <v>292</v>
      </c>
      <c r="J39" s="31">
        <f>G39</f>
        <v>1</v>
      </c>
      <c r="K39" s="36">
        <f>J39*17</f>
        <v>17</v>
      </c>
      <c r="L39" s="32">
        <f>CEILING(K39/$C$32,1)</f>
        <v>1</v>
      </c>
      <c r="M39" s="37" t="s">
        <v>42</v>
      </c>
    </row>
    <row r="40" spans="2:13" ht="15.75" thickBot="1" x14ac:dyDescent="0.3">
      <c r="B40" s="29" t="s">
        <v>6</v>
      </c>
      <c r="C40" s="30" t="s">
        <v>113</v>
      </c>
      <c r="D40" s="31">
        <f>1</f>
        <v>1</v>
      </c>
      <c r="E40" s="32">
        <f>1</f>
        <v>1</v>
      </c>
      <c r="F40" s="33">
        <f>C9</f>
        <v>90</v>
      </c>
      <c r="G40" s="31">
        <f>1</f>
        <v>1</v>
      </c>
      <c r="H40" s="34">
        <f t="shared" si="0"/>
        <v>123</v>
      </c>
      <c r="I40" s="163">
        <f t="shared" si="1"/>
        <v>3.0750000000000002</v>
      </c>
      <c r="J40" s="31">
        <f>C30*C9</f>
        <v>360</v>
      </c>
      <c r="K40" s="36">
        <f>J40*15</f>
        <v>5400</v>
      </c>
      <c r="L40" s="32">
        <f>CEILING(K40/$C$32,1)</f>
        <v>17</v>
      </c>
      <c r="M40" s="37" t="s">
        <v>42</v>
      </c>
    </row>
    <row r="41" spans="2:13" x14ac:dyDescent="0.25">
      <c r="B41" s="38" t="s">
        <v>78</v>
      </c>
      <c r="C41" s="193" t="s">
        <v>112</v>
      </c>
      <c r="D41" s="41">
        <f>C34</f>
        <v>3</v>
      </c>
      <c r="E41" s="39">
        <v>23</v>
      </c>
      <c r="F41" s="40">
        <f>D23</f>
        <v>6</v>
      </c>
      <c r="G41" s="41">
        <f>E41*D41</f>
        <v>69</v>
      </c>
      <c r="H41" s="42">
        <f t="shared" si="0"/>
        <v>125</v>
      </c>
      <c r="I41" s="43">
        <f t="shared" si="1"/>
        <v>14.375</v>
      </c>
      <c r="J41" s="41">
        <f>D41*E41</f>
        <v>69</v>
      </c>
      <c r="K41" s="44">
        <f>J41*17</f>
        <v>1173</v>
      </c>
      <c r="L41" s="39">
        <f>CEILING(K41/$C$32,1)</f>
        <v>4</v>
      </c>
      <c r="M41" s="45" t="s">
        <v>43</v>
      </c>
    </row>
    <row r="42" spans="2:13" x14ac:dyDescent="0.25">
      <c r="B42" s="53" t="s">
        <v>79</v>
      </c>
      <c r="C42" s="194"/>
      <c r="D42" s="3">
        <f>D41</f>
        <v>3</v>
      </c>
      <c r="E42" s="4">
        <v>1</v>
      </c>
      <c r="F42" s="5">
        <f>D24</f>
        <v>10</v>
      </c>
      <c r="G42" s="3">
        <f>E42*D42</f>
        <v>3</v>
      </c>
      <c r="H42" s="6">
        <f t="shared" si="0"/>
        <v>150</v>
      </c>
      <c r="I42" s="7">
        <f t="shared" si="1"/>
        <v>1.25</v>
      </c>
      <c r="J42" s="3">
        <f>D42*E42</f>
        <v>3</v>
      </c>
      <c r="K42" s="170">
        <f>J42*C33*1024</f>
        <v>0</v>
      </c>
      <c r="L42" s="4">
        <f>CEILING(K42/$C$32,1)</f>
        <v>0</v>
      </c>
      <c r="M42" s="54" t="s">
        <v>90</v>
      </c>
    </row>
    <row r="43" spans="2:13" ht="15.75" thickBot="1" x14ac:dyDescent="0.3">
      <c r="B43" s="46" t="s">
        <v>87</v>
      </c>
      <c r="C43" s="195"/>
      <c r="D43" s="47">
        <f>D41</f>
        <v>3</v>
      </c>
      <c r="E43" s="48">
        <v>24</v>
      </c>
      <c r="F43" s="49">
        <v>10</v>
      </c>
      <c r="G43" s="47">
        <f>E43*D43</f>
        <v>72</v>
      </c>
      <c r="H43" s="50">
        <f t="shared" si="0"/>
        <v>114</v>
      </c>
      <c r="I43" s="55">
        <f t="shared" si="1"/>
        <v>22.8</v>
      </c>
      <c r="J43" s="47">
        <v>0</v>
      </c>
      <c r="K43" s="51">
        <v>0</v>
      </c>
      <c r="L43" s="48">
        <v>0</v>
      </c>
      <c r="M43" s="52" t="s">
        <v>43</v>
      </c>
    </row>
    <row r="44" spans="2:13" ht="15.75" thickBot="1" x14ac:dyDescent="0.3">
      <c r="B44" s="29" t="s">
        <v>7</v>
      </c>
      <c r="C44" s="30"/>
      <c r="D44" s="31">
        <f>C114-C109</f>
        <v>491.23055555555766</v>
      </c>
      <c r="E44" s="32">
        <v>0</v>
      </c>
      <c r="F44" s="33">
        <f>24*D44*60*60-F38*G38-F39*G39-F40*G40-F41*G41-F42*G42-F43*G43</f>
        <v>42360858.000000179</v>
      </c>
      <c r="G44" s="31">
        <f>1</f>
        <v>1</v>
      </c>
      <c r="H44" s="56">
        <f>C19</f>
        <v>1.4999999999999999E-2</v>
      </c>
      <c r="I44" s="35">
        <f t="shared" si="1"/>
        <v>176.50357500000075</v>
      </c>
      <c r="J44" s="31">
        <f>0</f>
        <v>0</v>
      </c>
      <c r="K44" s="36">
        <f>0</f>
        <v>0</v>
      </c>
      <c r="L44" s="32">
        <f>CEILING(K44/$C$32,1)</f>
        <v>0</v>
      </c>
      <c r="M44" s="37" t="s">
        <v>43</v>
      </c>
    </row>
    <row r="45" spans="2:13" ht="15.75" thickBot="1" x14ac:dyDescent="0.3">
      <c r="H45" s="29" t="s">
        <v>38</v>
      </c>
      <c r="I45" s="57">
        <f>SUM(I38:I44)</f>
        <v>1935.8435750000008</v>
      </c>
      <c r="J45" s="58">
        <f>SUM(J38:J44)</f>
        <v>11401</v>
      </c>
      <c r="K45" s="59">
        <f>SUM(K38:K44)</f>
        <v>193046</v>
      </c>
      <c r="L45" s="60">
        <f>SUM(L38:L44)</f>
        <v>588</v>
      </c>
    </row>
    <row r="46" spans="2:13" ht="15.75" thickBot="1" x14ac:dyDescent="0.3"/>
    <row r="47" spans="2:13" ht="15.75" thickBot="1" x14ac:dyDescent="0.3">
      <c r="B47" s="185" t="s">
        <v>48</v>
      </c>
      <c r="C47" s="186"/>
      <c r="D47" s="188"/>
    </row>
    <row r="48" spans="2:13" ht="30.75" thickBot="1" x14ac:dyDescent="0.3">
      <c r="B48" s="94" t="s">
        <v>91</v>
      </c>
      <c r="C48" s="95" t="s">
        <v>24</v>
      </c>
      <c r="D48" s="96" t="s">
        <v>46</v>
      </c>
    </row>
    <row r="49" spans="2:13" x14ac:dyDescent="0.25">
      <c r="B49" s="78" t="s">
        <v>41</v>
      </c>
      <c r="C49" s="24">
        <f>K38</f>
        <v>186456</v>
      </c>
      <c r="D49" s="79">
        <f>CEILING(C49/$C$32,1)</f>
        <v>566</v>
      </c>
    </row>
    <row r="50" spans="2:13" x14ac:dyDescent="0.25">
      <c r="B50" s="80" t="s">
        <v>42</v>
      </c>
      <c r="C50" s="19">
        <f>SUM(K39:K40)</f>
        <v>5417</v>
      </c>
      <c r="D50" s="79">
        <f>CEILING(C50/$C$32,1)</f>
        <v>17</v>
      </c>
    </row>
    <row r="51" spans="2:13" x14ac:dyDescent="0.25">
      <c r="B51" s="80" t="s">
        <v>43</v>
      </c>
      <c r="C51" s="19">
        <f>K41</f>
        <v>1173</v>
      </c>
      <c r="D51" s="79">
        <f>CEILING(C51/$C$32,1)</f>
        <v>4</v>
      </c>
    </row>
    <row r="52" spans="2:13" x14ac:dyDescent="0.25">
      <c r="B52" s="80" t="s">
        <v>47</v>
      </c>
      <c r="C52" s="19">
        <v>40</v>
      </c>
      <c r="D52" s="79">
        <f>CEILING(C52/$C$32,1)</f>
        <v>1</v>
      </c>
    </row>
    <row r="53" spans="2:13" ht="15.75" thickBot="1" x14ac:dyDescent="0.3">
      <c r="B53" s="81" t="s">
        <v>92</v>
      </c>
      <c r="C53" s="51">
        <f>K42</f>
        <v>0</v>
      </c>
      <c r="D53" s="82">
        <f>CEILING(C53/$C$32,1)</f>
        <v>0</v>
      </c>
    </row>
    <row r="54" spans="2:13" ht="15.75" thickBot="1" x14ac:dyDescent="0.3"/>
    <row r="55" spans="2:13" ht="15.75" thickBot="1" x14ac:dyDescent="0.3">
      <c r="B55" s="205" t="s">
        <v>118</v>
      </c>
      <c r="C55" s="215"/>
    </row>
    <row r="56" spans="2:13" x14ac:dyDescent="0.25">
      <c r="B56" s="91" t="s">
        <v>98</v>
      </c>
      <c r="C56" s="160">
        <v>9</v>
      </c>
    </row>
    <row r="57" spans="2:13" x14ac:dyDescent="0.25">
      <c r="B57" s="85" t="s">
        <v>49</v>
      </c>
      <c r="C57" s="86">
        <f>SUM(D49:D53)</f>
        <v>588</v>
      </c>
    </row>
    <row r="58" spans="2:13" x14ac:dyDescent="0.25">
      <c r="B58" s="85" t="s">
        <v>50</v>
      </c>
      <c r="C58" s="86">
        <f>CEILING(C57/(C56-1),1)</f>
        <v>74</v>
      </c>
    </row>
    <row r="59" spans="2:13" ht="15.75" thickBot="1" x14ac:dyDescent="0.3">
      <c r="B59" s="92" t="s">
        <v>51</v>
      </c>
      <c r="C59" s="93">
        <f>C58</f>
        <v>74</v>
      </c>
    </row>
    <row r="60" spans="2:13" ht="15.75" thickBot="1" x14ac:dyDescent="0.3">
      <c r="B60" s="89" t="s">
        <v>52</v>
      </c>
      <c r="C60" s="90">
        <f>C59+C57</f>
        <v>662</v>
      </c>
    </row>
    <row r="61" spans="2:13" ht="15.75" thickBot="1" x14ac:dyDescent="0.3"/>
    <row r="62" spans="2:13" ht="45.75" thickBot="1" x14ac:dyDescent="0.3">
      <c r="B62" s="25" t="s">
        <v>1</v>
      </c>
      <c r="C62" s="26" t="s">
        <v>120</v>
      </c>
      <c r="D62" s="26"/>
      <c r="E62" s="26"/>
      <c r="F62" s="26" t="s">
        <v>64</v>
      </c>
      <c r="G62" s="26" t="s">
        <v>23</v>
      </c>
      <c r="H62" s="26" t="s">
        <v>3</v>
      </c>
      <c r="I62" s="26" t="s">
        <v>4</v>
      </c>
      <c r="J62" s="26" t="s">
        <v>65</v>
      </c>
      <c r="K62" s="26" t="s">
        <v>24</v>
      </c>
      <c r="L62" s="27" t="s">
        <v>45</v>
      </c>
      <c r="M62" s="28" t="s">
        <v>40</v>
      </c>
    </row>
    <row r="63" spans="2:13" x14ac:dyDescent="0.25">
      <c r="B63" s="88" t="s">
        <v>93</v>
      </c>
      <c r="C63" s="216" t="s">
        <v>116</v>
      </c>
      <c r="D63" s="20"/>
      <c r="E63" s="16"/>
      <c r="F63" s="21">
        <f>D25</f>
        <v>120</v>
      </c>
      <c r="G63" s="20">
        <f>C58</f>
        <v>74</v>
      </c>
      <c r="H63" s="22">
        <f>C25</f>
        <v>114</v>
      </c>
      <c r="I63" s="23">
        <f>H63*G63*F63/3600</f>
        <v>281.2</v>
      </c>
      <c r="J63" s="20">
        <f>G63</f>
        <v>74</v>
      </c>
      <c r="K63" s="24">
        <f>J63*17</f>
        <v>1258</v>
      </c>
      <c r="L63" s="16">
        <f>CEILING(K63/100,1)</f>
        <v>13</v>
      </c>
      <c r="M63" s="45" t="s">
        <v>111</v>
      </c>
    </row>
    <row r="64" spans="2:13" x14ac:dyDescent="0.25">
      <c r="B64" s="142" t="s">
        <v>100</v>
      </c>
      <c r="C64" s="217"/>
      <c r="D64" s="143"/>
      <c r="E64" s="144"/>
      <c r="F64" s="145">
        <f>D26</f>
        <v>25</v>
      </c>
      <c r="G64" s="143">
        <f>C58</f>
        <v>74</v>
      </c>
      <c r="H64" s="146">
        <f>C26</f>
        <v>400</v>
      </c>
      <c r="I64" s="147">
        <f>H64*G64*F64/3600</f>
        <v>205.55555555555554</v>
      </c>
      <c r="J64" s="143"/>
      <c r="K64" s="148"/>
      <c r="L64" s="144"/>
      <c r="M64" s="54"/>
    </row>
    <row r="65" spans="2:13" ht="15.75" thickBot="1" x14ac:dyDescent="0.3">
      <c r="B65" s="46" t="s">
        <v>66</v>
      </c>
      <c r="C65" s="218"/>
      <c r="D65" s="47"/>
      <c r="E65" s="48"/>
      <c r="F65" s="49">
        <f>D27</f>
        <v>60</v>
      </c>
      <c r="G65" s="47">
        <f>C60</f>
        <v>662</v>
      </c>
      <c r="H65" s="50">
        <f>C27</f>
        <v>200</v>
      </c>
      <c r="I65" s="55">
        <f>H65*G65*F65/3600</f>
        <v>2206.6666666666665</v>
      </c>
      <c r="J65" s="47"/>
      <c r="K65" s="83"/>
      <c r="L65" s="48"/>
      <c r="M65" s="52"/>
    </row>
    <row r="66" spans="2:13" ht="15.75" thickBot="1" x14ac:dyDescent="0.3">
      <c r="B66" s="13"/>
      <c r="C66" s="14"/>
      <c r="H66" s="29" t="s">
        <v>38</v>
      </c>
      <c r="I66" s="57">
        <f>I65+I64+I63</f>
        <v>2693.422222222222</v>
      </c>
      <c r="J66" s="58">
        <f>SUM(J61:J65)</f>
        <v>74</v>
      </c>
      <c r="K66" s="59">
        <f>SUM(K61:K65)</f>
        <v>1258</v>
      </c>
      <c r="L66" s="60">
        <f>SUM(L61:L65)</f>
        <v>13</v>
      </c>
    </row>
    <row r="67" spans="2:13" ht="16.5" customHeight="1" thickBot="1" x14ac:dyDescent="0.3">
      <c r="B67" s="13"/>
      <c r="C67" s="14"/>
    </row>
    <row r="68" spans="2:13" x14ac:dyDescent="0.25">
      <c r="B68" s="91" t="s">
        <v>67</v>
      </c>
      <c r="C68" s="113">
        <v>900</v>
      </c>
    </row>
    <row r="69" spans="2:13" x14ac:dyDescent="0.25">
      <c r="B69" s="87" t="s">
        <v>68</v>
      </c>
      <c r="C69" s="114">
        <f>(F65*G65++C58*C68)/3600</f>
        <v>29.533333333333335</v>
      </c>
    </row>
    <row r="70" spans="2:13" ht="15.75" thickBot="1" x14ac:dyDescent="0.3">
      <c r="B70" s="92" t="s">
        <v>68</v>
      </c>
      <c r="C70" s="115">
        <f>C69/24</f>
        <v>1.2305555555555556</v>
      </c>
    </row>
    <row r="71" spans="2:13" ht="15.75" thickBot="1" x14ac:dyDescent="0.3">
      <c r="B71" s="116"/>
    </row>
    <row r="72" spans="2:13" ht="15.75" thickBot="1" x14ac:dyDescent="0.3">
      <c r="B72" s="205" t="s">
        <v>119</v>
      </c>
      <c r="C72" s="215"/>
    </row>
    <row r="73" spans="2:13" x14ac:dyDescent="0.25">
      <c r="B73" s="91" t="s">
        <v>98</v>
      </c>
      <c r="C73" s="160">
        <v>9</v>
      </c>
    </row>
    <row r="74" spans="2:13" x14ac:dyDescent="0.25">
      <c r="B74" s="85" t="s">
        <v>49</v>
      </c>
      <c r="C74" s="86">
        <f>L66</f>
        <v>13</v>
      </c>
    </row>
    <row r="75" spans="2:13" x14ac:dyDescent="0.25">
      <c r="B75" s="85" t="s">
        <v>50</v>
      </c>
      <c r="C75" s="86">
        <f>CEILING(C74/(C73-1),1)</f>
        <v>2</v>
      </c>
    </row>
    <row r="76" spans="2:13" ht="15.75" thickBot="1" x14ac:dyDescent="0.3">
      <c r="B76" s="92" t="s">
        <v>51</v>
      </c>
      <c r="C76" s="93">
        <f>C75</f>
        <v>2</v>
      </c>
    </row>
    <row r="77" spans="2:13" ht="15.75" thickBot="1" x14ac:dyDescent="0.3">
      <c r="B77" s="89" t="s">
        <v>52</v>
      </c>
      <c r="C77" s="90">
        <f>C76+C74</f>
        <v>15</v>
      </c>
    </row>
    <row r="78" spans="2:13" ht="15.75" thickBot="1" x14ac:dyDescent="0.3">
      <c r="B78" s="116"/>
    </row>
    <row r="79" spans="2:13" ht="45.75" thickBot="1" x14ac:dyDescent="0.3">
      <c r="B79" s="151" t="s">
        <v>1</v>
      </c>
      <c r="C79" s="26" t="s">
        <v>120</v>
      </c>
      <c r="D79" s="152" t="s">
        <v>2</v>
      </c>
      <c r="E79" s="152" t="s">
        <v>22</v>
      </c>
      <c r="F79" s="152" t="s">
        <v>64</v>
      </c>
      <c r="G79" s="152" t="s">
        <v>23</v>
      </c>
      <c r="H79" s="152" t="s">
        <v>3</v>
      </c>
      <c r="I79" s="152" t="s">
        <v>4</v>
      </c>
      <c r="J79" s="152" t="s">
        <v>5</v>
      </c>
      <c r="K79" s="152" t="s">
        <v>24</v>
      </c>
      <c r="L79" s="153" t="s">
        <v>45</v>
      </c>
      <c r="M79" s="154" t="s">
        <v>40</v>
      </c>
    </row>
    <row r="80" spans="2:13" x14ac:dyDescent="0.25">
      <c r="B80" s="38" t="s">
        <v>117</v>
      </c>
      <c r="C80" s="219" t="s">
        <v>114</v>
      </c>
      <c r="D80" s="41">
        <f>C35</f>
        <v>30</v>
      </c>
      <c r="E80" s="39">
        <f>24*60*60/C10</f>
        <v>8</v>
      </c>
      <c r="F80" s="40">
        <f>D23</f>
        <v>6</v>
      </c>
      <c r="G80" s="41">
        <f>E80*D80+C75</f>
        <v>242</v>
      </c>
      <c r="H80" s="42">
        <f>C23</f>
        <v>125</v>
      </c>
      <c r="I80" s="43">
        <f>H80*G80*F80/3600</f>
        <v>50.416666666666664</v>
      </c>
      <c r="J80" s="41">
        <f>G80</f>
        <v>242</v>
      </c>
      <c r="K80" s="44">
        <f>J80*17*2</f>
        <v>8228</v>
      </c>
      <c r="L80" s="41">
        <f>J80</f>
        <v>242</v>
      </c>
      <c r="M80" s="45" t="s">
        <v>111</v>
      </c>
    </row>
    <row r="81" spans="2:13" x14ac:dyDescent="0.25">
      <c r="B81" s="53" t="s">
        <v>106</v>
      </c>
      <c r="C81" s="220"/>
      <c r="D81" s="3">
        <f t="shared" ref="D81:E83" si="2">D80</f>
        <v>30</v>
      </c>
      <c r="E81" s="4">
        <f t="shared" si="2"/>
        <v>8</v>
      </c>
      <c r="F81" s="5">
        <f>C31</f>
        <v>120</v>
      </c>
      <c r="G81" s="3">
        <f>E81*D81+C75</f>
        <v>242</v>
      </c>
      <c r="H81" s="6">
        <f>C25</f>
        <v>114</v>
      </c>
      <c r="I81" s="7">
        <f>H81*G81*F81/3600</f>
        <v>919.6</v>
      </c>
      <c r="J81" s="3"/>
      <c r="K81" s="19"/>
      <c r="L81" s="3"/>
      <c r="M81" s="54"/>
    </row>
    <row r="82" spans="2:13" x14ac:dyDescent="0.25">
      <c r="B82" s="53" t="s">
        <v>107</v>
      </c>
      <c r="C82" s="221"/>
      <c r="D82" s="3">
        <f t="shared" si="2"/>
        <v>30</v>
      </c>
      <c r="E82" s="4">
        <f t="shared" si="2"/>
        <v>8</v>
      </c>
      <c r="F82" s="5">
        <f>D26</f>
        <v>25</v>
      </c>
      <c r="G82" s="3">
        <f>E82*D82+C75</f>
        <v>242</v>
      </c>
      <c r="H82" s="6">
        <f>C26</f>
        <v>400</v>
      </c>
      <c r="I82" s="7">
        <f>H82*G82*F82/3600</f>
        <v>672.22222222222217</v>
      </c>
      <c r="J82" s="3"/>
      <c r="K82" s="19"/>
      <c r="L82" s="3"/>
      <c r="M82" s="54"/>
    </row>
    <row r="83" spans="2:13" ht="15.75" thickBot="1" x14ac:dyDescent="0.3">
      <c r="B83" s="46" t="s">
        <v>108</v>
      </c>
      <c r="C83" s="222"/>
      <c r="D83" s="47">
        <f t="shared" si="2"/>
        <v>30</v>
      </c>
      <c r="E83" s="48">
        <f t="shared" si="2"/>
        <v>8</v>
      </c>
      <c r="F83" s="49">
        <f>D27</f>
        <v>60</v>
      </c>
      <c r="G83" s="47">
        <f>E83*D83*2+C77</f>
        <v>495</v>
      </c>
      <c r="H83" s="50">
        <f>C27</f>
        <v>200</v>
      </c>
      <c r="I83" s="55">
        <f>H83*G83*F83/3600</f>
        <v>1650</v>
      </c>
      <c r="J83" s="47"/>
      <c r="K83" s="83"/>
      <c r="L83" s="48"/>
      <c r="M83" s="52" t="s">
        <v>111</v>
      </c>
    </row>
    <row r="84" spans="2:13" ht="15.75" thickBot="1" x14ac:dyDescent="0.3">
      <c r="H84" s="89" t="s">
        <v>38</v>
      </c>
      <c r="I84" s="155">
        <f>I83+I82+I80+I81</f>
        <v>3292.2388888888886</v>
      </c>
      <c r="J84" s="156">
        <f>SUM(J67:J83)</f>
        <v>242</v>
      </c>
      <c r="K84" s="157">
        <f>SUM(K67:K83)</f>
        <v>8228</v>
      </c>
      <c r="L84" s="158">
        <f>G83</f>
        <v>495</v>
      </c>
    </row>
    <row r="85" spans="2:13" ht="15.75" thickBot="1" x14ac:dyDescent="0.3"/>
    <row r="86" spans="2:13" ht="15.75" thickBot="1" x14ac:dyDescent="0.3">
      <c r="B86" s="205" t="s">
        <v>58</v>
      </c>
      <c r="C86" s="215"/>
    </row>
    <row r="87" spans="2:13" x14ac:dyDescent="0.25">
      <c r="B87" s="109" t="s">
        <v>56</v>
      </c>
      <c r="C87" s="79">
        <f>C57*CEILING(C32/50,1)+C59+L84</f>
        <v>4685</v>
      </c>
    </row>
    <row r="88" spans="2:13" x14ac:dyDescent="0.25">
      <c r="B88" s="85" t="s">
        <v>54</v>
      </c>
      <c r="C88" s="107">
        <v>0.04</v>
      </c>
    </row>
    <row r="89" spans="2:13" x14ac:dyDescent="0.25">
      <c r="B89" s="85" t="s">
        <v>57</v>
      </c>
      <c r="C89" s="108">
        <v>1.35</v>
      </c>
    </row>
    <row r="90" spans="2:13" ht="15.75" thickBot="1" x14ac:dyDescent="0.3">
      <c r="B90" s="110" t="s">
        <v>55</v>
      </c>
      <c r="C90" s="111">
        <f>C89*C88</f>
        <v>5.4000000000000006E-2</v>
      </c>
    </row>
    <row r="91" spans="2:13" ht="15.75" thickBot="1" x14ac:dyDescent="0.3">
      <c r="B91" s="29" t="s">
        <v>9</v>
      </c>
      <c r="C91" s="112">
        <f>C90*C87</f>
        <v>252.99000000000004</v>
      </c>
    </row>
    <row r="92" spans="2:13" ht="15.75" thickBot="1" x14ac:dyDescent="0.3"/>
    <row r="93" spans="2:13" ht="15.75" thickBot="1" x14ac:dyDescent="0.3">
      <c r="B93" s="205" t="s">
        <v>53</v>
      </c>
      <c r="C93" s="215"/>
    </row>
    <row r="94" spans="2:13" x14ac:dyDescent="0.25">
      <c r="B94" s="109" t="s">
        <v>84</v>
      </c>
      <c r="C94" s="159">
        <v>18</v>
      </c>
    </row>
    <row r="95" spans="2:13" x14ac:dyDescent="0.25">
      <c r="B95" s="85" t="s">
        <v>83</v>
      </c>
      <c r="C95" s="117">
        <v>9</v>
      </c>
    </row>
    <row r="96" spans="2:13" x14ac:dyDescent="0.25">
      <c r="B96" s="85" t="s">
        <v>60</v>
      </c>
      <c r="C96" s="118">
        <f>C94/C95*1.5*14</f>
        <v>42</v>
      </c>
    </row>
    <row r="97" spans="2:6" x14ac:dyDescent="0.25">
      <c r="B97" s="85" t="s">
        <v>61</v>
      </c>
      <c r="C97" s="124">
        <v>0.75</v>
      </c>
    </row>
    <row r="98" spans="2:6" x14ac:dyDescent="0.25">
      <c r="B98" s="85" t="s">
        <v>73</v>
      </c>
      <c r="C98" s="118">
        <f>C97*C96</f>
        <v>31.5</v>
      </c>
    </row>
    <row r="99" spans="2:6" x14ac:dyDescent="0.25">
      <c r="B99" s="119" t="s">
        <v>96</v>
      </c>
      <c r="C99" s="120">
        <f>I45</f>
        <v>1935.8435750000008</v>
      </c>
    </row>
    <row r="100" spans="2:6" x14ac:dyDescent="0.25">
      <c r="B100" s="84" t="s">
        <v>81</v>
      </c>
      <c r="C100" s="121">
        <f>SUM(I63:I65)</f>
        <v>2693.422222222222</v>
      </c>
    </row>
    <row r="101" spans="2:6" ht="15.75" thickBot="1" x14ac:dyDescent="0.3">
      <c r="B101" s="125" t="s">
        <v>105</v>
      </c>
      <c r="C101" s="126">
        <f>I84</f>
        <v>3292.2388888888886</v>
      </c>
    </row>
    <row r="102" spans="2:6" x14ac:dyDescent="0.25">
      <c r="B102" s="91" t="s">
        <v>59</v>
      </c>
      <c r="C102" s="127">
        <f>C100+C99+C101</f>
        <v>7921.5046861111114</v>
      </c>
    </row>
    <row r="103" spans="2:6" x14ac:dyDescent="0.25">
      <c r="B103" s="53" t="s">
        <v>59</v>
      </c>
      <c r="C103" s="122">
        <f>C102/1000</f>
        <v>7.9215046861111116</v>
      </c>
    </row>
    <row r="104" spans="2:6" x14ac:dyDescent="0.25">
      <c r="B104" s="85" t="s">
        <v>62</v>
      </c>
      <c r="C104" s="118">
        <f>C98-C103</f>
        <v>23.578495313888887</v>
      </c>
    </row>
    <row r="105" spans="2:6" ht="15.75" thickBot="1" x14ac:dyDescent="0.3">
      <c r="B105" s="71" t="s">
        <v>62</v>
      </c>
      <c r="C105" s="123">
        <f>C104/C98</f>
        <v>0.7485236607583774</v>
      </c>
    </row>
    <row r="106" spans="2:6" ht="15.75" thickBot="1" x14ac:dyDescent="0.3">
      <c r="C106" s="1"/>
    </row>
    <row r="107" spans="2:6" ht="15.75" thickBot="1" x14ac:dyDescent="0.3">
      <c r="B107" s="205" t="s">
        <v>63</v>
      </c>
      <c r="C107" s="206"/>
      <c r="D107" s="207"/>
      <c r="E107" s="207"/>
      <c r="F107" s="208"/>
    </row>
    <row r="108" spans="2:6" ht="45.75" thickBot="1" x14ac:dyDescent="0.3">
      <c r="B108" s="25"/>
      <c r="C108" s="26" t="s">
        <v>20</v>
      </c>
      <c r="D108" s="26" t="s">
        <v>70</v>
      </c>
      <c r="E108" s="26" t="s">
        <v>71</v>
      </c>
      <c r="F108" s="103" t="s">
        <v>72</v>
      </c>
    </row>
    <row r="109" spans="2:6" x14ac:dyDescent="0.25">
      <c r="B109" s="128" t="str">
        <f>B4</f>
        <v xml:space="preserve">Unit Start </v>
      </c>
      <c r="C109" s="129">
        <f>C4</f>
        <v>44012.5</v>
      </c>
      <c r="D109" s="130">
        <f>C98</f>
        <v>31.5</v>
      </c>
      <c r="E109" s="130">
        <f>C98</f>
        <v>31.5</v>
      </c>
      <c r="F109" s="131">
        <f>C96</f>
        <v>42</v>
      </c>
    </row>
    <row r="110" spans="2:6" x14ac:dyDescent="0.25">
      <c r="B110" s="74" t="s">
        <v>15</v>
      </c>
      <c r="C110" s="18">
        <f>C5-C7/60/60/24</f>
        <v>44469.416666666664</v>
      </c>
      <c r="D110" s="17">
        <f>D109-I38/1000</f>
        <v>30.074159999999999</v>
      </c>
      <c r="E110" s="17">
        <f>E109</f>
        <v>31.5</v>
      </c>
      <c r="F110" s="132">
        <f>F109</f>
        <v>42</v>
      </c>
    </row>
    <row r="111" spans="2:6" x14ac:dyDescent="0.25">
      <c r="B111" s="74" t="s">
        <v>101</v>
      </c>
      <c r="C111" s="18">
        <f>C5+(C7+C9)/60/60/24</f>
        <v>44469.584374999999</v>
      </c>
      <c r="D111" s="17">
        <f>D110-(I39+I40)/1000</f>
        <v>29.779084999999998</v>
      </c>
      <c r="E111" s="17">
        <f t="shared" ref="E111" si="3">E110</f>
        <v>31.5</v>
      </c>
      <c r="F111" s="132">
        <f t="shared" ref="F111" si="4">F110</f>
        <v>42</v>
      </c>
    </row>
    <row r="112" spans="2:6" x14ac:dyDescent="0.25">
      <c r="B112" s="74" t="s">
        <v>110</v>
      </c>
      <c r="C112" s="18">
        <f>C5+D41</f>
        <v>44472.5</v>
      </c>
      <c r="D112" s="17">
        <f>D111-(I42+I41)/1000</f>
        <v>29.763459999999998</v>
      </c>
      <c r="E112" s="17">
        <f t="shared" ref="E112:F114" si="5">E111</f>
        <v>31.5</v>
      </c>
      <c r="F112" s="132">
        <f t="shared" si="5"/>
        <v>42</v>
      </c>
    </row>
    <row r="113" spans="2:6" x14ac:dyDescent="0.25">
      <c r="B113" s="74" t="s">
        <v>109</v>
      </c>
      <c r="C113" s="18">
        <f>C112+C70</f>
        <v>44473.730555555558</v>
      </c>
      <c r="D113" s="17">
        <f>D112-(I66)/1000</f>
        <v>27.070037777777777</v>
      </c>
      <c r="E113" s="17">
        <f t="shared" si="5"/>
        <v>31.5</v>
      </c>
      <c r="F113" s="132">
        <f t="shared" si="5"/>
        <v>42</v>
      </c>
    </row>
    <row r="114" spans="2:6" ht="15.75" thickBot="1" x14ac:dyDescent="0.3">
      <c r="B114" s="76" t="s">
        <v>104</v>
      </c>
      <c r="C114" s="133">
        <f>C113+D80</f>
        <v>44503.730555555558</v>
      </c>
      <c r="D114" s="134">
        <f>D113-(I84)/1000</f>
        <v>23.777798888888888</v>
      </c>
      <c r="E114" s="134">
        <f t="shared" si="5"/>
        <v>31.5</v>
      </c>
      <c r="F114" s="135">
        <f t="shared" si="5"/>
        <v>42</v>
      </c>
    </row>
    <row r="115" spans="2:6" ht="15.75" thickBot="1" x14ac:dyDescent="0.3"/>
    <row r="116" spans="2:6" ht="15.75" thickBot="1" x14ac:dyDescent="0.3">
      <c r="B116" s="209" t="s">
        <v>77</v>
      </c>
      <c r="C116" s="214"/>
    </row>
    <row r="117" spans="2:6" ht="15.75" thickBot="1" x14ac:dyDescent="0.3">
      <c r="B117" s="139" t="s">
        <v>73</v>
      </c>
      <c r="C117" s="140">
        <f>C98</f>
        <v>31.5</v>
      </c>
    </row>
    <row r="118" spans="2:6" x14ac:dyDescent="0.25">
      <c r="B118" s="109" t="str">
        <f>B38</f>
        <v>Anchored Before Release</v>
      </c>
      <c r="C118" s="138">
        <f>I38/1000/C117</f>
        <v>4.5264761904761905E-2</v>
      </c>
    </row>
    <row r="119" spans="2:6" x14ac:dyDescent="0.25">
      <c r="B119" s="85" t="str">
        <f>B40</f>
        <v>Profile</v>
      </c>
      <c r="C119" s="136">
        <f>(I39+I40)/1000/C117</f>
        <v>9.367460317460316E-3</v>
      </c>
    </row>
    <row r="120" spans="2:6" x14ac:dyDescent="0.25">
      <c r="B120" s="85" t="str">
        <f>B44</f>
        <v>Asleep</v>
      </c>
      <c r="C120" s="136">
        <f>I44/1000/C117</f>
        <v>5.6032880952381191E-3</v>
      </c>
    </row>
    <row r="121" spans="2:6" x14ac:dyDescent="0.25">
      <c r="B121" s="85" t="s">
        <v>85</v>
      </c>
      <c r="C121" s="136">
        <f>(I41)/1000/C117</f>
        <v>4.5634920634920638E-4</v>
      </c>
    </row>
    <row r="122" spans="2:6" x14ac:dyDescent="0.25">
      <c r="B122" s="85" t="s">
        <v>86</v>
      </c>
      <c r="C122" s="136">
        <f>(I42)/1000/C117</f>
        <v>3.9682539682539683E-5</v>
      </c>
    </row>
    <row r="123" spans="2:6" x14ac:dyDescent="0.25">
      <c r="B123" s="85" t="s">
        <v>87</v>
      </c>
      <c r="C123" s="136">
        <f>(I43)/1000/C117</f>
        <v>7.2380952380952381E-4</v>
      </c>
    </row>
    <row r="124" spans="2:6" x14ac:dyDescent="0.25">
      <c r="B124" s="85" t="s">
        <v>136</v>
      </c>
      <c r="C124" s="136">
        <f>IF(I66/1000/C117+SUM(C118:C123)&gt;1,(1-SUM(C118:C123)),I66/1000/C117)</f>
        <v>8.5505467372134034E-2</v>
      </c>
    </row>
    <row r="125" spans="2:6" x14ac:dyDescent="0.25">
      <c r="B125" s="85" t="s">
        <v>103</v>
      </c>
      <c r="C125" s="136">
        <f>IF(C101/1000/C117+SUM(C118:C124)&gt;1,(1-SUM(C118:C124)),C101/1000/C117)</f>
        <v>0.10451552028218694</v>
      </c>
      <c r="D125" s="183"/>
    </row>
    <row r="126" spans="2:6" ht="15.75" thickBot="1" x14ac:dyDescent="0.3">
      <c r="B126" s="71" t="s">
        <v>62</v>
      </c>
      <c r="C126" s="137">
        <f>IF(C104&gt;0,C104/C117,0)</f>
        <v>0.7485236607583774</v>
      </c>
    </row>
    <row r="131" spans="5:5" x14ac:dyDescent="0.25">
      <c r="E131" s="2"/>
    </row>
  </sheetData>
  <mergeCells count="28">
    <mergeCell ref="E8:G8"/>
    <mergeCell ref="E9:G9"/>
    <mergeCell ref="B116:C116"/>
    <mergeCell ref="B107:F107"/>
    <mergeCell ref="B47:D47"/>
    <mergeCell ref="B55:C55"/>
    <mergeCell ref="B93:C93"/>
    <mergeCell ref="B86:C86"/>
    <mergeCell ref="C63:C65"/>
    <mergeCell ref="B72:C72"/>
    <mergeCell ref="C80:C83"/>
    <mergeCell ref="F19:H19"/>
    <mergeCell ref="I2:N2"/>
    <mergeCell ref="D4:G4"/>
    <mergeCell ref="D5:G5"/>
    <mergeCell ref="D3:G3"/>
    <mergeCell ref="C41:C43"/>
    <mergeCell ref="J3:N3"/>
    <mergeCell ref="J4:N4"/>
    <mergeCell ref="J5:N5"/>
    <mergeCell ref="J6:N6"/>
    <mergeCell ref="J7:N7"/>
    <mergeCell ref="B2:G2"/>
    <mergeCell ref="B29:C29"/>
    <mergeCell ref="E10:G10"/>
    <mergeCell ref="E6:G6"/>
    <mergeCell ref="B12:C12"/>
    <mergeCell ref="E7:G7"/>
  </mergeCells>
  <pageMargins left="0.7" right="0.7" top="0.75" bottom="0.75" header="0.3" footer="0.3"/>
  <pageSetup orientation="portrait" r:id="rId1"/>
  <ignoredErrors>
    <ignoredError sqref="G63:G64 K40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 5.3 Battery Calculator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P. Langis</dc:creator>
  <cp:lastModifiedBy>Sarah Donohoe</cp:lastModifiedBy>
  <cp:lastPrinted>2018-07-16T21:20:57Z</cp:lastPrinted>
  <dcterms:created xsi:type="dcterms:W3CDTF">2017-04-13T17:42:06Z</dcterms:created>
  <dcterms:modified xsi:type="dcterms:W3CDTF">2020-05-04T20:18:13Z</dcterms:modified>
</cp:coreProperties>
</file>