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4310"/>
  </bookViews>
  <sheets>
    <sheet name="Dyson Deployment 10-2017" sheetId="5" r:id="rId1"/>
  </sheets>
  <calcPr calcId="145621"/>
</workbook>
</file>

<file path=xl/calcChain.xml><?xml version="1.0" encoding="utf-8"?>
<calcChain xmlns="http://schemas.openxmlformats.org/spreadsheetml/2006/main">
  <c r="F36" i="5" l="1"/>
  <c r="F35" i="5" l="1"/>
  <c r="L37" i="5" l="1"/>
  <c r="K37" i="5"/>
  <c r="J37" i="5"/>
  <c r="H37" i="5"/>
  <c r="G37" i="5"/>
  <c r="H36" i="5"/>
  <c r="E36" i="5"/>
  <c r="G36" i="5" s="1"/>
  <c r="I36" i="5" s="1"/>
  <c r="H35" i="5"/>
  <c r="D34" i="5"/>
  <c r="G34" i="5" s="1"/>
  <c r="I34" i="5" s="1"/>
  <c r="K33" i="5"/>
  <c r="L33" i="5" s="1"/>
  <c r="J33" i="5"/>
  <c r="H33" i="5"/>
  <c r="I33" i="5" s="1"/>
  <c r="G33" i="5"/>
  <c r="F33" i="5"/>
  <c r="E33" i="5"/>
  <c r="D33" i="5"/>
  <c r="J32" i="5"/>
  <c r="K32" i="5" s="1"/>
  <c r="L32" i="5" s="1"/>
  <c r="H32" i="5"/>
  <c r="I32" i="5" s="1"/>
  <c r="G32" i="5"/>
  <c r="F32" i="5"/>
  <c r="E32" i="5"/>
  <c r="D32" i="5"/>
  <c r="H31" i="5"/>
  <c r="F31" i="5"/>
  <c r="E31" i="5"/>
  <c r="D31" i="5"/>
  <c r="D35" i="5"/>
  <c r="G35" i="5" s="1"/>
  <c r="I35" i="5" s="1"/>
  <c r="D22" i="5"/>
  <c r="D21" i="5"/>
  <c r="J34" i="5" l="1"/>
  <c r="K34" i="5" s="1"/>
  <c r="L34" i="5" s="1"/>
  <c r="G31" i="5"/>
  <c r="I31" i="5" s="1"/>
  <c r="J31" i="5"/>
  <c r="K31" i="5" s="1"/>
  <c r="L31" i="5" s="1"/>
  <c r="D37" i="5"/>
  <c r="F37" i="5" s="1"/>
  <c r="I37" i="5" s="1"/>
  <c r="J35" i="5"/>
  <c r="K35" i="5" s="1"/>
  <c r="L35" i="5" s="1"/>
  <c r="J36" i="5"/>
  <c r="K36" i="5" s="1"/>
  <c r="L36" i="5" s="1"/>
  <c r="B86" i="5" l="1"/>
  <c r="H59" i="5"/>
  <c r="F59" i="5"/>
  <c r="F57" i="5"/>
  <c r="H57" i="5"/>
  <c r="C89" i="5"/>
  <c r="C90" i="5" s="1"/>
  <c r="C88" i="5"/>
  <c r="C87" i="5"/>
  <c r="C86" i="5"/>
  <c r="C75" i="5"/>
  <c r="D86" i="5" s="1"/>
  <c r="C69" i="5"/>
  <c r="C16" i="5" l="1"/>
  <c r="C13" i="5" l="1"/>
  <c r="D9" i="5"/>
  <c r="D8" i="5"/>
  <c r="D7" i="5"/>
  <c r="D4" i="5"/>
  <c r="C14" i="5" l="1"/>
  <c r="C15" i="5" s="1"/>
  <c r="D5" i="5"/>
  <c r="D6" i="5"/>
  <c r="C43" i="5" l="1"/>
  <c r="D43" i="5" s="1"/>
  <c r="C44" i="5" l="1"/>
  <c r="D44" i="5" s="1"/>
  <c r="D87" i="5"/>
  <c r="D88" i="5" s="1"/>
  <c r="D89" i="5" l="1"/>
  <c r="D90" i="5" s="1"/>
  <c r="K38" i="5"/>
  <c r="C42" i="5" l="1"/>
  <c r="D42" i="5" s="1"/>
  <c r="C50" i="5" s="1"/>
  <c r="C51" i="5" s="1"/>
  <c r="J38" i="5"/>
  <c r="C52" i="5" l="1"/>
  <c r="G56" i="5"/>
  <c r="I56" i="5" l="1"/>
  <c r="J56" i="5"/>
  <c r="C53" i="5"/>
  <c r="I38" i="5"/>
  <c r="C76" i="5" s="1"/>
  <c r="C66" i="5" l="1"/>
  <c r="C70" i="5" s="1"/>
  <c r="K56" i="5"/>
  <c r="G58" i="5"/>
  <c r="G57" i="5"/>
  <c r="C62" i="5" s="1"/>
  <c r="I57" i="5" l="1"/>
  <c r="C91" i="5"/>
  <c r="L38" i="5"/>
  <c r="L56" i="5"/>
  <c r="G59" i="5" s="1"/>
  <c r="C63" i="5" s="1"/>
  <c r="I58" i="5"/>
  <c r="I59" i="5" l="1"/>
  <c r="C78" i="5" s="1"/>
  <c r="C92" i="5"/>
  <c r="C77" i="5"/>
  <c r="C79" i="5" s="1"/>
  <c r="C80" i="5" s="1"/>
  <c r="C81" i="5" s="1"/>
  <c r="C82" i="5" s="1"/>
  <c r="D91" i="5"/>
  <c r="D92" i="5" l="1"/>
</calcChain>
</file>

<file path=xl/sharedStrings.xml><?xml version="1.0" encoding="utf-8"?>
<sst xmlns="http://schemas.openxmlformats.org/spreadsheetml/2006/main" count="126" uniqueCount="98">
  <si>
    <t>Release Time</t>
  </si>
  <si>
    <t>Ice Free Date</t>
  </si>
  <si>
    <t>Description</t>
  </si>
  <si>
    <t>Days</t>
  </si>
  <si>
    <t>Average Current</t>
  </si>
  <si>
    <t>mAh</t>
  </si>
  <si>
    <t>Sample Sets</t>
  </si>
  <si>
    <t>On Bottom Before Release</t>
  </si>
  <si>
    <t>Profile</t>
  </si>
  <si>
    <t>Under Ice - Sample Only</t>
  </si>
  <si>
    <t>Asleep</t>
  </si>
  <si>
    <t>Bottom Sample</t>
  </si>
  <si>
    <t>DATA COST</t>
  </si>
  <si>
    <t>Profiling</t>
  </si>
  <si>
    <t>Looking for GPS</t>
  </si>
  <si>
    <t>Mode</t>
  </si>
  <si>
    <t>Sending Iridium Message</t>
  </si>
  <si>
    <t>Unit Settings</t>
  </si>
  <si>
    <t>Bottom Sample Interval</t>
  </si>
  <si>
    <t>Pre-Release Wake Up Time</t>
  </si>
  <si>
    <t>Under Ice Sample interval</t>
  </si>
  <si>
    <t>Profile Length</t>
  </si>
  <si>
    <t xml:space="preserve"> (nominal = 21600 seconds = 6.00 hr)</t>
  </si>
  <si>
    <t xml:space="preserve"> (nominal = 3600 seconds   = 1.00 hr)</t>
  </si>
  <si>
    <t xml:space="preserve"> (nominal = 60 seconds)</t>
  </si>
  <si>
    <t>Average Power</t>
  </si>
  <si>
    <t>Time</t>
  </si>
  <si>
    <t>Waiting for Release (Max)</t>
  </si>
  <si>
    <t>Instances Per Day</t>
  </si>
  <si>
    <t>Total Number of Instances</t>
  </si>
  <si>
    <t>Estimated Size</t>
  </si>
  <si>
    <t>Waiting for Profile (Max)</t>
  </si>
  <si>
    <t>Other Parameters</t>
  </si>
  <si>
    <t>Profile Sample Rate</t>
  </si>
  <si>
    <t>GPS Search Time</t>
  </si>
  <si>
    <t>Power Needed to Sample</t>
  </si>
  <si>
    <t>Current Time</t>
  </si>
  <si>
    <t>Time From Now Until Release</t>
  </si>
  <si>
    <t>Burn Wire Programming</t>
  </si>
  <si>
    <t>Hours</t>
  </si>
  <si>
    <t>Minutes</t>
  </si>
  <si>
    <t>Legend</t>
  </si>
  <si>
    <r>
      <rPr>
        <b/>
        <sz val="11"/>
        <color theme="1"/>
        <rFont val="Calibri"/>
        <family val="2"/>
        <scheme val="minor"/>
      </rPr>
      <t xml:space="preserve">Input </t>
    </r>
    <r>
      <rPr>
        <sz val="11"/>
        <color theme="1"/>
        <rFont val="Calibri"/>
        <family val="2"/>
        <scheme val="minor"/>
      </rPr>
      <t>- Adjust these values for each deployment</t>
    </r>
  </si>
  <si>
    <r>
      <rPr>
        <b/>
        <sz val="11"/>
        <color theme="1"/>
        <rFont val="Calibri"/>
        <family val="2"/>
        <scheme val="minor"/>
      </rPr>
      <t>Fixed Value</t>
    </r>
    <r>
      <rPr>
        <sz val="11"/>
        <color theme="1"/>
        <rFont val="Calibri"/>
        <family val="2"/>
        <scheme val="minor"/>
      </rPr>
      <t xml:space="preserve"> - Adjust only if programming or circuitry changes</t>
    </r>
  </si>
  <si>
    <r>
      <rPr>
        <b/>
        <sz val="11"/>
        <color theme="1"/>
        <rFont val="Calibri"/>
        <family val="2"/>
        <scheme val="minor"/>
      </rPr>
      <t>Burn Wire Settings</t>
    </r>
    <r>
      <rPr>
        <sz val="11"/>
        <color theme="1"/>
        <rFont val="Calibri"/>
        <family val="2"/>
        <scheme val="minor"/>
      </rPr>
      <t xml:space="preserve"> - Program these values into burn wire release</t>
    </r>
  </si>
  <si>
    <r>
      <rPr>
        <b/>
        <sz val="11"/>
        <color theme="1"/>
        <rFont val="Calibri"/>
        <family val="2"/>
        <scheme val="minor"/>
      </rPr>
      <t>Calculated Value</t>
    </r>
    <r>
      <rPr>
        <sz val="11"/>
        <color theme="1"/>
        <rFont val="Calibri"/>
        <family val="2"/>
        <scheme val="minor"/>
      </rPr>
      <t xml:space="preserve"> - only change formula if programming changes</t>
    </r>
  </si>
  <si>
    <t>Phase</t>
  </si>
  <si>
    <t>TOTAL</t>
  </si>
  <si>
    <t>Max Time Per Instance</t>
  </si>
  <si>
    <t>filename</t>
  </si>
  <si>
    <t>botdat.txt</t>
  </si>
  <si>
    <t>prodat.txt</t>
  </si>
  <si>
    <t>icedat.txt</t>
  </si>
  <si>
    <t>Value needs to be verified</t>
  </si>
  <si>
    <t xml:space="preserve"> Approx. Messages</t>
  </si>
  <si>
    <t>Filename</t>
  </si>
  <si>
    <t>Number of Messages</t>
  </si>
  <si>
    <t>summary.txt</t>
  </si>
  <si>
    <t>Files</t>
  </si>
  <si>
    <t># of Successful Messages Per Cycle</t>
  </si>
  <si>
    <t>Messages from Files</t>
  </si>
  <si>
    <t>Number of Cycles</t>
  </si>
  <si>
    <r>
      <t>"</t>
    </r>
    <r>
      <rPr>
        <i/>
        <sz val="11"/>
        <color theme="1"/>
        <rFont val="Calibri"/>
        <family val="2"/>
        <scheme val="minor"/>
      </rPr>
      <t>Hello!</t>
    </r>
    <r>
      <rPr>
        <sz val="11"/>
        <color theme="1"/>
        <rFont val="Calibri"/>
        <family val="2"/>
        <scheme val="minor"/>
      </rPr>
      <t>" Messages</t>
    </r>
  </si>
  <si>
    <t>Total Number of Messages</t>
  </si>
  <si>
    <t>Power Estimate</t>
  </si>
  <si>
    <t>Cost Per Credit (British Pounds)</t>
  </si>
  <si>
    <t>Cost Per Credit (US Dollars)</t>
  </si>
  <si>
    <t>Message Estimates</t>
  </si>
  <si>
    <t>Rockblock Credits</t>
  </si>
  <si>
    <t>Exchange Rate (GBP to USD)</t>
  </si>
  <si>
    <t>Data Cost</t>
  </si>
  <si>
    <t>Total Power Required</t>
  </si>
  <si>
    <t>Battery Pack Nominal Power</t>
  </si>
  <si>
    <t>Battery De-Rating for Cold</t>
  </si>
  <si>
    <t>Extra Power Available</t>
  </si>
  <si>
    <t>Timeline</t>
  </si>
  <si>
    <t>End of Profile</t>
  </si>
  <si>
    <t>First GPS Fix</t>
  </si>
  <si>
    <t>At Surface - Search for GPS</t>
  </si>
  <si>
    <t>Average Time Per Instance</t>
  </si>
  <si>
    <t>Under Ice - Look for GPS Fix (Once/Day)</t>
  </si>
  <si>
    <t>Additional Sample Sets</t>
  </si>
  <si>
    <t>At Surface - Transmit Data</t>
  </si>
  <si>
    <t>At Surface - Transmit Extra Sample Sets</t>
  </si>
  <si>
    <t>Power Needed to Transmit All Ice Data</t>
  </si>
  <si>
    <t>Power Needed to Transmit Extras</t>
  </si>
  <si>
    <t>Last Under Ice Data Sent</t>
  </si>
  <si>
    <t>Last Extra Info Sent</t>
  </si>
  <si>
    <t>Time Between Transmission Attempts</t>
  </si>
  <si>
    <t>Total Time to Transmit Under Ice Data</t>
  </si>
  <si>
    <t>Total Time to Transmit Extras</t>
  </si>
  <si>
    <t xml:space="preserve">Unit Start </t>
  </si>
  <si>
    <t>Estimated Battery Remaining</t>
  </si>
  <si>
    <t>Initial Battery (De-Rated)</t>
  </si>
  <si>
    <t>Initial Battery (Nominal)</t>
  </si>
  <si>
    <t>Total Actual Power Available</t>
  </si>
  <si>
    <t>Under Ice - Look for GPS Fix Hourly</t>
  </si>
  <si>
    <t>Pre-Release Wake Up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</si>
</sst>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m/d/yyyy\ h:mm:ss"/>
    <numFmt numFmtId="165" formatCode="0\ &quot;mA&quot;"/>
    <numFmt numFmtId="166" formatCode="0\ &quot;mAh&quot;"/>
    <numFmt numFmtId="167" formatCode="0\ &quot;bytes&quot;"/>
    <numFmt numFmtId="168" formatCode="0.000\ &quot;mA&quot;"/>
    <numFmt numFmtId="169" formatCode="0\ &quot;samples&quot;"/>
    <numFmt numFmtId="170" formatCode="0.00\ &quot;Ah&quot;"/>
    <numFmt numFmtId="171" formatCode="[$£-809]#,##0.00"/>
    <numFmt numFmtId="172" formatCode="&quot;$&quot;#,##0.00"/>
    <numFmt numFmtId="173" formatCode="0.00\ &quot;hr&quot;"/>
    <numFmt numFmtId="174" formatCode="0\ &quot;seconds&quot;"/>
    <numFmt numFmtId="175" formatCode="&quot; =&quot;\ 0.00\ &quot;hr&quot;"/>
    <numFmt numFmtId="176" formatCode="0.0\ &quot;mA&quot;"/>
    <numFmt numFmtId="177" formatCode="0\ &quot;Hz&quot;"/>
    <numFmt numFmtId="178" formatCode="0.0\ &quot;mAh&quot;"/>
    <numFmt numFmtId="179" formatCode="0.000\ &quot;Days&quot;"/>
    <numFmt numFmtId="180" formatCode="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left"/>
    </xf>
    <xf numFmtId="174" fontId="0" fillId="0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74" fontId="0" fillId="2" borderId="1" xfId="0" applyNumberFormat="1" applyFill="1" applyBorder="1" applyAlignment="1">
      <alignment horizontal="center"/>
    </xf>
    <xf numFmtId="175" fontId="4" fillId="0" borderId="4" xfId="0" applyNumberFormat="1" applyFont="1" applyBorder="1" applyAlignment="1">
      <alignment horizontal="center"/>
    </xf>
    <xf numFmtId="175" fontId="4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76" fontId="0" fillId="4" borderId="1" xfId="0" applyNumberFormat="1" applyFill="1" applyBorder="1" applyAlignment="1">
      <alignment horizontal="center"/>
    </xf>
    <xf numFmtId="174" fontId="0" fillId="4" borderId="1" xfId="0" applyNumberForma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Border="1"/>
    <xf numFmtId="174" fontId="0" fillId="0" borderId="0" xfId="0" applyNumberFormat="1" applyFill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0" borderId="0" xfId="0" applyBorder="1" applyAlignment="1">
      <alignment horizontal="left"/>
    </xf>
    <xf numFmtId="169" fontId="1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0" fontId="5" fillId="0" borderId="1" xfId="0" applyFont="1" applyBorder="1"/>
    <xf numFmtId="1" fontId="0" fillId="2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72" fontId="1" fillId="3" borderId="1" xfId="0" applyNumberFormat="1" applyFont="1" applyFill="1" applyBorder="1" applyAlignment="1">
      <alignment horizontal="center"/>
    </xf>
    <xf numFmtId="172" fontId="0" fillId="3" borderId="1" xfId="0" applyNumberFormat="1" applyFill="1" applyBorder="1" applyAlignment="1">
      <alignment horizontal="center"/>
    </xf>
    <xf numFmtId="170" fontId="1" fillId="3" borderId="1" xfId="0" applyNumberFormat="1" applyFont="1" applyFill="1" applyBorder="1" applyAlignment="1">
      <alignment horizontal="center"/>
    </xf>
    <xf numFmtId="174" fontId="0" fillId="6" borderId="1" xfId="0" applyNumberFormat="1" applyFill="1" applyBorder="1" applyAlignment="1">
      <alignment horizontal="center"/>
    </xf>
    <xf numFmtId="173" fontId="0" fillId="3" borderId="1" xfId="0" applyNumberFormat="1" applyFill="1" applyBorder="1" applyAlignment="1">
      <alignment horizontal="center"/>
    </xf>
    <xf numFmtId="166" fontId="0" fillId="3" borderId="1" xfId="0" applyNumberFormat="1" applyFont="1" applyFill="1" applyBorder="1" applyAlignment="1">
      <alignment horizontal="center"/>
    </xf>
    <xf numFmtId="170" fontId="0" fillId="3" borderId="1" xfId="0" applyNumberFormat="1" applyFont="1" applyFill="1" applyBorder="1" applyAlignment="1">
      <alignment horizontal="center"/>
    </xf>
    <xf numFmtId="170" fontId="0" fillId="3" borderId="1" xfId="0" applyNumberFormat="1" applyFill="1" applyBorder="1"/>
    <xf numFmtId="170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17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0" fontId="0" fillId="0" borderId="3" xfId="0" applyBorder="1" applyAlignment="1"/>
    <xf numFmtId="0" fontId="1" fillId="0" borderId="1" xfId="0" applyFont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</a:t>
            </a:r>
            <a:r>
              <a:rPr lang="en-US" baseline="0"/>
              <a:t> Up Battery Power</a:t>
            </a:r>
            <a:endParaRPr lang="en-US"/>
          </a:p>
        </c:rich>
      </c:tx>
      <c:layout>
        <c:manualLayout>
          <c:xMode val="edge"/>
          <c:yMode val="edge"/>
          <c:x val="0.39706394550614665"/>
          <c:y val="1.35021061159224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959894913798016E-2"/>
          <c:y val="7.0231387743198773E-2"/>
          <c:w val="0.78224212039720198"/>
          <c:h val="0.838658667666541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'Dyson Deployment 10-2017'!$F$85</c:f>
              <c:strCache>
                <c:ptCount val="1"/>
                <c:pt idx="0">
                  <c:v>Initial Battery (Nominal)</c:v>
                </c:pt>
              </c:strCache>
            </c:strRef>
          </c:tx>
          <c:spPr>
            <a:ln w="28575"/>
          </c:spPr>
          <c:marker>
            <c:symbol val="none"/>
          </c:marker>
          <c:xVal>
            <c:numRef>
              <c:f>'Dyson Deployment 10-2017'!$C$86:$C$92</c:f>
              <c:numCache>
                <c:formatCode>m/d/yyyy\ h:mm:ss</c:formatCode>
                <c:ptCount val="7"/>
                <c:pt idx="0">
                  <c:v>43372</c:v>
                </c:pt>
                <c:pt idx="1">
                  <c:v>43539.541666666664</c:v>
                </c:pt>
                <c:pt idx="2">
                  <c:v>43539.709374999999</c:v>
                </c:pt>
                <c:pt idx="3">
                  <c:v>43539.75</c:v>
                </c:pt>
                <c:pt idx="4">
                  <c:v>43639.75</c:v>
                </c:pt>
                <c:pt idx="5">
                  <c:v>43641.503993055558</c:v>
                </c:pt>
                <c:pt idx="6">
                  <c:v>43641.664543402781</c:v>
                </c:pt>
              </c:numCache>
            </c:numRef>
          </c:xVal>
          <c:yVal>
            <c:numRef>
              <c:f>'Dyson Deployment 10-2017'!$F$86:$F$92</c:f>
              <c:numCache>
                <c:formatCode>0.00\ "Ah"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'Dyson Deployment 10-2017'!$E$85</c:f>
              <c:strCache>
                <c:ptCount val="1"/>
                <c:pt idx="0">
                  <c:v>Initial Battery (De-Rated)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'Dyson Deployment 10-2017'!$C$86:$C$92</c:f>
              <c:numCache>
                <c:formatCode>m/d/yyyy\ h:mm:ss</c:formatCode>
                <c:ptCount val="7"/>
                <c:pt idx="0">
                  <c:v>43372</c:v>
                </c:pt>
                <c:pt idx="1">
                  <c:v>43539.541666666664</c:v>
                </c:pt>
                <c:pt idx="2">
                  <c:v>43539.709374999999</c:v>
                </c:pt>
                <c:pt idx="3">
                  <c:v>43539.75</c:v>
                </c:pt>
                <c:pt idx="4">
                  <c:v>43639.75</c:v>
                </c:pt>
                <c:pt idx="5">
                  <c:v>43641.503993055558</c:v>
                </c:pt>
                <c:pt idx="6">
                  <c:v>43641.664543402781</c:v>
                </c:pt>
              </c:numCache>
            </c:numRef>
          </c:xVal>
          <c:yVal>
            <c:numRef>
              <c:f>'Dyson Deployment 10-2017'!$E$86:$E$92</c:f>
              <c:numCache>
                <c:formatCode>0.00\ "Ah"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yVal>
          <c:smooth val="0"/>
        </c:ser>
        <c:ser>
          <c:idx val="0"/>
          <c:order val="2"/>
          <c:tx>
            <c:v>Estimated Battery Remaining (De-Rated for Cold)</c:v>
          </c:tx>
          <c:spPr>
            <a:ln>
              <a:prstDash val="sysDash"/>
            </a:ln>
          </c:spPr>
          <c:marker>
            <c:symbol val="square"/>
            <c:size val="8"/>
          </c:marker>
          <c:dLbls>
            <c:dLbl>
              <c:idx val="0"/>
              <c:layout>
                <c:manualLayout>
                  <c:x val="-4.9630326814660668E-2"/>
                  <c:y val="-2.61224422632319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Unit Start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4094330002848771"/>
                  <c:y val="-2.01924960923612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Pre-Release Wake Up Time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4893957791699878E-2"/>
                  <c:y val="3.30032079323417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End of Profile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0889160837211451E-2"/>
                  <c:y val="5.988918051910177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Ice Free Date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7324317664980637E-4"/>
                  <c:y val="-4.353740377205323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First GPS Fix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598919182693861E-3"/>
                  <c:y val="6.824588150324865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Last Under Ice Data Sent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8180564897767394E-3"/>
                  <c:y val="1.87376274992185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Last Extra Info Sent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8416981830918162E-3"/>
                  <c:y val="6.530439158706520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Last Extra Info Sent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'Dyson Deployment 10-2017'!$C$86:$C$92</c:f>
              <c:numCache>
                <c:formatCode>m/d/yyyy\ h:mm:ss</c:formatCode>
                <c:ptCount val="7"/>
                <c:pt idx="0">
                  <c:v>43372</c:v>
                </c:pt>
                <c:pt idx="1">
                  <c:v>43539.541666666664</c:v>
                </c:pt>
                <c:pt idx="2">
                  <c:v>43539.709374999999</c:v>
                </c:pt>
                <c:pt idx="3">
                  <c:v>43539.75</c:v>
                </c:pt>
                <c:pt idx="4">
                  <c:v>43639.75</c:v>
                </c:pt>
                <c:pt idx="5">
                  <c:v>43641.503993055558</c:v>
                </c:pt>
                <c:pt idx="6">
                  <c:v>43641.664543402781</c:v>
                </c:pt>
              </c:numCache>
            </c:numRef>
          </c:xVal>
          <c:yVal>
            <c:numRef>
              <c:f>'Dyson Deployment 10-2017'!$D$86:$D$92</c:f>
              <c:numCache>
                <c:formatCode>0.00\ "Ah"</c:formatCode>
                <c:ptCount val="7"/>
                <c:pt idx="0">
                  <c:v>21</c:v>
                </c:pt>
                <c:pt idx="1">
                  <c:v>20.956417500000001</c:v>
                </c:pt>
                <c:pt idx="2">
                  <c:v>20.662542500000001</c:v>
                </c:pt>
                <c:pt idx="3">
                  <c:v>20.661631249999999</c:v>
                </c:pt>
                <c:pt idx="4">
                  <c:v>6.7536312499999998</c:v>
                </c:pt>
                <c:pt idx="5">
                  <c:v>2.5373062500000003</c:v>
                </c:pt>
                <c:pt idx="6">
                  <c:v>2.2289771666666671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92320"/>
        <c:axId val="123995648"/>
      </c:scatterChart>
      <c:valAx>
        <c:axId val="1239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0"/>
        <c:majorTickMark val="out"/>
        <c:minorTickMark val="none"/>
        <c:tickLblPos val="nextTo"/>
        <c:crossAx val="123995648"/>
        <c:crosses val="autoZero"/>
        <c:crossBetween val="midCat"/>
      </c:valAx>
      <c:valAx>
        <c:axId val="123995648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Battery Remaining</a:t>
                </a:r>
              </a:p>
            </c:rich>
          </c:tx>
          <c:overlay val="0"/>
        </c:title>
        <c:numFmt formatCode="0.00\ &quot;Ah&quot;" sourceLinked="1"/>
        <c:majorTickMark val="out"/>
        <c:minorTickMark val="none"/>
        <c:tickLblPos val="nextTo"/>
        <c:crossAx val="123992320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23564015341455813"/>
          <c:y val="0.51878417913708108"/>
          <c:w val="0.29834856735623277"/>
          <c:h val="0.114812148481439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62</xdr:row>
      <xdr:rowOff>85725</xdr:rowOff>
    </xdr:from>
    <xdr:to>
      <xdr:col>19</xdr:col>
      <xdr:colOff>76200</xdr:colOff>
      <xdr:row>91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N112"/>
  <sheetViews>
    <sheetView tabSelected="1" zoomScale="85" zoomScaleNormal="85" workbookViewId="0">
      <selection activeCell="G21" sqref="G21"/>
    </sheetView>
  </sheetViews>
  <sheetFormatPr defaultRowHeight="15" x14ac:dyDescent="0.25"/>
  <cols>
    <col min="2" max="2" width="36.7109375" bestFit="1" customWidth="1"/>
    <col min="3" max="3" width="22.140625" customWidth="1"/>
    <col min="4" max="4" width="15.85546875" customWidth="1"/>
    <col min="5" max="5" width="10.7109375" customWidth="1"/>
    <col min="6" max="6" width="17.7109375" customWidth="1"/>
    <col min="7" max="7" width="13.28515625" customWidth="1"/>
    <col min="8" max="8" width="12.42578125" customWidth="1"/>
    <col min="9" max="9" width="14" customWidth="1"/>
    <col min="10" max="10" width="15.85546875" customWidth="1"/>
    <col min="11" max="11" width="13.7109375" customWidth="1"/>
    <col min="12" max="12" width="11" customWidth="1"/>
    <col min="13" max="13" width="11.42578125" customWidth="1"/>
    <col min="14" max="14" width="11.7109375" customWidth="1"/>
    <col min="15" max="15" width="12.28515625" customWidth="1"/>
  </cols>
  <sheetData>
    <row r="2" spans="2:14" x14ac:dyDescent="0.25">
      <c r="B2" s="66" t="s">
        <v>17</v>
      </c>
      <c r="C2" s="67"/>
      <c r="D2" s="68"/>
      <c r="E2" s="68"/>
      <c r="F2" s="68"/>
      <c r="G2" s="68"/>
      <c r="I2" s="71" t="s">
        <v>41</v>
      </c>
      <c r="J2" s="72"/>
      <c r="K2" s="70"/>
      <c r="L2" s="70"/>
      <c r="M2" s="70"/>
      <c r="N2" s="70"/>
    </row>
    <row r="3" spans="2:14" x14ac:dyDescent="0.25">
      <c r="B3" s="26" t="s">
        <v>36</v>
      </c>
      <c r="C3" s="17">
        <v>43370.520833333336</v>
      </c>
      <c r="D3" s="68"/>
      <c r="E3" s="68"/>
      <c r="F3" s="68"/>
      <c r="G3" s="68"/>
      <c r="I3" s="34"/>
      <c r="J3" s="69" t="s">
        <v>42</v>
      </c>
      <c r="K3" s="70"/>
      <c r="L3" s="70"/>
      <c r="M3" s="70"/>
      <c r="N3" s="70"/>
    </row>
    <row r="4" spans="2:14" x14ac:dyDescent="0.25">
      <c r="B4" s="40" t="s">
        <v>91</v>
      </c>
      <c r="C4" s="17">
        <v>43372</v>
      </c>
      <c r="D4" s="68" t="str">
        <f ca="1">IF(C4&lt;TODAY(),"&lt;-- WARNING!!! START TIME MUST BE AFTER TODAY'S DATE","")</f>
        <v/>
      </c>
      <c r="E4" s="68"/>
      <c r="F4" s="68"/>
      <c r="G4" s="68"/>
      <c r="I4" s="30"/>
      <c r="J4" s="69" t="s">
        <v>44</v>
      </c>
      <c r="K4" s="70"/>
      <c r="L4" s="70"/>
      <c r="M4" s="70"/>
      <c r="N4" s="70"/>
    </row>
    <row r="5" spans="2:14" x14ac:dyDescent="0.25">
      <c r="B5" s="40" t="s">
        <v>0</v>
      </c>
      <c r="C5" s="17">
        <v>43539.625</v>
      </c>
      <c r="D5" s="68" t="str">
        <f>IF(C5&lt;C4,"&lt;-- WARNING!!! RELEASE TIME IS BEFORE UNIT START","")</f>
        <v/>
      </c>
      <c r="E5" s="68"/>
      <c r="F5" s="68"/>
      <c r="G5" s="68"/>
      <c r="I5" s="25"/>
      <c r="J5" s="69" t="s">
        <v>43</v>
      </c>
      <c r="K5" s="70"/>
      <c r="L5" s="70"/>
      <c r="M5" s="70"/>
      <c r="N5" s="70"/>
    </row>
    <row r="6" spans="2:14" x14ac:dyDescent="0.25">
      <c r="B6" s="40" t="s">
        <v>1</v>
      </c>
      <c r="C6" s="17">
        <v>43539.75</v>
      </c>
      <c r="D6" s="68" t="str">
        <f>IF(C6&lt;C5,"&lt;-- WARNING!!! ICE FREE DATE IS BEFORE RELEASE TIME","")</f>
        <v/>
      </c>
      <c r="E6" s="68"/>
      <c r="F6" s="68"/>
      <c r="G6" s="68"/>
      <c r="I6" s="11"/>
      <c r="J6" s="69" t="s">
        <v>45</v>
      </c>
      <c r="K6" s="70"/>
      <c r="L6" s="70"/>
      <c r="M6" s="70"/>
      <c r="N6" s="70"/>
    </row>
    <row r="7" spans="2:14" x14ac:dyDescent="0.25">
      <c r="B7" s="40" t="s">
        <v>18</v>
      </c>
      <c r="C7" s="18">
        <v>21600</v>
      </c>
      <c r="D7" s="19">
        <f>C7/60/60</f>
        <v>6</v>
      </c>
      <c r="E7" s="68" t="s">
        <v>22</v>
      </c>
      <c r="F7" s="70"/>
      <c r="G7" s="70"/>
      <c r="I7" s="50"/>
      <c r="J7" s="76" t="s">
        <v>53</v>
      </c>
      <c r="K7" s="70"/>
      <c r="L7" s="70"/>
      <c r="M7" s="70"/>
      <c r="N7" s="70"/>
    </row>
    <row r="8" spans="2:14" x14ac:dyDescent="0.25">
      <c r="B8" s="40" t="s">
        <v>97</v>
      </c>
      <c r="C8" s="18">
        <v>7200</v>
      </c>
      <c r="D8" s="20">
        <f>C8/60/60</f>
        <v>2</v>
      </c>
      <c r="E8" s="68" t="s">
        <v>22</v>
      </c>
      <c r="F8" s="70"/>
      <c r="G8" s="70"/>
    </row>
    <row r="9" spans="2:14" x14ac:dyDescent="0.25">
      <c r="B9" s="40" t="s">
        <v>20</v>
      </c>
      <c r="C9" s="18">
        <v>3600</v>
      </c>
      <c r="D9" s="20">
        <f>C9/60/60</f>
        <v>1</v>
      </c>
      <c r="E9" s="68" t="s">
        <v>23</v>
      </c>
      <c r="F9" s="70"/>
      <c r="G9" s="70"/>
    </row>
    <row r="10" spans="2:14" x14ac:dyDescent="0.25">
      <c r="B10" s="40" t="s">
        <v>21</v>
      </c>
      <c r="C10" s="18">
        <v>90</v>
      </c>
      <c r="D10" s="20"/>
      <c r="E10" s="68" t="s">
        <v>24</v>
      </c>
      <c r="F10" s="70"/>
      <c r="G10" s="70"/>
    </row>
    <row r="12" spans="2:14" x14ac:dyDescent="0.25">
      <c r="B12" s="77" t="s">
        <v>38</v>
      </c>
      <c r="C12" s="78"/>
      <c r="J12" s="35"/>
    </row>
    <row r="13" spans="2:14" x14ac:dyDescent="0.25">
      <c r="B13" s="31" t="s">
        <v>3</v>
      </c>
      <c r="C13" s="30">
        <f>FLOOR(C16,1)</f>
        <v>169</v>
      </c>
      <c r="J13" s="35"/>
    </row>
    <row r="14" spans="2:14" x14ac:dyDescent="0.25">
      <c r="B14" s="31" t="s">
        <v>39</v>
      </c>
      <c r="C14" s="30">
        <f>FLOOR((C16-C13)*24,1)</f>
        <v>2</v>
      </c>
      <c r="J14" s="35"/>
    </row>
    <row r="15" spans="2:14" x14ac:dyDescent="0.25">
      <c r="B15" s="31" t="s">
        <v>40</v>
      </c>
      <c r="C15" s="30">
        <f>((C16-C13)-C14/24)*24*60</f>
        <v>29.999999996507547</v>
      </c>
      <c r="J15" s="35"/>
    </row>
    <row r="16" spans="2:14" x14ac:dyDescent="0.25">
      <c r="B16" s="7" t="s">
        <v>37</v>
      </c>
      <c r="C16" s="29">
        <f>C5-C3</f>
        <v>169.10416666666424</v>
      </c>
      <c r="J16" s="35"/>
    </row>
    <row r="17" spans="2:13" x14ac:dyDescent="0.25">
      <c r="J17" s="35"/>
    </row>
    <row r="18" spans="2:13" x14ac:dyDescent="0.25">
      <c r="B18" s="6" t="s">
        <v>15</v>
      </c>
      <c r="C18" s="2" t="s">
        <v>25</v>
      </c>
      <c r="D18" s="2" t="s">
        <v>26</v>
      </c>
    </row>
    <row r="19" spans="2:13" x14ac:dyDescent="0.25">
      <c r="B19" s="9" t="s">
        <v>10</v>
      </c>
      <c r="C19" s="42">
        <v>1.4999999999999999E-2</v>
      </c>
      <c r="D19" s="2"/>
    </row>
    <row r="20" spans="2:13" x14ac:dyDescent="0.25">
      <c r="B20" s="9" t="s">
        <v>11</v>
      </c>
      <c r="C20" s="24">
        <v>78</v>
      </c>
      <c r="D20" s="25">
        <v>3</v>
      </c>
    </row>
    <row r="21" spans="2:13" x14ac:dyDescent="0.25">
      <c r="B21" s="1" t="s">
        <v>27</v>
      </c>
      <c r="C21" s="24">
        <v>73</v>
      </c>
      <c r="D21" s="13">
        <f>C8*2</f>
        <v>14400</v>
      </c>
    </row>
    <row r="22" spans="2:13" x14ac:dyDescent="0.25">
      <c r="B22" s="1" t="s">
        <v>13</v>
      </c>
      <c r="C22" s="24">
        <v>75</v>
      </c>
      <c r="D22" s="13">
        <f>C10</f>
        <v>90</v>
      </c>
    </row>
    <row r="23" spans="2:13" x14ac:dyDescent="0.25">
      <c r="B23" s="1" t="s">
        <v>14</v>
      </c>
      <c r="C23" s="24">
        <v>114</v>
      </c>
      <c r="D23" s="13">
        <v>180</v>
      </c>
    </row>
    <row r="24" spans="2:13" x14ac:dyDescent="0.25">
      <c r="B24" s="1" t="s">
        <v>16</v>
      </c>
      <c r="C24" s="24">
        <v>200</v>
      </c>
      <c r="D24" s="55">
        <v>60</v>
      </c>
    </row>
    <row r="26" spans="2:13" x14ac:dyDescent="0.25">
      <c r="B26" s="66" t="s">
        <v>32</v>
      </c>
      <c r="C26" s="67"/>
    </row>
    <row r="27" spans="2:13" x14ac:dyDescent="0.25">
      <c r="B27" s="1" t="s">
        <v>33</v>
      </c>
      <c r="C27" s="21">
        <v>4</v>
      </c>
    </row>
    <row r="28" spans="2:13" x14ac:dyDescent="0.25">
      <c r="B28" s="1" t="s">
        <v>34</v>
      </c>
      <c r="C28" s="10">
        <v>180</v>
      </c>
    </row>
    <row r="29" spans="2:13" x14ac:dyDescent="0.25">
      <c r="B29" s="27"/>
      <c r="C29" s="28"/>
    </row>
    <row r="30" spans="2:13" ht="30" x14ac:dyDescent="0.25">
      <c r="B30" s="2" t="s">
        <v>2</v>
      </c>
      <c r="C30" s="2" t="s">
        <v>46</v>
      </c>
      <c r="D30" s="2" t="s">
        <v>3</v>
      </c>
      <c r="E30" s="2" t="s">
        <v>28</v>
      </c>
      <c r="F30" s="2" t="s">
        <v>48</v>
      </c>
      <c r="G30" s="2" t="s">
        <v>29</v>
      </c>
      <c r="H30" s="2" t="s">
        <v>4</v>
      </c>
      <c r="I30" s="2" t="s">
        <v>5</v>
      </c>
      <c r="J30" s="2" t="s">
        <v>6</v>
      </c>
      <c r="K30" s="2" t="s">
        <v>30</v>
      </c>
      <c r="L30" s="23" t="s">
        <v>54</v>
      </c>
      <c r="M30" s="23" t="s">
        <v>49</v>
      </c>
    </row>
    <row r="31" spans="2:13" x14ac:dyDescent="0.25">
      <c r="B31" s="4" t="s">
        <v>7</v>
      </c>
      <c r="C31" s="32">
        <v>1</v>
      </c>
      <c r="D31" s="11">
        <f>C5-C4</f>
        <v>167.625</v>
      </c>
      <c r="E31" s="12">
        <f>24*60*60/C7</f>
        <v>4</v>
      </c>
      <c r="F31" s="13">
        <f>D20</f>
        <v>3</v>
      </c>
      <c r="G31" s="11">
        <f>E31*D31</f>
        <v>670.5</v>
      </c>
      <c r="H31" s="14">
        <f>C20</f>
        <v>78</v>
      </c>
      <c r="I31" s="15">
        <f t="shared" ref="I31:I37" si="0">H31*G31*F31/3600</f>
        <v>43.582500000000003</v>
      </c>
      <c r="J31" s="11">
        <f>G31</f>
        <v>670.5</v>
      </c>
      <c r="K31" s="39">
        <f t="shared" ref="K31:K36" si="1">J31*32</f>
        <v>21456</v>
      </c>
      <c r="L31" s="12">
        <f>CEILING(K31/100,1)</f>
        <v>215</v>
      </c>
      <c r="M31" s="40" t="s">
        <v>50</v>
      </c>
    </row>
    <row r="32" spans="2:13" x14ac:dyDescent="0.25">
      <c r="B32" s="4" t="s">
        <v>31</v>
      </c>
      <c r="C32" s="79">
        <v>2</v>
      </c>
      <c r="D32" s="16">
        <f>C8*2/(24*60*60)</f>
        <v>0.16666666666666666</v>
      </c>
      <c r="E32" s="12">
        <f>1</f>
        <v>1</v>
      </c>
      <c r="F32" s="13">
        <f>C8*2</f>
        <v>14400</v>
      </c>
      <c r="G32" s="11">
        <f>1</f>
        <v>1</v>
      </c>
      <c r="H32" s="14">
        <f>C21</f>
        <v>73</v>
      </c>
      <c r="I32" s="15">
        <f t="shared" si="0"/>
        <v>292</v>
      </c>
      <c r="J32" s="11">
        <f>G32</f>
        <v>1</v>
      </c>
      <c r="K32" s="39">
        <f t="shared" si="1"/>
        <v>32</v>
      </c>
      <c r="L32" s="12">
        <f t="shared" ref="L32:L36" si="2">CEILING(K32/100,1)</f>
        <v>1</v>
      </c>
      <c r="M32" s="40" t="s">
        <v>51</v>
      </c>
    </row>
    <row r="33" spans="2:13" x14ac:dyDescent="0.25">
      <c r="B33" s="4" t="s">
        <v>8</v>
      </c>
      <c r="C33" s="80"/>
      <c r="D33" s="11">
        <f>1</f>
        <v>1</v>
      </c>
      <c r="E33" s="12">
        <f>1</f>
        <v>1</v>
      </c>
      <c r="F33" s="13">
        <f>C10</f>
        <v>90</v>
      </c>
      <c r="G33" s="11">
        <f>1</f>
        <v>1</v>
      </c>
      <c r="H33" s="14">
        <f>C22</f>
        <v>75</v>
      </c>
      <c r="I33" s="22">
        <f t="shared" si="0"/>
        <v>1.875</v>
      </c>
      <c r="J33" s="11">
        <f>C27*C10</f>
        <v>360</v>
      </c>
      <c r="K33" s="39">
        <f t="shared" si="1"/>
        <v>11520</v>
      </c>
      <c r="L33" s="12">
        <f t="shared" si="2"/>
        <v>116</v>
      </c>
      <c r="M33" s="40" t="s">
        <v>51</v>
      </c>
    </row>
    <row r="34" spans="2:13" x14ac:dyDescent="0.25">
      <c r="B34" s="4" t="s">
        <v>9</v>
      </c>
      <c r="C34" s="79">
        <v>3</v>
      </c>
      <c r="D34" s="11">
        <f>C6-C5</f>
        <v>0.125</v>
      </c>
      <c r="E34" s="12">
        <v>23</v>
      </c>
      <c r="F34" s="13">
        <v>3</v>
      </c>
      <c r="G34" s="11">
        <f>E34*D34</f>
        <v>2.875</v>
      </c>
      <c r="H34" s="14">
        <v>78</v>
      </c>
      <c r="I34" s="15">
        <f t="shared" si="0"/>
        <v>0.18687500000000001</v>
      </c>
      <c r="J34" s="11">
        <f>D34*E34</f>
        <v>2.875</v>
      </c>
      <c r="K34" s="39">
        <f t="shared" si="1"/>
        <v>92</v>
      </c>
      <c r="L34" s="12">
        <f t="shared" si="2"/>
        <v>1</v>
      </c>
      <c r="M34" s="40" t="s">
        <v>52</v>
      </c>
    </row>
    <row r="35" spans="2:13" x14ac:dyDescent="0.25">
      <c r="B35" s="4" t="s">
        <v>80</v>
      </c>
      <c r="C35" s="80"/>
      <c r="D35" s="11">
        <f>C6-C5</f>
        <v>0.125</v>
      </c>
      <c r="E35" s="12">
        <v>1</v>
      </c>
      <c r="F35" s="13">
        <f>D23+D20</f>
        <v>183</v>
      </c>
      <c r="G35" s="11">
        <f>E35*D35</f>
        <v>0.125</v>
      </c>
      <c r="H35" s="14">
        <f>C23</f>
        <v>114</v>
      </c>
      <c r="I35" s="15">
        <f t="shared" si="0"/>
        <v>0.72437499999999999</v>
      </c>
      <c r="J35" s="11">
        <f>D35*E35</f>
        <v>0.125</v>
      </c>
      <c r="K35" s="39">
        <f t="shared" si="1"/>
        <v>4</v>
      </c>
      <c r="L35" s="12">
        <f t="shared" si="2"/>
        <v>1</v>
      </c>
      <c r="M35" s="40" t="s">
        <v>52</v>
      </c>
    </row>
    <row r="36" spans="2:13" x14ac:dyDescent="0.25">
      <c r="B36" s="4" t="s">
        <v>96</v>
      </c>
      <c r="C36" s="32">
        <v>4</v>
      </c>
      <c r="D36" s="41">
        <v>100</v>
      </c>
      <c r="E36" s="12">
        <f>24</f>
        <v>24</v>
      </c>
      <c r="F36" s="13">
        <f>D23+D20</f>
        <v>183</v>
      </c>
      <c r="G36" s="11">
        <f>E36*D36</f>
        <v>2400</v>
      </c>
      <c r="H36" s="14">
        <f>C23</f>
        <v>114</v>
      </c>
      <c r="I36" s="15">
        <f t="shared" si="0"/>
        <v>13908</v>
      </c>
      <c r="J36" s="11">
        <f>D36*E36</f>
        <v>2400</v>
      </c>
      <c r="K36" s="39">
        <f t="shared" si="1"/>
        <v>76800</v>
      </c>
      <c r="L36" s="12">
        <f t="shared" si="2"/>
        <v>768</v>
      </c>
      <c r="M36" s="40" t="s">
        <v>52</v>
      </c>
    </row>
    <row r="37" spans="2:13" x14ac:dyDescent="0.25">
      <c r="B37" s="4" t="s">
        <v>10</v>
      </c>
      <c r="C37" s="32"/>
      <c r="D37" s="11">
        <f>SUM(D31:D36)-D35</f>
        <v>268.91666666666663</v>
      </c>
      <c r="E37" s="12">
        <v>0</v>
      </c>
      <c r="F37" s="13">
        <f>24*D37*60*60</f>
        <v>23234399.999999996</v>
      </c>
      <c r="G37" s="11">
        <f>1</f>
        <v>1</v>
      </c>
      <c r="H37" s="43">
        <f>C19</f>
        <v>1.4999999999999999E-2</v>
      </c>
      <c r="I37" s="15">
        <f t="shared" si="0"/>
        <v>96.809999999999988</v>
      </c>
      <c r="J37" s="11">
        <f>0</f>
        <v>0</v>
      </c>
      <c r="K37" s="39">
        <f>0</f>
        <v>0</v>
      </c>
      <c r="L37" s="12">
        <f>0</f>
        <v>0</v>
      </c>
      <c r="M37" s="40" t="s">
        <v>52</v>
      </c>
    </row>
    <row r="38" spans="2:13" x14ac:dyDescent="0.25">
      <c r="H38" s="32" t="s">
        <v>47</v>
      </c>
      <c r="I38" s="38">
        <f>SUM(I31:I37)</f>
        <v>14343.178749999999</v>
      </c>
      <c r="J38" s="36">
        <f>SUM(J31:J37)</f>
        <v>3434.5</v>
      </c>
      <c r="K38" s="37">
        <f>SUM(K31:K37)</f>
        <v>109904</v>
      </c>
      <c r="L38" s="32">
        <f>SUM(L31:L37)</f>
        <v>1102</v>
      </c>
    </row>
    <row r="40" spans="2:13" x14ac:dyDescent="0.25">
      <c r="B40" s="71" t="s">
        <v>58</v>
      </c>
      <c r="C40" s="72"/>
      <c r="D40" s="70"/>
    </row>
    <row r="41" spans="2:13" ht="30" x14ac:dyDescent="0.25">
      <c r="B41" s="45" t="s">
        <v>55</v>
      </c>
      <c r="C41" s="2" t="s">
        <v>30</v>
      </c>
      <c r="D41" s="23" t="s">
        <v>56</v>
      </c>
    </row>
    <row r="42" spans="2:13" x14ac:dyDescent="0.25">
      <c r="B42" s="46" t="s">
        <v>50</v>
      </c>
      <c r="C42" s="39">
        <f>K31</f>
        <v>21456</v>
      </c>
      <c r="D42" s="44">
        <f>CEILING(C42/100,1)</f>
        <v>215</v>
      </c>
    </row>
    <row r="43" spans="2:13" x14ac:dyDescent="0.25">
      <c r="B43" s="47" t="s">
        <v>51</v>
      </c>
      <c r="C43" s="39">
        <f>SUM(K32:K33)</f>
        <v>11552</v>
      </c>
      <c r="D43" s="12">
        <f t="shared" ref="D43" si="3">CEILING(C43/100,1)</f>
        <v>116</v>
      </c>
    </row>
    <row r="44" spans="2:13" x14ac:dyDescent="0.25">
      <c r="B44" s="47" t="s">
        <v>52</v>
      </c>
      <c r="C44" s="39">
        <f>SUM(K34:K36)</f>
        <v>76896</v>
      </c>
      <c r="D44" s="12">
        <f>CEILING(C44/100,1)</f>
        <v>769</v>
      </c>
    </row>
    <row r="45" spans="2:13" x14ac:dyDescent="0.25">
      <c r="B45" s="47" t="s">
        <v>57</v>
      </c>
      <c r="C45" s="39">
        <v>40</v>
      </c>
      <c r="D45" s="12">
        <v>1</v>
      </c>
    </row>
    <row r="48" spans="2:13" x14ac:dyDescent="0.25">
      <c r="B48" s="66" t="s">
        <v>67</v>
      </c>
      <c r="C48" s="67"/>
    </row>
    <row r="49" spans="2:13" x14ac:dyDescent="0.25">
      <c r="B49" s="48" t="s">
        <v>59</v>
      </c>
      <c r="C49" s="49">
        <v>10</v>
      </c>
    </row>
    <row r="50" spans="2:13" x14ac:dyDescent="0.25">
      <c r="B50" s="7" t="s">
        <v>60</v>
      </c>
      <c r="C50" s="12">
        <f>SUM(D42:D45)</f>
        <v>1101</v>
      </c>
    </row>
    <row r="51" spans="2:13" x14ac:dyDescent="0.25">
      <c r="B51" s="7" t="s">
        <v>61</v>
      </c>
      <c r="C51" s="12">
        <f>CEILING(C50/(C49-1),1)</f>
        <v>123</v>
      </c>
    </row>
    <row r="52" spans="2:13" x14ac:dyDescent="0.25">
      <c r="B52" s="5" t="s">
        <v>62</v>
      </c>
      <c r="C52" s="12">
        <f>C51</f>
        <v>123</v>
      </c>
    </row>
    <row r="53" spans="2:13" x14ac:dyDescent="0.25">
      <c r="B53" s="32" t="s">
        <v>63</v>
      </c>
      <c r="C53" s="51">
        <f>C52+C50</f>
        <v>1224</v>
      </c>
    </row>
    <row r="55" spans="2:13" ht="30" x14ac:dyDescent="0.25">
      <c r="B55" s="2" t="s">
        <v>2</v>
      </c>
      <c r="C55" s="2" t="s">
        <v>46</v>
      </c>
      <c r="D55" s="2"/>
      <c r="E55" s="2"/>
      <c r="F55" s="2" t="s">
        <v>79</v>
      </c>
      <c r="G55" s="2" t="s">
        <v>29</v>
      </c>
      <c r="H55" s="2" t="s">
        <v>4</v>
      </c>
      <c r="I55" s="2" t="s">
        <v>5</v>
      </c>
      <c r="J55" s="2" t="s">
        <v>81</v>
      </c>
      <c r="K55" s="2" t="s">
        <v>30</v>
      </c>
      <c r="L55" s="23" t="s">
        <v>54</v>
      </c>
      <c r="M55" s="23" t="s">
        <v>49</v>
      </c>
    </row>
    <row r="56" spans="2:13" x14ac:dyDescent="0.25">
      <c r="B56" s="4" t="s">
        <v>78</v>
      </c>
      <c r="C56" s="79">
        <v>4</v>
      </c>
      <c r="D56" s="11"/>
      <c r="E56" s="12"/>
      <c r="F56" s="13">
        <v>35</v>
      </c>
      <c r="G56" s="11">
        <f>C51</f>
        <v>123</v>
      </c>
      <c r="H56" s="14">
        <v>114</v>
      </c>
      <c r="I56" s="15">
        <f>H56*G56*F56/3600</f>
        <v>136.32499999999999</v>
      </c>
      <c r="J56" s="11">
        <f>G56+C51/C49+C51/C49/C49</f>
        <v>136.53</v>
      </c>
      <c r="K56" s="39">
        <f>J56*32*2</f>
        <v>8737.92</v>
      </c>
      <c r="L56" s="12">
        <f>CEILING(K56/100,1)</f>
        <v>88</v>
      </c>
      <c r="M56" s="40" t="s">
        <v>52</v>
      </c>
    </row>
    <row r="57" spans="2:13" x14ac:dyDescent="0.25">
      <c r="B57" s="32" t="s">
        <v>82</v>
      </c>
      <c r="C57" s="81"/>
      <c r="D57" s="11"/>
      <c r="E57" s="12"/>
      <c r="F57" s="13">
        <f>D24</f>
        <v>60</v>
      </c>
      <c r="G57" s="11">
        <f>C53</f>
        <v>1224</v>
      </c>
      <c r="H57" s="14">
        <f>C24</f>
        <v>200</v>
      </c>
      <c r="I57" s="15">
        <f>H57*G57*F57/3600</f>
        <v>4080</v>
      </c>
      <c r="J57" s="11"/>
      <c r="K57" s="39"/>
      <c r="L57" s="12"/>
      <c r="M57" s="40" t="s">
        <v>52</v>
      </c>
    </row>
    <row r="58" spans="2:13" x14ac:dyDescent="0.25">
      <c r="B58" s="32" t="s">
        <v>78</v>
      </c>
      <c r="C58" s="81"/>
      <c r="D58" s="11"/>
      <c r="E58" s="12"/>
      <c r="F58" s="13">
        <v>35</v>
      </c>
      <c r="G58" s="11">
        <f>J56-G56</f>
        <v>13.530000000000001</v>
      </c>
      <c r="H58" s="14">
        <v>114</v>
      </c>
      <c r="I58" s="15">
        <f>H58*G58*F58/3600</f>
        <v>14.995750000000001</v>
      </c>
      <c r="J58" s="11"/>
      <c r="K58" s="39"/>
      <c r="L58" s="12"/>
      <c r="M58" s="40" t="s">
        <v>52</v>
      </c>
    </row>
    <row r="59" spans="2:13" x14ac:dyDescent="0.25">
      <c r="B59" s="32" t="s">
        <v>83</v>
      </c>
      <c r="C59" s="80"/>
      <c r="D59" s="11"/>
      <c r="E59" s="12"/>
      <c r="F59" s="13">
        <f>D24</f>
        <v>60</v>
      </c>
      <c r="G59" s="11">
        <f>L56</f>
        <v>88</v>
      </c>
      <c r="H59" s="14">
        <f>C24</f>
        <v>200</v>
      </c>
      <c r="I59" s="15">
        <f>H59*G59*F59/3600</f>
        <v>293.33333333333331</v>
      </c>
      <c r="J59" s="11"/>
      <c r="K59" s="39"/>
      <c r="L59" s="12"/>
      <c r="M59" s="40" t="s">
        <v>52</v>
      </c>
    </row>
    <row r="61" spans="2:13" x14ac:dyDescent="0.25">
      <c r="B61" s="48" t="s">
        <v>88</v>
      </c>
      <c r="C61" s="13">
        <v>600</v>
      </c>
    </row>
    <row r="62" spans="2:13" x14ac:dyDescent="0.25">
      <c r="B62" s="5" t="s">
        <v>89</v>
      </c>
      <c r="C62" s="56">
        <f>(F57*G57+F56*G56+G56*C61)/3600</f>
        <v>42.095833333333331</v>
      </c>
    </row>
    <row r="63" spans="2:13" x14ac:dyDescent="0.25">
      <c r="B63" s="5" t="s">
        <v>90</v>
      </c>
      <c r="C63" s="56">
        <f>(F59*G59+F58*G58+G58*C61)/3600</f>
        <v>3.8532083333333338</v>
      </c>
    </row>
    <row r="65" spans="2:3" x14ac:dyDescent="0.25">
      <c r="B65" s="66" t="s">
        <v>70</v>
      </c>
      <c r="C65" s="67"/>
    </row>
    <row r="66" spans="2:3" x14ac:dyDescent="0.25">
      <c r="B66" s="7" t="s">
        <v>68</v>
      </c>
      <c r="C66" s="12">
        <f>C53*2</f>
        <v>2448</v>
      </c>
    </row>
    <row r="67" spans="2:3" x14ac:dyDescent="0.25">
      <c r="B67" s="7" t="s">
        <v>65</v>
      </c>
      <c r="C67" s="63">
        <v>0.05</v>
      </c>
    </row>
    <row r="68" spans="2:3" x14ac:dyDescent="0.25">
      <c r="B68" s="7" t="s">
        <v>69</v>
      </c>
      <c r="C68" s="64">
        <v>1.34</v>
      </c>
    </row>
    <row r="69" spans="2:3" x14ac:dyDescent="0.25">
      <c r="B69" s="7" t="s">
        <v>66</v>
      </c>
      <c r="C69" s="53">
        <f>C68*C67</f>
        <v>6.7000000000000004E-2</v>
      </c>
    </row>
    <row r="70" spans="2:3" x14ac:dyDescent="0.25">
      <c r="B70" s="4" t="s">
        <v>12</v>
      </c>
      <c r="C70" s="52">
        <f>C69*C66</f>
        <v>164.01600000000002</v>
      </c>
    </row>
    <row r="72" spans="2:3" x14ac:dyDescent="0.25">
      <c r="B72" s="66" t="s">
        <v>64</v>
      </c>
      <c r="C72" s="67"/>
    </row>
    <row r="73" spans="2:3" x14ac:dyDescent="0.25">
      <c r="B73" s="7" t="s">
        <v>72</v>
      </c>
      <c r="C73" s="60">
        <v>28</v>
      </c>
    </row>
    <row r="74" spans="2:3" x14ac:dyDescent="0.25">
      <c r="B74" s="7" t="s">
        <v>73</v>
      </c>
      <c r="C74" s="65">
        <v>0.75</v>
      </c>
    </row>
    <row r="75" spans="2:3" x14ac:dyDescent="0.25">
      <c r="B75" s="7" t="s">
        <v>95</v>
      </c>
      <c r="C75" s="60">
        <f>C74*C73</f>
        <v>21</v>
      </c>
    </row>
    <row r="76" spans="2:3" x14ac:dyDescent="0.25">
      <c r="B76" s="33" t="s">
        <v>35</v>
      </c>
      <c r="C76" s="15">
        <f>I38</f>
        <v>14343.178749999999</v>
      </c>
    </row>
    <row r="77" spans="2:3" x14ac:dyDescent="0.25">
      <c r="B77" s="48" t="s">
        <v>84</v>
      </c>
      <c r="C77" s="57">
        <f>I56+I57</f>
        <v>4216.3249999999998</v>
      </c>
    </row>
    <row r="78" spans="2:3" x14ac:dyDescent="0.25">
      <c r="B78" s="48" t="s">
        <v>85</v>
      </c>
      <c r="C78" s="57">
        <f>I58+I59</f>
        <v>308.3290833333333</v>
      </c>
    </row>
    <row r="79" spans="2:3" x14ac:dyDescent="0.25">
      <c r="B79" s="48" t="s">
        <v>71</v>
      </c>
      <c r="C79" s="58">
        <f>C77+C76</f>
        <v>18559.50375</v>
      </c>
    </row>
    <row r="80" spans="2:3" x14ac:dyDescent="0.25">
      <c r="B80" s="32" t="s">
        <v>71</v>
      </c>
      <c r="C80" s="54">
        <f>C79/1000</f>
        <v>18.559503750000001</v>
      </c>
    </row>
    <row r="81" spans="2:6" x14ac:dyDescent="0.25">
      <c r="B81" s="7" t="s">
        <v>74</v>
      </c>
      <c r="C81" s="60">
        <f>C75-C80</f>
        <v>2.4404962499999989</v>
      </c>
    </row>
    <row r="82" spans="2:6" x14ac:dyDescent="0.25">
      <c r="B82" s="7" t="s">
        <v>74</v>
      </c>
      <c r="C82" s="61">
        <f>C81/C75</f>
        <v>0.1162141071428571</v>
      </c>
    </row>
    <row r="83" spans="2:6" x14ac:dyDescent="0.25">
      <c r="C83" s="3"/>
    </row>
    <row r="84" spans="2:6" x14ac:dyDescent="0.25">
      <c r="B84" s="66" t="s">
        <v>75</v>
      </c>
      <c r="C84" s="73"/>
      <c r="D84" s="74"/>
      <c r="E84" s="74"/>
      <c r="F84" s="75"/>
    </row>
    <row r="85" spans="2:6" ht="45" x14ac:dyDescent="0.25">
      <c r="B85" s="2"/>
      <c r="C85" s="2" t="s">
        <v>26</v>
      </c>
      <c r="D85" s="2" t="s">
        <v>92</v>
      </c>
      <c r="E85" s="2" t="s">
        <v>93</v>
      </c>
      <c r="F85" s="2" t="s">
        <v>94</v>
      </c>
    </row>
    <row r="86" spans="2:6" x14ac:dyDescent="0.25">
      <c r="B86" s="1" t="str">
        <f>B4</f>
        <v xml:space="preserve">Unit Start </v>
      </c>
      <c r="C86" s="62">
        <f>C4</f>
        <v>43372</v>
      </c>
      <c r="D86" s="59">
        <f>C75</f>
        <v>21</v>
      </c>
      <c r="E86" s="59">
        <v>21</v>
      </c>
      <c r="F86" s="59">
        <v>28</v>
      </c>
    </row>
    <row r="87" spans="2:6" x14ac:dyDescent="0.25">
      <c r="B87" s="1" t="s">
        <v>19</v>
      </c>
      <c r="C87" s="62">
        <f>C5-C8/60/60/24</f>
        <v>43539.541666666664</v>
      </c>
      <c r="D87" s="59">
        <f>D86-I31/1000</f>
        <v>20.956417500000001</v>
      </c>
      <c r="E87" s="59">
        <v>21</v>
      </c>
      <c r="F87" s="59">
        <v>28</v>
      </c>
    </row>
    <row r="88" spans="2:6" x14ac:dyDescent="0.25">
      <c r="B88" s="1" t="s">
        <v>76</v>
      </c>
      <c r="C88" s="62">
        <f>C5+(C8+C10)/60/60/24</f>
        <v>43539.709374999999</v>
      </c>
      <c r="D88" s="59">
        <f>D87-(I32+I33)/1000</f>
        <v>20.662542500000001</v>
      </c>
      <c r="E88" s="59">
        <v>21</v>
      </c>
      <c r="F88" s="59">
        <v>28</v>
      </c>
    </row>
    <row r="89" spans="2:6" x14ac:dyDescent="0.25">
      <c r="B89" s="1" t="s">
        <v>1</v>
      </c>
      <c r="C89" s="62">
        <f>C6</f>
        <v>43539.75</v>
      </c>
      <c r="D89" s="59">
        <f>D88-(I34+I35)/1000</f>
        <v>20.661631249999999</v>
      </c>
      <c r="E89" s="59">
        <v>21</v>
      </c>
      <c r="F89" s="59">
        <v>28</v>
      </c>
    </row>
    <row r="90" spans="2:6" x14ac:dyDescent="0.25">
      <c r="B90" s="1" t="s">
        <v>77</v>
      </c>
      <c r="C90" s="62">
        <f>C89+D36</f>
        <v>43639.75</v>
      </c>
      <c r="D90" s="59">
        <f>D89-I36/1000</f>
        <v>6.7536312499999998</v>
      </c>
      <c r="E90" s="59">
        <v>21</v>
      </c>
      <c r="F90" s="59">
        <v>28</v>
      </c>
    </row>
    <row r="91" spans="2:6" x14ac:dyDescent="0.25">
      <c r="B91" s="1" t="s">
        <v>86</v>
      </c>
      <c r="C91" s="62">
        <f>C90+C62/24</f>
        <v>43641.503993055558</v>
      </c>
      <c r="D91" s="59">
        <f>D90-(I56+I57)/1000</f>
        <v>2.5373062500000003</v>
      </c>
      <c r="E91" s="59">
        <v>21</v>
      </c>
      <c r="F91" s="59">
        <v>28</v>
      </c>
    </row>
    <row r="92" spans="2:6" x14ac:dyDescent="0.25">
      <c r="B92" s="1" t="s">
        <v>87</v>
      </c>
      <c r="C92" s="62">
        <f>C91+C63/24</f>
        <v>43641.664543402781</v>
      </c>
      <c r="D92" s="59">
        <f>D91-(I58+I59)/1000</f>
        <v>2.2289771666666671</v>
      </c>
      <c r="E92" s="59">
        <v>21</v>
      </c>
      <c r="F92" s="59">
        <v>28</v>
      </c>
    </row>
    <row r="112" spans="5:5" x14ac:dyDescent="0.25">
      <c r="E112" s="8"/>
    </row>
  </sheetData>
  <mergeCells count="26">
    <mergeCell ref="B84:F84"/>
    <mergeCell ref="J7:N7"/>
    <mergeCell ref="B40:D40"/>
    <mergeCell ref="B48:C48"/>
    <mergeCell ref="B72:C72"/>
    <mergeCell ref="B65:C65"/>
    <mergeCell ref="E7:G7"/>
    <mergeCell ref="B12:C12"/>
    <mergeCell ref="E8:G8"/>
    <mergeCell ref="E9:G9"/>
    <mergeCell ref="E10:G10"/>
    <mergeCell ref="B26:C26"/>
    <mergeCell ref="C32:C33"/>
    <mergeCell ref="C34:C35"/>
    <mergeCell ref="C56:C59"/>
    <mergeCell ref="J3:N3"/>
    <mergeCell ref="J4:N4"/>
    <mergeCell ref="J5:N5"/>
    <mergeCell ref="J6:N6"/>
    <mergeCell ref="I2:N2"/>
    <mergeCell ref="B2:C2"/>
    <mergeCell ref="D2:G2"/>
    <mergeCell ref="D4:G4"/>
    <mergeCell ref="D5:G5"/>
    <mergeCell ref="D6:G6"/>
    <mergeCell ref="D3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Dyson Deployment 10-2017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2017-04-13T17:42:06Z</dcterms:created>
  <dcterms:modified xsi:type="dcterms:W3CDTF">2018-01-12T23:40:59Z</dcterms:modified>
</cp:coreProperties>
</file>