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5240" activeTab="4"/>
  </bookViews>
  <sheets>
    <sheet name="Sensors and Comms" sheetId="4" r:id="rId1"/>
    <sheet name="Battery" sheetId="6" r:id="rId2"/>
    <sheet name="Electronics Assembly" sheetId="2" r:id="rId3"/>
    <sheet name="Mechanical Assembly" sheetId="1" r:id="rId4"/>
    <sheet name="Machine Shop Parts" sheetId="10" r:id="rId5"/>
    <sheet name="Release Mechanism" sheetId="5" r:id="rId6"/>
    <sheet name="Vacuum Pump" sheetId="8" r:id="rId7"/>
    <sheet name="TOTAL COSTS" sheetId="7" r:id="rId8"/>
  </sheets>
  <calcPr calcId="145621"/>
</workbook>
</file>

<file path=xl/calcChain.xml><?xml version="1.0" encoding="utf-8"?>
<calcChain xmlns="http://schemas.openxmlformats.org/spreadsheetml/2006/main">
  <c r="D7" i="7" l="1"/>
  <c r="K44" i="1"/>
  <c r="K21" i="10"/>
  <c r="K20" i="10"/>
  <c r="K19" i="10"/>
  <c r="K18" i="10"/>
  <c r="K17" i="10"/>
  <c r="K16" i="10"/>
  <c r="K15" i="10"/>
  <c r="K12" i="10"/>
  <c r="K9" i="10"/>
  <c r="K4" i="10"/>
  <c r="K5" i="10"/>
  <c r="K6" i="10"/>
  <c r="K7" i="10"/>
  <c r="K8" i="10"/>
  <c r="K3" i="10"/>
  <c r="D12" i="7"/>
  <c r="C12" i="7"/>
  <c r="J16" i="10"/>
  <c r="J20" i="10"/>
  <c r="J17" i="10"/>
  <c r="J15" i="10"/>
  <c r="J19" i="10"/>
  <c r="J4" i="10"/>
  <c r="J7" i="10"/>
  <c r="J3" i="10"/>
  <c r="J9" i="10"/>
  <c r="J8" i="10"/>
  <c r="K13" i="10"/>
  <c r="K22" i="10" l="1"/>
  <c r="K10" i="10"/>
  <c r="D6" i="7"/>
  <c r="C6" i="7"/>
  <c r="K32" i="2"/>
  <c r="D8" i="7" l="1"/>
  <c r="C8" i="7"/>
  <c r="K43" i="1"/>
  <c r="K31" i="2"/>
  <c r="K42" i="1"/>
  <c r="K37" i="1" l="1"/>
  <c r="K35" i="1"/>
  <c r="K6" i="2" l="1"/>
  <c r="K39" i="1" l="1"/>
  <c r="K41" i="1"/>
  <c r="K40" i="1"/>
  <c r="K38" i="1"/>
  <c r="K19" i="4"/>
  <c r="K14" i="1"/>
  <c r="D9" i="7"/>
  <c r="K10" i="5"/>
  <c r="K11" i="5" s="1"/>
  <c r="C9" i="7"/>
  <c r="K7" i="5"/>
  <c r="K8" i="5" s="1"/>
  <c r="K5" i="5"/>
  <c r="D4" i="7"/>
  <c r="C4" i="7"/>
  <c r="K13" i="1" l="1"/>
  <c r="K36" i="1"/>
  <c r="K34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4" i="2"/>
  <c r="K7" i="1"/>
  <c r="K8" i="1"/>
  <c r="K9" i="1"/>
  <c r="K10" i="1"/>
  <c r="K6" i="6"/>
  <c r="K28" i="2"/>
  <c r="K11" i="2"/>
  <c r="K10" i="2"/>
  <c r="K27" i="2"/>
  <c r="K29" i="2"/>
  <c r="K30" i="2"/>
  <c r="K26" i="2"/>
  <c r="K25" i="2"/>
  <c r="K14" i="2"/>
  <c r="K13" i="2"/>
  <c r="K18" i="2"/>
  <c r="K8" i="2"/>
  <c r="K3" i="1"/>
  <c r="K4" i="1"/>
  <c r="K5" i="1"/>
  <c r="K6" i="1"/>
  <c r="K10" i="4"/>
  <c r="K11" i="4"/>
  <c r="K12" i="4"/>
  <c r="K13" i="4"/>
  <c r="K14" i="4"/>
  <c r="K15" i="4"/>
  <c r="K6" i="4"/>
  <c r="K32" i="1" l="1"/>
  <c r="K4" i="6"/>
  <c r="K3" i="6"/>
  <c r="K18" i="4" l="1"/>
  <c r="K8" i="4"/>
  <c r="K7" i="4"/>
  <c r="K5" i="4"/>
  <c r="K3" i="4" l="1"/>
  <c r="K19" i="2" l="1"/>
  <c r="K23" i="2"/>
  <c r="K22" i="2"/>
  <c r="K21" i="2"/>
  <c r="K17" i="2"/>
  <c r="K16" i="2"/>
  <c r="C17" i="7" l="1"/>
  <c r="J8" i="8"/>
  <c r="J7" i="8"/>
  <c r="J6" i="8"/>
  <c r="J5" i="8"/>
  <c r="J4" i="8"/>
  <c r="J3" i="8"/>
  <c r="K12" i="1" l="1"/>
  <c r="K5" i="6"/>
  <c r="K7" i="6" s="1"/>
  <c r="K5" i="2"/>
  <c r="K3" i="2"/>
  <c r="K4" i="4"/>
  <c r="K16" i="4" s="1"/>
  <c r="K4" i="5"/>
  <c r="K3" i="5"/>
  <c r="K11" i="1"/>
  <c r="K16" i="1" s="1"/>
  <c r="D5" i="7" l="1"/>
  <c r="C5" i="7"/>
  <c r="C7" i="7"/>
  <c r="C10" i="7" l="1"/>
  <c r="C13" i="7" s="1"/>
  <c r="D10" i="7"/>
  <c r="D13" i="7" s="1"/>
</calcChain>
</file>

<file path=xl/sharedStrings.xml><?xml version="1.0" encoding="utf-8"?>
<sst xmlns="http://schemas.openxmlformats.org/spreadsheetml/2006/main" count="749" uniqueCount="410">
  <si>
    <t>Vendor</t>
  </si>
  <si>
    <t>Cost</t>
  </si>
  <si>
    <t>Link</t>
  </si>
  <si>
    <t>Seattle Marine</t>
  </si>
  <si>
    <t>Product Number</t>
  </si>
  <si>
    <t>Item Description</t>
  </si>
  <si>
    <t>http://www.b2b.seamar.com/WVVAI/wvo?qid=InventoryInq2x&amp;ItemNo=YUN10M-8</t>
  </si>
  <si>
    <t>Comments</t>
  </si>
  <si>
    <t>YUN10M-8</t>
  </si>
  <si>
    <t>https://www.mcmaster.com/#8575k633/=169p0ux</t>
  </si>
  <si>
    <t>McMaster</t>
  </si>
  <si>
    <t>One 24"x24" sheet can make 9 end caps, delrin sheets also have no problems with centerline porosity like rounds sometimes do</t>
  </si>
  <si>
    <t>Purpose</t>
  </si>
  <si>
    <t>Vacuum Port</t>
  </si>
  <si>
    <t>End Cap Material</t>
  </si>
  <si>
    <t>Spray Foam for Battery</t>
  </si>
  <si>
    <t>Gap-Sealing Spray Foam Insulation Can</t>
  </si>
  <si>
    <t>https://www.mcmaster.com/#8551k11/=169p3e9</t>
  </si>
  <si>
    <t>8551K11</t>
  </si>
  <si>
    <t>https://www.mcmaster.com/#92186a548/=169p45y</t>
  </si>
  <si>
    <t>92186A548</t>
  </si>
  <si>
    <t>92390A163</t>
  </si>
  <si>
    <t>98401A417</t>
  </si>
  <si>
    <t>Frame Hardware - Release Hinge</t>
  </si>
  <si>
    <t>https://www.mcmaster.com/#94804a029/=169p5wk</t>
  </si>
  <si>
    <t>Super-Corrosion-Resistant 316 Stainless Steel Hex Nut, 1/4"-20 Thread Size</t>
  </si>
  <si>
    <t>94804A029</t>
  </si>
  <si>
    <t>Super-Corrosion-Resistant 316 Stainless Steel Hex Head Screw, 1/4"-20 Thread Size, 1-3/4" Long, Partially Threaded</t>
  </si>
  <si>
    <t>https://www.mcmaster.com/mv1486502887/#92147a029/=169p7p9</t>
  </si>
  <si>
    <t>316 Stainless Steel Split Lock Washer, for 1/4" Screw Size, 0.26" ID, 0.487" OD</t>
  </si>
  <si>
    <t>92147A029</t>
  </si>
  <si>
    <t>Air and Water Quick-Disconnect Tube Coupling,Socket with Shut-Off Valve, 3/32 Coupling, 1/8 NPT Male</t>
  </si>
  <si>
    <t>51605K29</t>
  </si>
  <si>
    <t>https://www.mcmaster.com/#51605k29/=169p8jh</t>
  </si>
  <si>
    <t>Qty Per Pack</t>
  </si>
  <si>
    <t>https://www.mcmaster.com/mv1486502887/#91145a162/=169pa16</t>
  </si>
  <si>
    <t>Electrical-Insulating Nylon 6/6 Sleeve Washer for 1/4" Screw Size, 0.188" Overall Height</t>
  </si>
  <si>
    <t>91145A162</t>
  </si>
  <si>
    <t>Cost Per Float</t>
  </si>
  <si>
    <t>Qty Per Float</t>
  </si>
  <si>
    <t>TR-45</t>
  </si>
  <si>
    <t>Burn Wire - Release unit</t>
  </si>
  <si>
    <t>Burn Wire - Replaceable Release Link</t>
  </si>
  <si>
    <t>LK-40</t>
  </si>
  <si>
    <t>Sub Sea Sonics</t>
  </si>
  <si>
    <t>http://subseasonics.com/underwater-timed-release-tr-45_prices/</t>
  </si>
  <si>
    <t>Burn Wire</t>
  </si>
  <si>
    <t>Iridium Module</t>
  </si>
  <si>
    <t>M1621HCT-EXT</t>
  </si>
  <si>
    <t>Iridium Antenna</t>
  </si>
  <si>
    <t>Maxtena Helical Antenna</t>
  </si>
  <si>
    <t>Also Available Directly from Manufacturer - https://www.rock7mobile.com/shop</t>
  </si>
  <si>
    <t>AMC-PA6H</t>
  </si>
  <si>
    <t>Ladybird 1 GPS - MT3339 ChipSet</t>
  </si>
  <si>
    <t>GPS Module</t>
  </si>
  <si>
    <t>Alphamicro</t>
  </si>
  <si>
    <t>http://www.alphamicrowireless.com/franchises/globaltop-technology/pa6h.aspx</t>
  </si>
  <si>
    <t>GPS Antenna</t>
  </si>
  <si>
    <t>Contact - sue.sampson@alphamicro.net. Also available at https://www.adafruit.com/products/790</t>
  </si>
  <si>
    <t>GPS Active External Antenna</t>
  </si>
  <si>
    <t>https://www.adafruit.com/products/960</t>
  </si>
  <si>
    <t>N/A</t>
  </si>
  <si>
    <t>Adafruit</t>
  </si>
  <si>
    <t>PAR Sensor</t>
  </si>
  <si>
    <t>Each Can is enough for 2-3 Floats</t>
  </si>
  <si>
    <t>Mechanical Assembly</t>
  </si>
  <si>
    <t>Battery</t>
  </si>
  <si>
    <t>TOTAL</t>
  </si>
  <si>
    <t>Primary Battery</t>
  </si>
  <si>
    <t>Apak Batteries</t>
  </si>
  <si>
    <t>Pressure Sensor</t>
  </si>
  <si>
    <t>10 bar Pressure Sensor</t>
  </si>
  <si>
    <t>TAG-PARQ Sensor</t>
  </si>
  <si>
    <t>Skye Instruments</t>
  </si>
  <si>
    <t>PA4LD/81974.30/10Bar</t>
  </si>
  <si>
    <t>http://www.keller-druck.com/home_e/paprod_e/4ld_e.asp</t>
  </si>
  <si>
    <t>Keller</t>
  </si>
  <si>
    <t>TAG-PARQ</t>
  </si>
  <si>
    <t>katie@skyeinstruments.com, adam@skyeinstruments.com</t>
  </si>
  <si>
    <t>Tilt Sensor</t>
  </si>
  <si>
    <t>12" Trawl Float</t>
  </si>
  <si>
    <t>Circuit Board Assembly</t>
  </si>
  <si>
    <t>Circuit Board (Blank PCB)</t>
  </si>
  <si>
    <t>Main Circuit Board</t>
  </si>
  <si>
    <t>PCB Fab Express</t>
  </si>
  <si>
    <t>https://ecommerce.pcbfabexpress.com/</t>
  </si>
  <si>
    <t>Exact Price depends on Qty and Turn Time</t>
  </si>
  <si>
    <t>Exact Price depends on Qty and Revision</t>
  </si>
  <si>
    <t>Circuit Board Components (Approximate)</t>
  </si>
  <si>
    <t>Schippers and Crew</t>
  </si>
  <si>
    <t>Digikey</t>
  </si>
  <si>
    <t>Amazon</t>
  </si>
  <si>
    <t>Exchange Rate 1GBP= __ USD ---&gt;&gt;&gt;</t>
  </si>
  <si>
    <t>Highly Corrosion-Resistant 5086 Aluminum, Sheet, .125" Thick</t>
  </si>
  <si>
    <t>https://www.mcmaster.com/#5865t73/=169qvc3</t>
  </si>
  <si>
    <t>Super-Corrosion-Resistant 316 Stainless Steel Hex Head Screw, 1/4"-20 Thread Size, 2" Long, Partially Threaded</t>
  </si>
  <si>
    <t>https://www.mcmaster.com/#92186a550/=169qwo2</t>
  </si>
  <si>
    <t>92186A550</t>
  </si>
  <si>
    <t>https://www.mcmaster.com/#91145a165/=169qy87</t>
  </si>
  <si>
    <t>91145A165</t>
  </si>
  <si>
    <t>Electrical-Insulating Nylon 6/6 Sleeve Washer for 1/4" Screw Size, 0.313" Overall Height</t>
  </si>
  <si>
    <t>Frame Hardware - Isolators, Single sheet thickness</t>
  </si>
  <si>
    <t>Frame Hardware - Isolators, Double sheet thickness</t>
  </si>
  <si>
    <t>Frame Hardware - Lock Washers</t>
  </si>
  <si>
    <t>Frame Hardware - Hex Nuts</t>
  </si>
  <si>
    <t>Frame Hardware - Washers</t>
  </si>
  <si>
    <t>Frame Hardware - 2" Hex Cap Screws</t>
  </si>
  <si>
    <t>Frame Hardware - 1-3/4" Hex Cap Screws</t>
  </si>
  <si>
    <t>Frame Hardware - Release Hinge Cotter Pin</t>
  </si>
  <si>
    <t>316 Stainless Steel Washer for 1/4" Screw Size, 0.281" ID, 0.625" OD</t>
  </si>
  <si>
    <t>90107A029</t>
  </si>
  <si>
    <t>Extra Washers needed to fill small gap on burn wire release mounts (Included in qty)</t>
  </si>
  <si>
    <t>https://www.mcmaster.com/#90107a029/=169r0ig</t>
  </si>
  <si>
    <t>Vibration-Damping Clamp with TPR Cushion, 304 Stainless Steel, 1-1/16" ID</t>
  </si>
  <si>
    <t>Frame Hardware - Burn Wire Mounting Clamps</t>
  </si>
  <si>
    <t>11355T82</t>
  </si>
  <si>
    <t>https://www.mcmaster.com/#11355t82/=169r2wn</t>
  </si>
  <si>
    <t>Harsh-Environment Cable Tie, Long Lasting, Ultra-UV-Resistant Nylon, 8" Long</t>
  </si>
  <si>
    <t>Frame Hardware - Release Clip</t>
  </si>
  <si>
    <t>70215K96</t>
  </si>
  <si>
    <t>https://www.mcmaster.com/#70215k96/=169r5bi</t>
  </si>
  <si>
    <t>O-Rings - PAR Sensor</t>
  </si>
  <si>
    <t>O-Rings - Vacuum and Pressure Ports</t>
  </si>
  <si>
    <t>9697K121</t>
  </si>
  <si>
    <t>Frame Hardware - Spacers for Trawl Float Ears</t>
  </si>
  <si>
    <t>Abrasion-Resistant Polyurethane Rubber Round Tube, 1" Long, 1" OD</t>
  </si>
  <si>
    <t>https://www.mcmaster.com/#9697k121/=169r6zd</t>
  </si>
  <si>
    <t xml:space="preserve">Frame Hardware - Release Spring </t>
  </si>
  <si>
    <t>Frame Hardware - Release Spring Anchors</t>
  </si>
  <si>
    <t>95907A480</t>
  </si>
  <si>
    <t>Stainless Steel Extension Spring Anchor Stud, Standard, 1/4"-20 Thread, 1-1/4" Overall Length</t>
  </si>
  <si>
    <t>https://www.mcmaster.com/mv1486502887/#95907a480/=169r8mi</t>
  </si>
  <si>
    <t>Type 302 Stainless Steel Extension Spring, 2.0" Length, .375" OD, .048" Wire Diameter</t>
  </si>
  <si>
    <t>94135K14</t>
  </si>
  <si>
    <t>https://www.mcmaster.com/mv1486502887/#94135k14/=169r98q</t>
  </si>
  <si>
    <t>Frame Hardware - Release Eye Bolt</t>
  </si>
  <si>
    <t>Closed Eye Routing Eyebolt - Not for Lifting, 316 Stainless Steel with Nut, 10-24 Thread Size, 2" Shank Length</t>
  </si>
  <si>
    <t>9494T31</t>
  </si>
  <si>
    <t>https://www.mcmaster.com/#9494t31/=169ra1q</t>
  </si>
  <si>
    <t>9452K357</t>
  </si>
  <si>
    <t>9452K322</t>
  </si>
  <si>
    <t>9452K87</t>
  </si>
  <si>
    <t>9452K82</t>
  </si>
  <si>
    <t>https://www.mcmaster.com/mv1486502887/#9452k82/=16a99ei</t>
  </si>
  <si>
    <t>https://www.mcmaster.com/#51605K12</t>
  </si>
  <si>
    <t>https://www.amazon.com/Mityvac-MV8510-Silverline-Elite-Hand/dp/B004IQM460/ref=sr_1_7?s=automotive&amp;ie=UTF8&amp;qid=1492016899&amp;sr=1-7&amp;keywords=mityvac</t>
  </si>
  <si>
    <t>https://www.mcmaster.com/#5792K51</t>
  </si>
  <si>
    <t>https://www.mcmaster.com/#5792K36</t>
  </si>
  <si>
    <t>https://www.mcmaster.com/#5047K25</t>
  </si>
  <si>
    <t>Handheld Vacuum Pump</t>
  </si>
  <si>
    <t xml:space="preserve">MV8510 </t>
  </si>
  <si>
    <t>Plastic Quick-Disconnect Tube Coupling for Air and Water (Plug, 3/32 Coupling Size, for 1/8" Barbed Tube ID)</t>
  </si>
  <si>
    <t>Plug for Vacuum Pump Fitting</t>
  </si>
  <si>
    <t>51605K12</t>
  </si>
  <si>
    <t xml:space="preserve">MityVac Silverline Pump </t>
  </si>
  <si>
    <t>Alumium/Zinc Version for Durability.  Not PVC version</t>
  </si>
  <si>
    <t>Abrasion-Resistant Polyurethane Tubing (for Fuels, 1/8" ID, 3/8" OD)</t>
  </si>
  <si>
    <t>1/8" Tubing for Vacuum pump</t>
  </si>
  <si>
    <t>5792K51</t>
  </si>
  <si>
    <t>Abrasion-Resistant Polyurethane Tubing (for Fuels, 1/4" ID, 7/16" OD)</t>
  </si>
  <si>
    <t>1/4" Tubing for Vacuum pump</t>
  </si>
  <si>
    <t>5792K36</t>
  </si>
  <si>
    <t>5047K25</t>
  </si>
  <si>
    <t>Moisture-Resistant Acetal Barbed Tube Fitting (Reducing Straight for 1/4" x 1/8" Tube ID)</t>
  </si>
  <si>
    <t>Reducing Adapter for Vacuum Pump Tubing</t>
  </si>
  <si>
    <t>GRAND TOTAL Per Float</t>
  </si>
  <si>
    <t>{FOCI}{PopUp}{VacuumPortCap}{1}</t>
  </si>
  <si>
    <t>{FOCI}{PopUp}{TAGPARQ Acryllic Housing}{1}</t>
  </si>
  <si>
    <t>{FOCI}{PopUp}{Pressure Sensor Mount}{1}</t>
  </si>
  <si>
    <t>{FOCI}{PopUp}{Link 886 Modified Delrin}{1}</t>
  </si>
  <si>
    <t>{FOCI}{PopUp}{Bottom Bracket Vertical}{1}</t>
  </si>
  <si>
    <t>{FOCI}{PopUp}{Bottom Bracket Top Spacer}{1}</t>
  </si>
  <si>
    <t>{FOCI}{PopUp}{Bottom Bracket T-Bar}{1}</t>
  </si>
  <si>
    <t>{FOCI}{PopUp}{Bottom Bracket Release Bar}{1}</t>
  </si>
  <si>
    <t>{FOCI}{PopUp}{Bottom Bracket Bottom Spacer}{1}</t>
  </si>
  <si>
    <t>Filename of Part</t>
  </si>
  <si>
    <t>Material Description</t>
  </si>
  <si>
    <t>-</t>
  </si>
  <si>
    <t>Also Available from Rock Seven- https://www.rock7mobile.com/shop</t>
  </si>
  <si>
    <t>Epoxy for Mounting PAR Sensor</t>
  </si>
  <si>
    <t>Loctite Quick Set Epoxy</t>
  </si>
  <si>
    <t>https://www.amazon.com/Loctite-Epoxy-0-85-Fluid-Syringe-1395391/dp/B000PSAKAW</t>
  </si>
  <si>
    <t>Machine Shop Parts</t>
  </si>
  <si>
    <t>https://www.mcmaster.com/#91115a133/=1al1wex</t>
  </si>
  <si>
    <t>91115A133</t>
  </si>
  <si>
    <t>91757A103</t>
  </si>
  <si>
    <t>https://www.mcmaster.com/#91757a103/=1al1zqk</t>
  </si>
  <si>
    <t>91737A109</t>
  </si>
  <si>
    <t>https://www.mcmaster.com/#91737a109/=1al20rw</t>
  </si>
  <si>
    <t>Temperature Probe</t>
  </si>
  <si>
    <t>US Sensor</t>
  </si>
  <si>
    <t>USP19572 REV A</t>
  </si>
  <si>
    <t>http://www.ussensor.com/h2081-npt-stainless-steel</t>
  </si>
  <si>
    <t>u-CAM-III</t>
  </si>
  <si>
    <t>Camera</t>
  </si>
  <si>
    <t>u-CAM-III 116° Lens</t>
  </si>
  <si>
    <t>Camera Lens</t>
  </si>
  <si>
    <t>UCAM-III-116LENS</t>
  </si>
  <si>
    <t>https://www.digikey.com/product-detail/en/4d-systems-pty-ltd/UCAM-III-116LENS/1613-1079-ND/5725467</t>
  </si>
  <si>
    <t>UCAM-III</t>
  </si>
  <si>
    <t>https://www.digikey.com/product-detail/en/4d-systems-pty-ltd/UCAM-III/1613-1369-ND/6623663</t>
  </si>
  <si>
    <t>Fluorometer</t>
  </si>
  <si>
    <t>Turner Designs</t>
  </si>
  <si>
    <t>2110-000-C-NH</t>
  </si>
  <si>
    <t>Turner Cyclops 7 Fluorometer (No Housing)</t>
  </si>
  <si>
    <t>http://www.turnerdesigns.com/products/submersible-fluorometer/cyclops-7f-submersible-fluorescence-and-turbidity-sensors?page=shop.product_details&amp;flypage=flypage_default.tpl&amp;product_id=3&amp;category_id=1</t>
  </si>
  <si>
    <t>Optional Fluorometer</t>
  </si>
  <si>
    <t>GRAND TOTAL WITH FLUOROMETER</t>
  </si>
  <si>
    <t xml:space="preserve">ITEM </t>
  </si>
  <si>
    <t>COST PER FLOAT</t>
  </si>
  <si>
    <t>Fluorometer Calibration Solution</t>
  </si>
  <si>
    <t>RockBLOCK Mk3</t>
  </si>
  <si>
    <t>https://www.rock7.com/shop-product-detail?productId=51</t>
  </si>
  <si>
    <t>RockSeven</t>
  </si>
  <si>
    <t>RockBLOCK 9603</t>
  </si>
  <si>
    <t>https://www.mcmaster.com/#9540k2/=1co3wcr</t>
  </si>
  <si>
    <t>https://www.mcmaster.com/#3414t11/=1comtna</t>
  </si>
  <si>
    <t>https://www.mcmaster.com/#9306k44/=1comupw</t>
  </si>
  <si>
    <t>RockBLOCK Mk3 Iridium Whitelisting</t>
  </si>
  <si>
    <t>Whitelist Iridium for DITCO Network</t>
  </si>
  <si>
    <t>NAL Research Corporation</t>
  </si>
  <si>
    <t>RockBLOCK Mk3 Iridium Unlock Fee</t>
  </si>
  <si>
    <t>Unlock Iridium for DITCO Network</t>
  </si>
  <si>
    <t xml:space="preserve">Angela Roush &lt;ARoush@nalresearch.com&gt; </t>
  </si>
  <si>
    <t>info@rock7.com</t>
  </si>
  <si>
    <t>9V, 42Ah, 18 D-Cell Alkaline Battery</t>
  </si>
  <si>
    <t>Stacking Primary Battery</t>
  </si>
  <si>
    <t>https://www.mcmaster.com/#8749k23/=1cwdly9</t>
  </si>
  <si>
    <t>~5 inches needed per battery pack</t>
  </si>
  <si>
    <t>http://www.newark.com/maxtena/m1621hct-ext/antenna-iridium-1-616-1-626ghz/dp/52Y3292?CMP=AFC-OP</t>
  </si>
  <si>
    <t>Newark</t>
  </si>
  <si>
    <t>2-256 Buna O-Ring</t>
  </si>
  <si>
    <t>2-163 Buna O-Ring</t>
  </si>
  <si>
    <t>2-123 Buna O-Ring</t>
  </si>
  <si>
    <t>2-118 Buna O-Ring</t>
  </si>
  <si>
    <t>O-Ring - End Cap Face Seal</t>
  </si>
  <si>
    <t>O-Ring - End Cap Piston Seal</t>
  </si>
  <si>
    <t>O-Ring - Fluorometer Face Seal</t>
  </si>
  <si>
    <t>O-Ring - Fluorometer Piston Seal</t>
  </si>
  <si>
    <t>O-Ring - Camera Face Seal</t>
  </si>
  <si>
    <t>O-Ring - Camera Piston Seal</t>
  </si>
  <si>
    <t>2-137 Buna O-Ring</t>
  </si>
  <si>
    <t>2-131 Buna O-Ring</t>
  </si>
  <si>
    <t>2-120 Buna O-Ring</t>
  </si>
  <si>
    <t>2-126 Buna O-Ring</t>
  </si>
  <si>
    <t>1/4" for pump fitting, 'fuel' tubing for use in moist environments. Will also work for air</t>
  </si>
  <si>
    <t>1/8" for quick-disconnect fitting, 'fuel' tubing for use in moist environments. Will also work for air</t>
  </si>
  <si>
    <t>Topside Temperature Probe</t>
  </si>
  <si>
    <t>SST Temperature Probe</t>
  </si>
  <si>
    <t>USP19504 REV NONE</t>
  </si>
  <si>
    <t>http://www.littelfuse.com/products/temperature-sensors/thermistor-probes-and-assemblies/threaded-housings/h6268.aspx</t>
  </si>
  <si>
    <t xml:space="preserve"> </t>
  </si>
  <si>
    <t>Tilt sensor (accelerometer) is integrated in main PCB</t>
  </si>
  <si>
    <t>Sensors and Modules</t>
  </si>
  <si>
    <t>Electronics Assembly</t>
  </si>
  <si>
    <t>Pop Up 5.1</t>
  </si>
  <si>
    <t>See PCB BOM</t>
  </si>
  <si>
    <t>http://schippersandcrew.com/</t>
  </si>
  <si>
    <t>Standoff for RockBLOCK 9603</t>
  </si>
  <si>
    <t>Standoffs for Main Circuit Board</t>
  </si>
  <si>
    <t>https://www.mcmaster.com/#94868a161/=1cxvf50</t>
  </si>
  <si>
    <t>94868A161</t>
  </si>
  <si>
    <t>https://www.mcmaster.com/#93925a220/=1cxvg8w</t>
  </si>
  <si>
    <t>93925A220</t>
  </si>
  <si>
    <t>https://www.mcmaster.com/#92000a104/=1cxviey</t>
  </si>
  <si>
    <t>92000A104</t>
  </si>
  <si>
    <t>92000A102</t>
  </si>
  <si>
    <t>https://www.mcmaster.com/#92000a102/=1cxvjaz</t>
  </si>
  <si>
    <t>Screws for Mounting Camera</t>
  </si>
  <si>
    <t>https://www.mcmaster.com/#92000a019/=1cxvmim</t>
  </si>
  <si>
    <t>92000A019</t>
  </si>
  <si>
    <t>https://www.mcmaster.com/#93925a210/=1cxvmzr</t>
  </si>
  <si>
    <t>93925A210</t>
  </si>
  <si>
    <t>Standoffs for Electronics Stack</t>
  </si>
  <si>
    <t>https://www.mcmaster.com/#92240a237/=1cxvsja</t>
  </si>
  <si>
    <t>92240A237</t>
  </si>
  <si>
    <t>94639A572</t>
  </si>
  <si>
    <t>https://www.mcmaster.com/#94639a572/=1cxwqb6</t>
  </si>
  <si>
    <t>92146A029</t>
  </si>
  <si>
    <t>https://www.mcmaster.com/#92146a029/=1cxwqxm</t>
  </si>
  <si>
    <t>92141A029</t>
  </si>
  <si>
    <t>https://www.mcmaster.com/#92141a029/=1cxwrox</t>
  </si>
  <si>
    <t>18-8 Stainless Hex Head Screw,1/4"-20, 1-3/8" Long</t>
  </si>
  <si>
    <t>18-8 Stainless Split Lock Washer, 1/4" Screw Size</t>
  </si>
  <si>
    <t>18-8 Stainless Washer, 1/4" Screw Size</t>
  </si>
  <si>
    <t>18-8 Stainless Hex Standoff (M2.5x6mm)</t>
  </si>
  <si>
    <t>18-8 Stainless Hex Standoff (#6-32x1")</t>
  </si>
  <si>
    <t>18-8 Stainless Screws (M2x12mm)</t>
  </si>
  <si>
    <t>18-8 Stainless Lock Washers (M2)</t>
  </si>
  <si>
    <t>4 for electronics stack, 1 for gps mount</t>
  </si>
  <si>
    <t>Screws for Mounting Pressure Sensor PCB</t>
  </si>
  <si>
    <t>18-8 Stainless Internal Tooth Lock Washers (M2.5)</t>
  </si>
  <si>
    <t>18-8 Stainless Internal Tooth Lock Washers (#6)</t>
  </si>
  <si>
    <t>3 Added to Same Item Under 'Standoffs for Main Circuit Board'</t>
  </si>
  <si>
    <t>3 Extra Added for Pressure Sensor PCB Mounting, 8 needed for Main Circuit board</t>
  </si>
  <si>
    <t>18-8 Stainless Narrow Fillister Screws (#6-32x1/2")</t>
  </si>
  <si>
    <t>18-8 Stainless Screws (M2.5x6mm)</t>
  </si>
  <si>
    <t>18-8 Stainless Screws (M2.5x4mm)</t>
  </si>
  <si>
    <t>https://www.mcmaster.com/#91737a106/=1cxx20s</t>
  </si>
  <si>
    <t>91737A106</t>
  </si>
  <si>
    <t>18-8 Stainless Narrow Fillister Screws (#6-32x5/16")</t>
  </si>
  <si>
    <t>Nylon Unthreaded Spacer, 5/8" Long for 1/4" Screw Size</t>
  </si>
  <si>
    <t>Standoff for GPS Mount</t>
  </si>
  <si>
    <t>Rubber Bumper with Unthreaded Hole</t>
  </si>
  <si>
    <t>Rubber Bumper with Unthreaded Hole,1.5" High, 1/4" Hole Diameter</t>
  </si>
  <si>
    <t>9540K2</t>
  </si>
  <si>
    <t>18-8 Stainless Hex Head Screw,1/4"-20, 1-3/4" Long</t>
  </si>
  <si>
    <t>92240A548</t>
  </si>
  <si>
    <t>https://www.mcmaster.com/#92240a548/=1cxx5zt</t>
  </si>
  <si>
    <t>Standoffs for Electronics Stack and GPS Mount</t>
  </si>
  <si>
    <t>Battery Mount for Bottom of Float</t>
  </si>
  <si>
    <t>2.5" Schedule 40 PVC Pipe</t>
  </si>
  <si>
    <t>McMaster (or Home Depot)</t>
  </si>
  <si>
    <t>48925K99</t>
  </si>
  <si>
    <t>https://www.mcmaster.com/#9452K357</t>
  </si>
  <si>
    <t>https://www.mcmaster.com/#9452K322</t>
  </si>
  <si>
    <t>https://www.mcmaster.com/#9452K87</t>
  </si>
  <si>
    <t>https://www.mcmaster.com/#9452k91/=1cxyt18</t>
  </si>
  <si>
    <t>9452K91</t>
  </si>
  <si>
    <t>9452K84</t>
  </si>
  <si>
    <t>https://www.mcmaster.com/#9452K84</t>
  </si>
  <si>
    <t>9452K143</t>
  </si>
  <si>
    <t>https://www.mcmaster.com/#9452K143</t>
  </si>
  <si>
    <t>https://www.mcmaster.com/#9452k136/=1cxytoc</t>
  </si>
  <si>
    <t>9452K136</t>
  </si>
  <si>
    <t>With Fluorometer</t>
  </si>
  <si>
    <t>{FOCI}{PopUp}{Trawl Float 12 Inch}{2}</t>
  </si>
  <si>
    <t>All</t>
  </si>
  <si>
    <t>{FOCI}{PopUp}{End Cap}{2}</t>
  </si>
  <si>
    <t>{FOCI}{PopUp}{PCB Circular Mount}{1}</t>
  </si>
  <si>
    <t>0.12" Nominal Thickness 304 Stainless</t>
  </si>
  <si>
    <t>Supporting PCB and Antennas</t>
  </si>
  <si>
    <t>Vendor for Material</t>
  </si>
  <si>
    <t>{FOCI}{PopUp}{FluorometerHousing}{1}</t>
  </si>
  <si>
    <t>Pressure Sensor Circuit Board</t>
  </si>
  <si>
    <t>Galvanic Timed Release</t>
  </si>
  <si>
    <t>http://www.thezincguy.com/ta-3-bolt-on-plate-zinc-anode-trim-tab</t>
  </si>
  <si>
    <t>Assembly Variant</t>
  </si>
  <si>
    <t>Sub Sea Sonics Burn Wire Release</t>
  </si>
  <si>
    <t>Galvanic Release Link</t>
  </si>
  <si>
    <t>Release Link</t>
  </si>
  <si>
    <t>The Zinc Guy</t>
  </si>
  <si>
    <t>TA-3</t>
  </si>
  <si>
    <t>Approx Material Cost</t>
  </si>
  <si>
    <t>Zinc Anode</t>
  </si>
  <si>
    <t>Anode Protection and Ballast Weight for Frame</t>
  </si>
  <si>
    <t>Sub-Sea Sonics Burn Wire Release</t>
  </si>
  <si>
    <t>DBV Technologies Burn Wire Release</t>
  </si>
  <si>
    <t xml:space="preserve">Varies </t>
  </si>
  <si>
    <t>Release Mechanism</t>
  </si>
  <si>
    <t>DBV Technologies</t>
  </si>
  <si>
    <t>Frame Hardware - Main Frame</t>
  </si>
  <si>
    <t>3414T11</t>
  </si>
  <si>
    <t>9306K44</t>
  </si>
  <si>
    <t>Main Pressure Housing</t>
  </si>
  <si>
    <t>Attachment to Anchor</t>
  </si>
  <si>
    <t>https://www.amazon.com/dp/B01DQIR6PY/ref=twister_B07BVVDX7V?_encoding=UTF8&amp;psc=1</t>
  </si>
  <si>
    <t>316 Stainless Steel Clevis Pin, 1/4" Diameter, 1-1/2" Length, 1-5/16" Usable Length</t>
  </si>
  <si>
    <t>https://www.mcmaster.com/#92401a637/=1cycmms</t>
  </si>
  <si>
    <t>316 Stainless Steel Cotter Pin, 3/32" Diameter, 1" Long</t>
  </si>
  <si>
    <t>https://www.mcmaster.com/#98355a080/=1cycndb</t>
  </si>
  <si>
    <t>{FOCI}{PopUp}{Bottom Bracket Vee}{2}</t>
  </si>
  <si>
    <t>Approx Machining Cost</t>
  </si>
  <si>
    <t>Frame Material</t>
  </si>
  <si>
    <t>Fluorometer Housing</t>
  </si>
  <si>
    <t>Black Delrin® Acetal Resin</t>
  </si>
  <si>
    <t>Cast Clear Acryllic</t>
  </si>
  <si>
    <t>Housing for PAR Sensor</t>
  </si>
  <si>
    <t>Housing for Pressure Sensor</t>
  </si>
  <si>
    <t>Housing to Seal Vacuum Port</t>
  </si>
  <si>
    <t>MISC ITEMS</t>
  </si>
  <si>
    <t>Burn Wire Programmer (for Sub Sea Sonics Release only)</t>
  </si>
  <si>
    <t xml:space="preserve">COST </t>
  </si>
  <si>
    <t>Frame Hardware - Attaching Anodes</t>
  </si>
  <si>
    <t>Thick-Wall PVC Pipe Fitting for Water, Flanged 1-1/4 Pipe Size Socket-Connect Adapter</t>
  </si>
  <si>
    <t>4881K215</t>
  </si>
  <si>
    <t>https://www.mcmaster.com/#4881k215/=1czvwsl</t>
  </si>
  <si>
    <t>45" Prusik Loop</t>
  </si>
  <si>
    <t>DBV Tech Burn Wire Release</t>
  </si>
  <si>
    <t>18-8 Stainless Hex Head Screw,5/16"-18, 1-3/4" Long, Partially Threaded</t>
  </si>
  <si>
    <t>18-8 Stainless Split Lock Washer, 5/16" Screw Size</t>
  </si>
  <si>
    <t>18-8 Stainless Washer, 5/16" Screw Size</t>
  </si>
  <si>
    <t>92198A689</t>
  </si>
  <si>
    <t>https://www.mcmaster.com/#92198a689/=1d7375v</t>
  </si>
  <si>
    <t>18-8 Stainless Hex Head Screw,5/16"-18, 2" Long, Partially Threaded</t>
  </si>
  <si>
    <t>92198A691</t>
  </si>
  <si>
    <t>https://www.mcmaster.com/#92198a691/=1d737np</t>
  </si>
  <si>
    <t>https://www.mcmaster.com/#92146a030/=1d7384y</t>
  </si>
  <si>
    <t>92146A030</t>
  </si>
  <si>
    <t>92141A030</t>
  </si>
  <si>
    <t>https://www.mcmaster.com/#92141a030/=1d738ka</t>
  </si>
  <si>
    <t>304 Stainless Steel Bolt-Together Framing - 1 ft length</t>
  </si>
  <si>
    <t>304 Stainless Steel Bolt-Together Framing - 3 ft length</t>
  </si>
  <si>
    <t>Frame Hardware - Spacer for anchor/release line</t>
  </si>
  <si>
    <t>1 added to qty in part for trawl float ears above</t>
  </si>
  <si>
    <t>One enough for at least at least 5 PAR Sensors</t>
  </si>
  <si>
    <t>18-8 Stainless Hex Nuts, 5/16" Screw Size</t>
  </si>
  <si>
    <t>91845A030</t>
  </si>
  <si>
    <t>https://www.mcmaster.com/#91845A030</t>
  </si>
  <si>
    <t>18-8 Stainless Hex Nut, 1/4"-20 Thread Size</t>
  </si>
  <si>
    <t>1 for gps mount</t>
  </si>
  <si>
    <t>91845A029</t>
  </si>
  <si>
    <t>https://www.mcmaster.com/#91845A029</t>
  </si>
  <si>
    <t>18-8 Stainless Steel Oversized Washer, for 5/16" Screw Size, 0.344" ID, 1.25" OD</t>
  </si>
  <si>
    <t>90313A111</t>
  </si>
  <si>
    <t>https://www.mcmaster.com/#90313a111/=1ddt9bo</t>
  </si>
  <si>
    <t>Approx Machining Hours</t>
  </si>
  <si>
    <t>{FOCI}{PopUp}{Camera Housing}{1}</t>
  </si>
  <si>
    <t>Housing for Camera</t>
  </si>
  <si>
    <t>Machining Hourly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</si>
</sst>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[$£-809]#,##0.00;[Red]\-[$£-809]#,##0.00"/>
    <numFmt numFmtId="165" formatCode="&quot;$&quot;#,##0.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8" fontId="1" fillId="0" borderId="0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8" fontId="0" fillId="0" borderId="7" xfId="0" applyNumberFormat="1" applyBorder="1"/>
    <xf numFmtId="8" fontId="0" fillId="0" borderId="8" xfId="0" applyNumberFormat="1" applyBorder="1"/>
    <xf numFmtId="8" fontId="0" fillId="0" borderId="9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8" fontId="0" fillId="3" borderId="1" xfId="0" applyNumberFormat="1" applyFill="1" applyBorder="1"/>
    <xf numFmtId="0" fontId="0" fillId="3" borderId="1" xfId="0" applyNumberForma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8" fontId="2" fillId="3" borderId="1" xfId="0" applyNumberFormat="1" applyFont="1" applyFill="1" applyBorder="1"/>
    <xf numFmtId="0" fontId="2" fillId="3" borderId="1" xfId="0" applyNumberFormat="1" applyFont="1" applyFill="1" applyBorder="1"/>
    <xf numFmtId="8" fontId="0" fillId="3" borderId="1" xfId="0" applyNumberFormat="1" applyFill="1" applyBorder="1" applyAlignment="1">
      <alignment horizontal="right"/>
    </xf>
    <xf numFmtId="12" fontId="0" fillId="3" borderId="1" xfId="0" applyNumberForma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/>
    <xf numFmtId="0" fontId="0" fillId="3" borderId="1" xfId="0" applyFill="1" applyBorder="1" applyAlignment="1"/>
    <xf numFmtId="8" fontId="0" fillId="3" borderId="1" xfId="0" applyNumberFormat="1" applyFill="1" applyBorder="1" applyAlignment="1"/>
    <xf numFmtId="8" fontId="1" fillId="0" borderId="1" xfId="0" applyNumberFormat="1" applyFont="1" applyBorder="1" applyAlignment="1">
      <alignment horizontal="right"/>
    </xf>
    <xf numFmtId="12" fontId="0" fillId="3" borderId="1" xfId="0" applyNumberFormat="1" applyFill="1" applyBorder="1" applyAlignment="1"/>
    <xf numFmtId="0" fontId="0" fillId="3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3" fontId="0" fillId="3" borderId="1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5" xfId="0" applyFill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0" fontId="0" fillId="0" borderId="5" xfId="0" applyBorder="1" applyAlignment="1">
      <alignment wrapText="1"/>
    </xf>
    <xf numFmtId="166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166" fontId="0" fillId="3" borderId="1" xfId="0" applyNumberFormat="1" applyFill="1" applyBorder="1"/>
    <xf numFmtId="8" fontId="0" fillId="4" borderId="8" xfId="0" applyNumberFormat="1" applyFill="1" applyBorder="1"/>
    <xf numFmtId="8" fontId="0" fillId="4" borderId="2" xfId="0" applyNumberFormat="1" applyFill="1" applyBorder="1"/>
    <xf numFmtId="8" fontId="1" fillId="5" borderId="12" xfId="0" applyNumberFormat="1" applyFont="1" applyFill="1" applyBorder="1"/>
    <xf numFmtId="8" fontId="1" fillId="5" borderId="2" xfId="0" applyNumberFormat="1" applyFont="1" applyFill="1" applyBorder="1"/>
    <xf numFmtId="0" fontId="1" fillId="5" borderId="11" xfId="0" applyFont="1" applyFill="1" applyBorder="1"/>
    <xf numFmtId="0" fontId="1" fillId="5" borderId="3" xfId="0" applyFont="1" applyFill="1" applyBorder="1"/>
    <xf numFmtId="8" fontId="0" fillId="3" borderId="1" xfId="0" applyNumberFormat="1" applyFill="1" applyBorder="1" applyAlignment="1">
      <alignment horizontal="right" wrapText="1"/>
    </xf>
    <xf numFmtId="8" fontId="0" fillId="3" borderId="1" xfId="0" applyNumberFormat="1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rock7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zincguy.com/ta-3-bolt-on-plate-zinc-anode-trim-tab" TargetMode="External"/><Relationship Id="rId2" Type="http://schemas.openxmlformats.org/officeDocument/2006/relationships/hyperlink" Target="http://www.thezincguy.com/ta-3-bolt-on-plate-zinc-anode-trim-tab" TargetMode="External"/><Relationship Id="rId1" Type="http://schemas.openxmlformats.org/officeDocument/2006/relationships/hyperlink" Target="https://www.mcmaster.com/mv1486502887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F24" sqref="F24"/>
    </sheetView>
  </sheetViews>
  <sheetFormatPr defaultRowHeight="15" x14ac:dyDescent="0.25"/>
  <cols>
    <col min="1" max="1" width="2" customWidth="1"/>
    <col min="2" max="2" width="18.28515625" customWidth="1"/>
    <col min="3" max="3" width="34.140625" customWidth="1"/>
    <col min="4" max="4" width="34.85546875" customWidth="1"/>
    <col min="5" max="5" width="25.5703125" customWidth="1"/>
    <col min="6" max="6" width="21" customWidth="1"/>
    <col min="7" max="7" width="24" customWidth="1"/>
    <col min="8" max="8" width="11.5703125" customWidth="1"/>
    <col min="9" max="9" width="7.5703125" bestFit="1" customWidth="1"/>
    <col min="10" max="10" width="9.28515625" bestFit="1" customWidth="1"/>
    <col min="11" max="11" width="11.28515625" customWidth="1"/>
    <col min="12" max="12" width="53" bestFit="1" customWidth="1"/>
  </cols>
  <sheetData>
    <row r="2" spans="2:13" s="4" customFormat="1" ht="30" x14ac:dyDescent="0.25">
      <c r="B2" s="6" t="s">
        <v>337</v>
      </c>
      <c r="C2" s="6" t="s">
        <v>5</v>
      </c>
      <c r="D2" s="7" t="s">
        <v>12</v>
      </c>
      <c r="E2" s="7" t="s">
        <v>0</v>
      </c>
      <c r="F2" s="7" t="s">
        <v>4</v>
      </c>
      <c r="G2" s="7" t="s">
        <v>2</v>
      </c>
      <c r="H2" s="7" t="s">
        <v>1</v>
      </c>
      <c r="I2" s="6" t="s">
        <v>34</v>
      </c>
      <c r="J2" s="6" t="s">
        <v>39</v>
      </c>
      <c r="K2" s="6" t="s">
        <v>38</v>
      </c>
      <c r="L2" s="7" t="s">
        <v>7</v>
      </c>
    </row>
    <row r="3" spans="2:13" x14ac:dyDescent="0.25">
      <c r="B3" s="23" t="s">
        <v>327</v>
      </c>
      <c r="C3" s="23" t="s">
        <v>72</v>
      </c>
      <c r="D3" s="23" t="s">
        <v>63</v>
      </c>
      <c r="E3" s="23" t="s">
        <v>73</v>
      </c>
      <c r="F3" s="23" t="s">
        <v>77</v>
      </c>
      <c r="G3" s="23" t="s">
        <v>78</v>
      </c>
      <c r="H3" s="35">
        <v>270</v>
      </c>
      <c r="I3" s="36">
        <v>1</v>
      </c>
      <c r="J3" s="36">
        <v>1</v>
      </c>
      <c r="K3" s="37">
        <f>H3/I3*J3*M3</f>
        <v>364.5</v>
      </c>
      <c r="L3" s="23" t="s">
        <v>92</v>
      </c>
      <c r="M3">
        <v>1.35</v>
      </c>
    </row>
    <row r="4" spans="2:13" x14ac:dyDescent="0.25">
      <c r="B4" s="23" t="s">
        <v>327</v>
      </c>
      <c r="C4" s="23" t="s">
        <v>71</v>
      </c>
      <c r="D4" s="23" t="s">
        <v>70</v>
      </c>
      <c r="E4" s="23" t="s">
        <v>76</v>
      </c>
      <c r="F4" s="23" t="s">
        <v>74</v>
      </c>
      <c r="G4" s="23" t="s">
        <v>75</v>
      </c>
      <c r="H4" s="37">
        <v>117.75</v>
      </c>
      <c r="I4" s="36">
        <v>1</v>
      </c>
      <c r="J4" s="36">
        <v>1</v>
      </c>
      <c r="K4" s="37">
        <f t="shared" ref="K4:K5" si="0">H4/I4*J4</f>
        <v>117.75</v>
      </c>
      <c r="L4" s="23"/>
      <c r="M4" t="s">
        <v>251</v>
      </c>
    </row>
    <row r="5" spans="2:13" x14ac:dyDescent="0.25">
      <c r="B5" s="23" t="s">
        <v>327</v>
      </c>
      <c r="C5" s="23" t="s">
        <v>247</v>
      </c>
      <c r="D5" s="23" t="s">
        <v>189</v>
      </c>
      <c r="E5" s="23" t="s">
        <v>190</v>
      </c>
      <c r="F5" s="23" t="s">
        <v>191</v>
      </c>
      <c r="G5" s="23" t="s">
        <v>192</v>
      </c>
      <c r="H5" s="37">
        <v>67</v>
      </c>
      <c r="I5" s="23">
        <v>1</v>
      </c>
      <c r="J5" s="23">
        <v>1</v>
      </c>
      <c r="K5" s="37">
        <f t="shared" si="0"/>
        <v>67</v>
      </c>
      <c r="L5" s="23"/>
      <c r="M5" t="s">
        <v>251</v>
      </c>
    </row>
    <row r="6" spans="2:13" x14ac:dyDescent="0.25">
      <c r="B6" s="23" t="s">
        <v>327</v>
      </c>
      <c r="C6" s="23" t="s">
        <v>248</v>
      </c>
      <c r="D6" s="23" t="s">
        <v>189</v>
      </c>
      <c r="E6" s="23" t="s">
        <v>190</v>
      </c>
      <c r="F6" s="23" t="s">
        <v>249</v>
      </c>
      <c r="G6" s="23" t="s">
        <v>250</v>
      </c>
      <c r="H6" s="37">
        <v>67</v>
      </c>
      <c r="I6" s="23">
        <v>1</v>
      </c>
      <c r="J6" s="23">
        <v>1</v>
      </c>
      <c r="K6" s="37">
        <f>H6/I6*J6</f>
        <v>67</v>
      </c>
      <c r="L6" s="23"/>
      <c r="M6" t="s">
        <v>251</v>
      </c>
    </row>
    <row r="7" spans="2:13" x14ac:dyDescent="0.25">
      <c r="B7" s="23" t="s">
        <v>327</v>
      </c>
      <c r="C7" s="22" t="s">
        <v>193</v>
      </c>
      <c r="D7" s="22" t="s">
        <v>194</v>
      </c>
      <c r="E7" s="23" t="s">
        <v>90</v>
      </c>
      <c r="F7" s="34" t="s">
        <v>199</v>
      </c>
      <c r="G7" s="23" t="s">
        <v>200</v>
      </c>
      <c r="H7" s="37">
        <v>49.98</v>
      </c>
      <c r="I7" s="36">
        <v>1</v>
      </c>
      <c r="J7" s="39">
        <v>1</v>
      </c>
      <c r="K7" s="37">
        <f>H7/I7*J7</f>
        <v>49.98</v>
      </c>
      <c r="L7" s="23"/>
      <c r="M7" t="s">
        <v>251</v>
      </c>
    </row>
    <row r="8" spans="2:13" x14ac:dyDescent="0.25">
      <c r="B8" s="23" t="s">
        <v>327</v>
      </c>
      <c r="C8" s="22" t="s">
        <v>195</v>
      </c>
      <c r="D8" s="22" t="s">
        <v>196</v>
      </c>
      <c r="E8" s="23" t="s">
        <v>90</v>
      </c>
      <c r="F8" s="34" t="s">
        <v>197</v>
      </c>
      <c r="G8" s="23" t="s">
        <v>198</v>
      </c>
      <c r="H8" s="37">
        <v>10.19</v>
      </c>
      <c r="I8" s="36">
        <v>1</v>
      </c>
      <c r="J8" s="39">
        <v>1</v>
      </c>
      <c r="K8" s="37">
        <f>H8/I8*J8</f>
        <v>10.19</v>
      </c>
      <c r="L8" s="23"/>
      <c r="M8" t="s">
        <v>251</v>
      </c>
    </row>
    <row r="9" spans="2:13" x14ac:dyDescent="0.25">
      <c r="B9" s="23" t="s">
        <v>327</v>
      </c>
      <c r="C9" s="23" t="s">
        <v>79</v>
      </c>
      <c r="D9" s="23" t="s">
        <v>79</v>
      </c>
      <c r="E9" s="23" t="s">
        <v>61</v>
      </c>
      <c r="F9" s="23" t="s">
        <v>61</v>
      </c>
      <c r="G9" s="23" t="s">
        <v>61</v>
      </c>
      <c r="H9" s="40" t="s">
        <v>61</v>
      </c>
      <c r="I9" s="40" t="s">
        <v>61</v>
      </c>
      <c r="J9" s="40" t="s">
        <v>61</v>
      </c>
      <c r="K9" s="40" t="s">
        <v>61</v>
      </c>
      <c r="L9" s="23" t="s">
        <v>252</v>
      </c>
      <c r="M9" t="s">
        <v>251</v>
      </c>
    </row>
    <row r="10" spans="2:13" x14ac:dyDescent="0.25">
      <c r="B10" s="23" t="s">
        <v>327</v>
      </c>
      <c r="C10" s="22" t="s">
        <v>211</v>
      </c>
      <c r="D10" s="23" t="s">
        <v>47</v>
      </c>
      <c r="E10" s="23" t="s">
        <v>213</v>
      </c>
      <c r="F10" s="23" t="s">
        <v>214</v>
      </c>
      <c r="G10" s="23" t="s">
        <v>212</v>
      </c>
      <c r="H10" s="31">
        <v>249</v>
      </c>
      <c r="I10" s="26">
        <v>1</v>
      </c>
      <c r="J10" s="26">
        <v>1</v>
      </c>
      <c r="K10" s="25">
        <f t="shared" ref="K10:K15" si="1">H10/I10*J10</f>
        <v>249</v>
      </c>
      <c r="L10" s="23" t="s">
        <v>51</v>
      </c>
      <c r="M10" t="s">
        <v>251</v>
      </c>
    </row>
    <row r="11" spans="2:13" x14ac:dyDescent="0.25">
      <c r="B11" s="23" t="s">
        <v>327</v>
      </c>
      <c r="C11" s="22" t="s">
        <v>218</v>
      </c>
      <c r="D11" s="23" t="s">
        <v>219</v>
      </c>
      <c r="E11" s="23" t="s">
        <v>220</v>
      </c>
      <c r="F11" s="23" t="s">
        <v>214</v>
      </c>
      <c r="G11" s="23" t="s">
        <v>223</v>
      </c>
      <c r="H11" s="31">
        <v>35</v>
      </c>
      <c r="I11" s="26">
        <v>1</v>
      </c>
      <c r="J11" s="26">
        <v>1</v>
      </c>
      <c r="K11" s="25">
        <f t="shared" si="1"/>
        <v>35</v>
      </c>
      <c r="L11" s="23"/>
      <c r="M11" t="s">
        <v>251</v>
      </c>
    </row>
    <row r="12" spans="2:13" x14ac:dyDescent="0.25">
      <c r="B12" s="23" t="s">
        <v>327</v>
      </c>
      <c r="C12" s="22" t="s">
        <v>221</v>
      </c>
      <c r="D12" s="23" t="s">
        <v>222</v>
      </c>
      <c r="E12" s="23" t="s">
        <v>213</v>
      </c>
      <c r="F12" s="23" t="s">
        <v>214</v>
      </c>
      <c r="G12" s="23" t="s">
        <v>224</v>
      </c>
      <c r="H12" s="31">
        <v>60</v>
      </c>
      <c r="I12" s="26">
        <v>1</v>
      </c>
      <c r="J12" s="26">
        <v>1</v>
      </c>
      <c r="K12" s="25">
        <f t="shared" si="1"/>
        <v>60</v>
      </c>
      <c r="L12" s="23"/>
      <c r="M12" t="s">
        <v>251</v>
      </c>
    </row>
    <row r="13" spans="2:13" x14ac:dyDescent="0.25">
      <c r="B13" s="23" t="s">
        <v>327</v>
      </c>
      <c r="C13" s="22" t="s">
        <v>50</v>
      </c>
      <c r="D13" s="23" t="s">
        <v>49</v>
      </c>
      <c r="E13" s="23" t="s">
        <v>230</v>
      </c>
      <c r="F13" s="23" t="s">
        <v>48</v>
      </c>
      <c r="G13" s="23" t="s">
        <v>229</v>
      </c>
      <c r="H13" s="31">
        <v>53.74</v>
      </c>
      <c r="I13" s="26">
        <v>1</v>
      </c>
      <c r="J13" s="26">
        <v>1</v>
      </c>
      <c r="K13" s="25">
        <f t="shared" si="1"/>
        <v>53.74</v>
      </c>
      <c r="L13" s="23" t="s">
        <v>178</v>
      </c>
      <c r="M13" t="s">
        <v>251</v>
      </c>
    </row>
    <row r="14" spans="2:13" x14ac:dyDescent="0.25">
      <c r="B14" s="23" t="s">
        <v>327</v>
      </c>
      <c r="C14" s="22" t="s">
        <v>53</v>
      </c>
      <c r="D14" s="23" t="s">
        <v>54</v>
      </c>
      <c r="E14" s="23" t="s">
        <v>55</v>
      </c>
      <c r="F14" s="23" t="s">
        <v>52</v>
      </c>
      <c r="G14" s="23" t="s">
        <v>56</v>
      </c>
      <c r="H14" s="31">
        <v>22.5</v>
      </c>
      <c r="I14" s="26">
        <v>1</v>
      </c>
      <c r="J14" s="26">
        <v>1</v>
      </c>
      <c r="K14" s="25">
        <f t="shared" si="1"/>
        <v>22.5</v>
      </c>
      <c r="L14" s="23" t="s">
        <v>58</v>
      </c>
      <c r="M14" t="s">
        <v>251</v>
      </c>
    </row>
    <row r="15" spans="2:13" x14ac:dyDescent="0.25">
      <c r="B15" s="23" t="s">
        <v>327</v>
      </c>
      <c r="C15" s="22" t="s">
        <v>59</v>
      </c>
      <c r="D15" s="23" t="s">
        <v>57</v>
      </c>
      <c r="E15" s="23" t="s">
        <v>62</v>
      </c>
      <c r="F15" s="23" t="s">
        <v>61</v>
      </c>
      <c r="G15" s="23" t="s">
        <v>60</v>
      </c>
      <c r="H15" s="31">
        <v>12.95</v>
      </c>
      <c r="I15" s="26">
        <v>1</v>
      </c>
      <c r="J15" s="26">
        <v>1</v>
      </c>
      <c r="K15" s="25">
        <f t="shared" si="1"/>
        <v>12.95</v>
      </c>
      <c r="L15" s="23"/>
      <c r="M15" t="s">
        <v>251</v>
      </c>
    </row>
    <row r="16" spans="2:13" x14ac:dyDescent="0.25">
      <c r="K16" s="38">
        <f>SUM(K3:K15)</f>
        <v>1109.6100000000001</v>
      </c>
      <c r="L16" s="10" t="s">
        <v>67</v>
      </c>
      <c r="M16" t="s">
        <v>251</v>
      </c>
    </row>
    <row r="17" spans="2:12" x14ac:dyDescent="0.25">
      <c r="K17" s="1"/>
      <c r="L17" s="5"/>
    </row>
    <row r="18" spans="2:12" ht="30" x14ac:dyDescent="0.25">
      <c r="B18" s="23" t="s">
        <v>325</v>
      </c>
      <c r="C18" s="22" t="s">
        <v>204</v>
      </c>
      <c r="D18" s="22" t="s">
        <v>201</v>
      </c>
      <c r="E18" s="23" t="s">
        <v>202</v>
      </c>
      <c r="F18" s="23" t="s">
        <v>203</v>
      </c>
      <c r="G18" s="23" t="s">
        <v>205</v>
      </c>
      <c r="H18" s="37">
        <v>1460</v>
      </c>
      <c r="I18" s="36">
        <v>1</v>
      </c>
      <c r="J18" s="39">
        <v>1</v>
      </c>
      <c r="K18" s="37">
        <f>H18/I18*J18</f>
        <v>1460</v>
      </c>
      <c r="L18" s="23"/>
    </row>
    <row r="19" spans="2:12" x14ac:dyDescent="0.25">
      <c r="K19" s="38">
        <f>K18</f>
        <v>1460</v>
      </c>
      <c r="L19" s="10" t="s">
        <v>67</v>
      </c>
    </row>
  </sheetData>
  <hyperlinks>
    <hyperlink ref="G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C47" sqref="C47"/>
    </sheetView>
  </sheetViews>
  <sheetFormatPr defaultRowHeight="15" x14ac:dyDescent="0.25"/>
  <cols>
    <col min="1" max="1" width="1.7109375" customWidth="1"/>
    <col min="2" max="2" width="16.85546875" customWidth="1"/>
    <col min="3" max="3" width="42" customWidth="1"/>
    <col min="4" max="4" width="33.42578125" customWidth="1"/>
    <col min="5" max="5" width="25.5703125" bestFit="1" customWidth="1"/>
    <col min="6" max="6" width="15.7109375" bestFit="1" customWidth="1"/>
    <col min="7" max="7" width="50" customWidth="1"/>
    <col min="8" max="8" width="8.28515625" bestFit="1" customWidth="1"/>
    <col min="9" max="10" width="7.5703125" bestFit="1" customWidth="1"/>
    <col min="11" max="11" width="8.28515625" bestFit="1" customWidth="1"/>
    <col min="12" max="12" width="32.140625" customWidth="1"/>
  </cols>
  <sheetData>
    <row r="2" spans="2:12" s="4" customFormat="1" ht="30" x14ac:dyDescent="0.25">
      <c r="B2" s="6" t="s">
        <v>337</v>
      </c>
      <c r="C2" s="6" t="s">
        <v>5</v>
      </c>
      <c r="D2" s="7" t="s">
        <v>12</v>
      </c>
      <c r="E2" s="7" t="s">
        <v>0</v>
      </c>
      <c r="F2" s="7" t="s">
        <v>4</v>
      </c>
      <c r="G2" s="7" t="s">
        <v>2</v>
      </c>
      <c r="H2" s="7" t="s">
        <v>1</v>
      </c>
      <c r="I2" s="6" t="s">
        <v>34</v>
      </c>
      <c r="J2" s="6" t="s">
        <v>39</v>
      </c>
      <c r="K2" s="6" t="s">
        <v>38</v>
      </c>
      <c r="L2" s="7" t="s">
        <v>7</v>
      </c>
    </row>
    <row r="3" spans="2:12" x14ac:dyDescent="0.25">
      <c r="B3" s="23" t="s">
        <v>327</v>
      </c>
      <c r="C3" s="22" t="s">
        <v>225</v>
      </c>
      <c r="D3" s="23" t="s">
        <v>68</v>
      </c>
      <c r="E3" s="23" t="s">
        <v>69</v>
      </c>
      <c r="F3" s="23"/>
      <c r="G3" s="23"/>
      <c r="H3" s="25">
        <v>92.54</v>
      </c>
      <c r="I3" s="26">
        <v>1</v>
      </c>
      <c r="J3" s="26">
        <v>1</v>
      </c>
      <c r="K3" s="25">
        <f>H3/I3*J3</f>
        <v>92.54</v>
      </c>
      <c r="L3" s="23"/>
    </row>
    <row r="4" spans="2:12" x14ac:dyDescent="0.25">
      <c r="B4" s="23" t="s">
        <v>327</v>
      </c>
      <c r="C4" s="22" t="s">
        <v>311</v>
      </c>
      <c r="D4" s="23" t="s">
        <v>226</v>
      </c>
      <c r="E4" s="23" t="s">
        <v>312</v>
      </c>
      <c r="F4" s="23" t="s">
        <v>313</v>
      </c>
      <c r="G4" s="23" t="s">
        <v>227</v>
      </c>
      <c r="H4" s="25">
        <v>15.62</v>
      </c>
      <c r="I4" s="26">
        <v>1</v>
      </c>
      <c r="J4" s="42">
        <v>0.1</v>
      </c>
      <c r="K4" s="25">
        <f>H4/I4*J4</f>
        <v>1.5620000000000001</v>
      </c>
      <c r="L4" s="23" t="s">
        <v>228</v>
      </c>
    </row>
    <row r="5" spans="2:12" x14ac:dyDescent="0.25">
      <c r="B5" s="23" t="s">
        <v>327</v>
      </c>
      <c r="C5" s="22" t="s">
        <v>16</v>
      </c>
      <c r="D5" s="23" t="s">
        <v>15</v>
      </c>
      <c r="E5" s="23" t="s">
        <v>10</v>
      </c>
      <c r="F5" s="23" t="s">
        <v>18</v>
      </c>
      <c r="G5" s="23" t="s">
        <v>17</v>
      </c>
      <c r="H5" s="25">
        <v>8.66</v>
      </c>
      <c r="I5" s="26">
        <v>1</v>
      </c>
      <c r="J5" s="32">
        <v>0.5</v>
      </c>
      <c r="K5" s="25">
        <f>H5/I5*J5</f>
        <v>4.33</v>
      </c>
      <c r="L5" s="22" t="s">
        <v>64</v>
      </c>
    </row>
    <row r="6" spans="2:12" ht="30" customHeight="1" x14ac:dyDescent="0.25">
      <c r="B6" s="23" t="s">
        <v>327</v>
      </c>
      <c r="C6" s="22" t="s">
        <v>374</v>
      </c>
      <c r="D6" s="23" t="s">
        <v>310</v>
      </c>
      <c r="E6" s="23" t="s">
        <v>10</v>
      </c>
      <c r="F6" s="23" t="s">
        <v>375</v>
      </c>
      <c r="G6" s="23" t="s">
        <v>376</v>
      </c>
      <c r="H6" s="25">
        <v>8.0299999999999994</v>
      </c>
      <c r="I6" s="26">
        <v>1</v>
      </c>
      <c r="J6" s="26">
        <v>1</v>
      </c>
      <c r="K6" s="25">
        <f>H6/I6*J6</f>
        <v>8.0299999999999994</v>
      </c>
      <c r="L6" s="22"/>
    </row>
    <row r="7" spans="2:12" x14ac:dyDescent="0.25">
      <c r="K7" s="38">
        <f>SUM(K3:K6)</f>
        <v>106.462</v>
      </c>
      <c r="L7" s="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4"/>
  <sheetViews>
    <sheetView topLeftCell="C1" workbookViewId="0">
      <selection activeCell="E35" sqref="E35"/>
    </sheetView>
  </sheetViews>
  <sheetFormatPr defaultRowHeight="15" x14ac:dyDescent="0.25"/>
  <cols>
    <col min="1" max="1" width="2.42578125" customWidth="1"/>
    <col min="2" max="2" width="10.42578125" customWidth="1"/>
    <col min="3" max="3" width="62.28515625" customWidth="1"/>
    <col min="4" max="4" width="41.5703125" customWidth="1"/>
    <col min="5" max="5" width="19.140625" customWidth="1"/>
    <col min="6" max="6" width="12.28515625" customWidth="1"/>
    <col min="7" max="7" width="21" customWidth="1"/>
    <col min="8" max="8" width="8.7109375" customWidth="1"/>
    <col min="9" max="10" width="7.5703125" bestFit="1" customWidth="1"/>
    <col min="11" max="11" width="8.85546875" customWidth="1"/>
    <col min="12" max="12" width="58.42578125" customWidth="1"/>
  </cols>
  <sheetData>
    <row r="2" spans="2:12" s="4" customFormat="1" ht="30" x14ac:dyDescent="0.25">
      <c r="B2" s="6" t="s">
        <v>337</v>
      </c>
      <c r="C2" s="6" t="s">
        <v>5</v>
      </c>
      <c r="D2" s="7" t="s">
        <v>12</v>
      </c>
      <c r="E2" s="7" t="s">
        <v>0</v>
      </c>
      <c r="F2" s="6" t="s">
        <v>4</v>
      </c>
      <c r="G2" s="7" t="s">
        <v>2</v>
      </c>
      <c r="H2" s="7" t="s">
        <v>1</v>
      </c>
      <c r="I2" s="6" t="s">
        <v>34</v>
      </c>
      <c r="J2" s="6" t="s">
        <v>39</v>
      </c>
      <c r="K2" s="6" t="s">
        <v>38</v>
      </c>
      <c r="L2" s="7" t="s">
        <v>7</v>
      </c>
    </row>
    <row r="3" spans="2:12" x14ac:dyDescent="0.25">
      <c r="B3" s="23" t="s">
        <v>327</v>
      </c>
      <c r="C3" s="22" t="s">
        <v>82</v>
      </c>
      <c r="D3" s="23" t="s">
        <v>83</v>
      </c>
      <c r="E3" s="23" t="s">
        <v>84</v>
      </c>
      <c r="F3" s="23" t="s">
        <v>255</v>
      </c>
      <c r="G3" s="23" t="s">
        <v>85</v>
      </c>
      <c r="H3" s="31">
        <v>247.65</v>
      </c>
      <c r="I3" s="23">
        <v>15</v>
      </c>
      <c r="J3" s="23">
        <v>1</v>
      </c>
      <c r="K3" s="25">
        <f>H3/I3*J3</f>
        <v>16.510000000000002</v>
      </c>
      <c r="L3" s="23" t="s">
        <v>86</v>
      </c>
    </row>
    <row r="4" spans="2:12" x14ac:dyDescent="0.25">
      <c r="B4" s="23" t="s">
        <v>327</v>
      </c>
      <c r="C4" s="22" t="s">
        <v>334</v>
      </c>
      <c r="D4" s="22" t="s">
        <v>334</v>
      </c>
      <c r="E4" s="23" t="s">
        <v>84</v>
      </c>
      <c r="F4" s="23" t="s">
        <v>255</v>
      </c>
      <c r="G4" s="23" t="s">
        <v>85</v>
      </c>
      <c r="H4" s="31">
        <v>50</v>
      </c>
      <c r="I4" s="23">
        <v>15</v>
      </c>
      <c r="J4" s="23">
        <v>1</v>
      </c>
      <c r="K4" s="25">
        <f>H4/I4*J4</f>
        <v>3.3333333333333335</v>
      </c>
      <c r="L4" s="23" t="s">
        <v>86</v>
      </c>
    </row>
    <row r="5" spans="2:12" x14ac:dyDescent="0.25">
      <c r="B5" s="23" t="s">
        <v>327</v>
      </c>
      <c r="C5" s="22" t="s">
        <v>88</v>
      </c>
      <c r="D5" s="23" t="s">
        <v>83</v>
      </c>
      <c r="E5" s="23" t="s">
        <v>256</v>
      </c>
      <c r="F5" s="23" t="s">
        <v>256</v>
      </c>
      <c r="G5" s="23"/>
      <c r="H5" s="31">
        <v>180</v>
      </c>
      <c r="I5" s="23">
        <v>1</v>
      </c>
      <c r="J5" s="23">
        <v>1</v>
      </c>
      <c r="K5" s="25">
        <f>H5/I5*J5</f>
        <v>180</v>
      </c>
      <c r="L5" s="23" t="s">
        <v>87</v>
      </c>
    </row>
    <row r="6" spans="2:12" x14ac:dyDescent="0.25">
      <c r="B6" s="23" t="s">
        <v>327</v>
      </c>
      <c r="C6" s="22" t="s">
        <v>81</v>
      </c>
      <c r="D6" s="23" t="s">
        <v>83</v>
      </c>
      <c r="E6" s="23" t="s">
        <v>89</v>
      </c>
      <c r="F6" s="23" t="s">
        <v>255</v>
      </c>
      <c r="G6" s="23" t="s">
        <v>257</v>
      </c>
      <c r="H6" s="31">
        <v>155</v>
      </c>
      <c r="I6" s="23">
        <v>1</v>
      </c>
      <c r="J6" s="23">
        <v>1</v>
      </c>
      <c r="K6" s="25">
        <f>H6/I6*J6</f>
        <v>155</v>
      </c>
      <c r="L6" s="23" t="s">
        <v>87</v>
      </c>
    </row>
    <row r="8" spans="2:12" x14ac:dyDescent="0.25">
      <c r="B8" s="23" t="s">
        <v>327</v>
      </c>
      <c r="C8" s="22" t="s">
        <v>180</v>
      </c>
      <c r="D8" s="22" t="s">
        <v>179</v>
      </c>
      <c r="E8" s="23" t="s">
        <v>91</v>
      </c>
      <c r="F8" s="34">
        <v>1395391</v>
      </c>
      <c r="G8" s="23" t="s">
        <v>181</v>
      </c>
      <c r="H8" s="37">
        <v>6.65</v>
      </c>
      <c r="I8" s="36">
        <v>1</v>
      </c>
      <c r="J8" s="39">
        <v>0.2</v>
      </c>
      <c r="K8" s="37">
        <f>H8/I8*J8</f>
        <v>1.33</v>
      </c>
      <c r="L8" s="23" t="s">
        <v>395</v>
      </c>
    </row>
    <row r="10" spans="2:12" x14ac:dyDescent="0.25">
      <c r="B10" s="23" t="s">
        <v>327</v>
      </c>
      <c r="C10" s="22" t="s">
        <v>300</v>
      </c>
      <c r="D10" s="23" t="s">
        <v>290</v>
      </c>
      <c r="E10" s="23" t="s">
        <v>10</v>
      </c>
      <c r="F10" s="23" t="s">
        <v>299</v>
      </c>
      <c r="G10" s="23" t="s">
        <v>298</v>
      </c>
      <c r="H10" s="31">
        <v>5.34</v>
      </c>
      <c r="I10" s="23">
        <v>100</v>
      </c>
      <c r="J10" s="23">
        <v>3</v>
      </c>
      <c r="K10" s="25">
        <f t="shared" ref="K10:K11" si="0">H10/I10*J10</f>
        <v>0.16019999999999998</v>
      </c>
      <c r="L10" s="23"/>
    </row>
    <row r="11" spans="2:12" x14ac:dyDescent="0.25">
      <c r="B11" s="23" t="s">
        <v>327</v>
      </c>
      <c r="C11" s="22" t="s">
        <v>292</v>
      </c>
      <c r="D11" s="23" t="s">
        <v>290</v>
      </c>
      <c r="E11" s="23" t="s">
        <v>10</v>
      </c>
      <c r="F11" s="23" t="s">
        <v>185</v>
      </c>
      <c r="G11" s="23" t="s">
        <v>186</v>
      </c>
      <c r="H11" s="31">
        <v>2.74</v>
      </c>
      <c r="I11" s="23">
        <v>100</v>
      </c>
      <c r="J11" s="23">
        <v>0</v>
      </c>
      <c r="K11" s="25">
        <f t="shared" si="0"/>
        <v>0</v>
      </c>
      <c r="L11" s="23" t="s">
        <v>293</v>
      </c>
    </row>
    <row r="13" spans="2:12" x14ac:dyDescent="0.25">
      <c r="B13" s="23" t="s">
        <v>327</v>
      </c>
      <c r="C13" s="22" t="s">
        <v>287</v>
      </c>
      <c r="D13" s="23" t="s">
        <v>268</v>
      </c>
      <c r="E13" s="23" t="s">
        <v>10</v>
      </c>
      <c r="F13" s="23" t="s">
        <v>270</v>
      </c>
      <c r="G13" s="23" t="s">
        <v>269</v>
      </c>
      <c r="H13" s="31">
        <v>6.16</v>
      </c>
      <c r="I13" s="23">
        <v>100</v>
      </c>
      <c r="J13" s="23">
        <v>4</v>
      </c>
      <c r="K13" s="25">
        <f t="shared" ref="K13:K14" si="1">H13/I13*J13</f>
        <v>0.24640000000000001</v>
      </c>
      <c r="L13" s="23"/>
    </row>
    <row r="14" spans="2:12" x14ac:dyDescent="0.25">
      <c r="B14" s="23" t="s">
        <v>327</v>
      </c>
      <c r="C14" s="22" t="s">
        <v>288</v>
      </c>
      <c r="D14" s="23" t="s">
        <v>268</v>
      </c>
      <c r="E14" s="23" t="s">
        <v>10</v>
      </c>
      <c r="F14" s="23" t="s">
        <v>272</v>
      </c>
      <c r="G14" s="23" t="s">
        <v>271</v>
      </c>
      <c r="H14" s="31">
        <v>3.12</v>
      </c>
      <c r="I14" s="23">
        <v>100</v>
      </c>
      <c r="J14" s="23">
        <v>4</v>
      </c>
      <c r="K14" s="25">
        <f t="shared" si="1"/>
        <v>0.12480000000000001</v>
      </c>
      <c r="L14" s="23"/>
    </row>
    <row r="16" spans="2:12" x14ac:dyDescent="0.25">
      <c r="B16" s="23" t="s">
        <v>327</v>
      </c>
      <c r="C16" s="22" t="s">
        <v>285</v>
      </c>
      <c r="D16" s="23" t="s">
        <v>258</v>
      </c>
      <c r="E16" s="23" t="s">
        <v>10</v>
      </c>
      <c r="F16" s="23" t="s">
        <v>261</v>
      </c>
      <c r="G16" s="23" t="s">
        <v>260</v>
      </c>
      <c r="H16" s="31">
        <v>0.96</v>
      </c>
      <c r="I16" s="26">
        <v>1</v>
      </c>
      <c r="J16" s="26">
        <v>2</v>
      </c>
      <c r="K16" s="25">
        <f>H16/I16*J16</f>
        <v>1.92</v>
      </c>
      <c r="L16" s="23"/>
    </row>
    <row r="17" spans="2:12" x14ac:dyDescent="0.25">
      <c r="B17" s="23" t="s">
        <v>327</v>
      </c>
      <c r="C17" s="22" t="s">
        <v>296</v>
      </c>
      <c r="D17" s="23" t="s">
        <v>258</v>
      </c>
      <c r="E17" s="23" t="s">
        <v>10</v>
      </c>
      <c r="F17" s="24" t="s">
        <v>265</v>
      </c>
      <c r="G17" s="23" t="s">
        <v>264</v>
      </c>
      <c r="H17" s="31">
        <v>3.54</v>
      </c>
      <c r="I17" s="23">
        <v>100</v>
      </c>
      <c r="J17" s="23">
        <v>2</v>
      </c>
      <c r="K17" s="25">
        <f t="shared" ref="K17:K23" si="2">H17/I17*J17</f>
        <v>7.0800000000000002E-2</v>
      </c>
      <c r="L17" s="23"/>
    </row>
    <row r="18" spans="2:12" x14ac:dyDescent="0.25">
      <c r="B18" s="23" t="s">
        <v>327</v>
      </c>
      <c r="C18" s="22" t="s">
        <v>297</v>
      </c>
      <c r="D18" s="23" t="s">
        <v>258</v>
      </c>
      <c r="E18" s="23" t="s">
        <v>10</v>
      </c>
      <c r="F18" s="23" t="s">
        <v>266</v>
      </c>
      <c r="G18" s="23" t="s">
        <v>267</v>
      </c>
      <c r="H18" s="31">
        <v>3.46</v>
      </c>
      <c r="I18" s="23">
        <v>100</v>
      </c>
      <c r="J18" s="23">
        <v>2</v>
      </c>
      <c r="K18" s="25">
        <f t="shared" ref="K18" si="3">H18/I18*J18</f>
        <v>6.9199999999999998E-2</v>
      </c>
      <c r="L18" s="23"/>
    </row>
    <row r="19" spans="2:12" x14ac:dyDescent="0.25">
      <c r="B19" s="23" t="s">
        <v>327</v>
      </c>
      <c r="C19" s="22" t="s">
        <v>291</v>
      </c>
      <c r="D19" s="23" t="s">
        <v>258</v>
      </c>
      <c r="E19" s="23" t="s">
        <v>10</v>
      </c>
      <c r="F19" s="23" t="s">
        <v>263</v>
      </c>
      <c r="G19" s="23" t="s">
        <v>262</v>
      </c>
      <c r="H19" s="31">
        <v>3.46</v>
      </c>
      <c r="I19" s="23">
        <v>100</v>
      </c>
      <c r="J19" s="23">
        <v>4</v>
      </c>
      <c r="K19" s="25">
        <f t="shared" ref="K19" si="4">H19/I19*J19</f>
        <v>0.1384</v>
      </c>
      <c r="L19" s="23"/>
    </row>
    <row r="21" spans="2:12" x14ac:dyDescent="0.25">
      <c r="B21" s="23" t="s">
        <v>327</v>
      </c>
      <c r="C21" s="22" t="s">
        <v>286</v>
      </c>
      <c r="D21" s="23" t="s">
        <v>259</v>
      </c>
      <c r="E21" s="23" t="s">
        <v>10</v>
      </c>
      <c r="F21" s="23" t="s">
        <v>184</v>
      </c>
      <c r="G21" s="23" t="s">
        <v>183</v>
      </c>
      <c r="H21" s="31">
        <v>2.36</v>
      </c>
      <c r="I21" s="23">
        <v>1</v>
      </c>
      <c r="J21" s="23">
        <v>4</v>
      </c>
      <c r="K21" s="25">
        <f t="shared" si="2"/>
        <v>9.44</v>
      </c>
      <c r="L21" s="23"/>
    </row>
    <row r="22" spans="2:12" x14ac:dyDescent="0.25">
      <c r="B22" s="23" t="s">
        <v>327</v>
      </c>
      <c r="C22" s="22" t="s">
        <v>295</v>
      </c>
      <c r="D22" s="23" t="s">
        <v>259</v>
      </c>
      <c r="E22" s="23" t="s">
        <v>10</v>
      </c>
      <c r="F22" s="24" t="s">
        <v>187</v>
      </c>
      <c r="G22" s="23" t="s">
        <v>188</v>
      </c>
      <c r="H22" s="31">
        <v>5.92</v>
      </c>
      <c r="I22" s="23">
        <v>100</v>
      </c>
      <c r="J22" s="23">
        <v>8</v>
      </c>
      <c r="K22" s="25">
        <f t="shared" si="2"/>
        <v>0.47360000000000002</v>
      </c>
      <c r="L22" s="23"/>
    </row>
    <row r="23" spans="2:12" s="2" customFormat="1" ht="45" x14ac:dyDescent="0.25">
      <c r="B23" s="22" t="s">
        <v>327</v>
      </c>
      <c r="C23" s="22" t="s">
        <v>292</v>
      </c>
      <c r="D23" s="22" t="s">
        <v>259</v>
      </c>
      <c r="E23" s="22" t="s">
        <v>10</v>
      </c>
      <c r="F23" s="22" t="s">
        <v>185</v>
      </c>
      <c r="G23" s="22" t="s">
        <v>186</v>
      </c>
      <c r="H23" s="59">
        <v>2.74</v>
      </c>
      <c r="I23" s="22">
        <v>100</v>
      </c>
      <c r="J23" s="22">
        <v>11</v>
      </c>
      <c r="K23" s="60">
        <f t="shared" si="2"/>
        <v>0.3014</v>
      </c>
      <c r="L23" s="22" t="s">
        <v>294</v>
      </c>
    </row>
    <row r="25" spans="2:12" x14ac:dyDescent="0.25">
      <c r="B25" s="23" t="s">
        <v>327</v>
      </c>
      <c r="C25" s="22" t="s">
        <v>301</v>
      </c>
      <c r="D25" s="23" t="s">
        <v>273</v>
      </c>
      <c r="E25" s="23" t="s">
        <v>10</v>
      </c>
      <c r="F25" s="23" t="s">
        <v>276</v>
      </c>
      <c r="G25" s="23" t="s">
        <v>277</v>
      </c>
      <c r="H25" s="31">
        <v>10.19</v>
      </c>
      <c r="I25" s="23">
        <v>100</v>
      </c>
      <c r="J25" s="23">
        <v>10</v>
      </c>
      <c r="K25" s="25">
        <f t="shared" ref="K25:K30" si="5">H25/I25*J25</f>
        <v>1.0189999999999999</v>
      </c>
      <c r="L25" s="23"/>
    </row>
    <row r="26" spans="2:12" x14ac:dyDescent="0.25">
      <c r="B26" s="23" t="s">
        <v>327</v>
      </c>
      <c r="C26" s="22" t="s">
        <v>282</v>
      </c>
      <c r="D26" s="23" t="s">
        <v>273</v>
      </c>
      <c r="E26" s="23" t="s">
        <v>10</v>
      </c>
      <c r="F26" s="23" t="s">
        <v>275</v>
      </c>
      <c r="G26" s="23" t="s">
        <v>274</v>
      </c>
      <c r="H26" s="31">
        <v>10.38</v>
      </c>
      <c r="I26" s="23">
        <v>50</v>
      </c>
      <c r="J26" s="23">
        <v>4</v>
      </c>
      <c r="K26" s="25">
        <f t="shared" si="5"/>
        <v>0.83040000000000003</v>
      </c>
      <c r="L26" s="23"/>
    </row>
    <row r="27" spans="2:12" x14ac:dyDescent="0.25">
      <c r="B27" s="23" t="s">
        <v>327</v>
      </c>
      <c r="C27" s="22" t="s">
        <v>306</v>
      </c>
      <c r="D27" s="23" t="s">
        <v>302</v>
      </c>
      <c r="E27" s="23" t="s">
        <v>10</v>
      </c>
      <c r="F27" s="23" t="s">
        <v>307</v>
      </c>
      <c r="G27" s="23" t="s">
        <v>308</v>
      </c>
      <c r="H27" s="31">
        <v>4.88</v>
      </c>
      <c r="I27" s="23">
        <v>25</v>
      </c>
      <c r="J27" s="23">
        <v>1</v>
      </c>
      <c r="K27" s="25">
        <f t="shared" ref="K27" si="6">H27/I27*J27</f>
        <v>0.19519999999999998</v>
      </c>
      <c r="L27" s="23"/>
    </row>
    <row r="28" spans="2:12" x14ac:dyDescent="0.25">
      <c r="B28" s="23" t="s">
        <v>327</v>
      </c>
      <c r="C28" s="22" t="s">
        <v>304</v>
      </c>
      <c r="D28" s="23" t="s">
        <v>302</v>
      </c>
      <c r="E28" s="23" t="s">
        <v>10</v>
      </c>
      <c r="F28" s="23" t="s">
        <v>305</v>
      </c>
      <c r="G28" s="23" t="s">
        <v>215</v>
      </c>
      <c r="H28" s="31">
        <v>2.42</v>
      </c>
      <c r="I28" s="23">
        <v>1</v>
      </c>
      <c r="J28" s="23">
        <v>1</v>
      </c>
      <c r="K28" s="25">
        <f t="shared" ref="K28" si="7">H28/I28*J28</f>
        <v>2.42</v>
      </c>
      <c r="L28" s="23"/>
    </row>
    <row r="29" spans="2:12" x14ac:dyDescent="0.25">
      <c r="B29" s="23" t="s">
        <v>327</v>
      </c>
      <c r="C29" s="22" t="s">
        <v>283</v>
      </c>
      <c r="D29" s="23" t="s">
        <v>309</v>
      </c>
      <c r="E29" s="23" t="s">
        <v>10</v>
      </c>
      <c r="F29" s="23" t="s">
        <v>278</v>
      </c>
      <c r="G29" s="23" t="s">
        <v>279</v>
      </c>
      <c r="H29" s="31">
        <v>3.68</v>
      </c>
      <c r="I29" s="23">
        <v>100</v>
      </c>
      <c r="J29" s="23">
        <v>5</v>
      </c>
      <c r="K29" s="25">
        <f t="shared" ref="K29" si="8">H29/I29*J29</f>
        <v>0.184</v>
      </c>
      <c r="L29" s="23" t="s">
        <v>289</v>
      </c>
    </row>
    <row r="30" spans="2:12" x14ac:dyDescent="0.25">
      <c r="B30" s="23" t="s">
        <v>327</v>
      </c>
      <c r="C30" s="22" t="s">
        <v>284</v>
      </c>
      <c r="D30" s="23" t="s">
        <v>309</v>
      </c>
      <c r="E30" s="23" t="s">
        <v>10</v>
      </c>
      <c r="F30" s="23" t="s">
        <v>280</v>
      </c>
      <c r="G30" s="23" t="s">
        <v>281</v>
      </c>
      <c r="H30" s="31">
        <v>3.37</v>
      </c>
      <c r="I30" s="23">
        <v>100</v>
      </c>
      <c r="J30" s="23">
        <v>5</v>
      </c>
      <c r="K30" s="25">
        <f t="shared" si="5"/>
        <v>0.16850000000000001</v>
      </c>
      <c r="L30" s="23" t="s">
        <v>289</v>
      </c>
    </row>
    <row r="31" spans="2:12" x14ac:dyDescent="0.25">
      <c r="B31" s="23" t="s">
        <v>327</v>
      </c>
      <c r="C31" s="22" t="s">
        <v>399</v>
      </c>
      <c r="D31" s="23" t="s">
        <v>309</v>
      </c>
      <c r="E31" s="23" t="s">
        <v>10</v>
      </c>
      <c r="F31" s="23" t="s">
        <v>401</v>
      </c>
      <c r="G31" s="23" t="s">
        <v>402</v>
      </c>
      <c r="H31" s="31">
        <v>4.3099999999999996</v>
      </c>
      <c r="I31" s="23">
        <v>100</v>
      </c>
      <c r="J31" s="23">
        <v>1</v>
      </c>
      <c r="K31" s="25">
        <f t="shared" ref="K31" si="9">H31/I31*J31</f>
        <v>4.3099999999999999E-2</v>
      </c>
      <c r="L31" s="23" t="s">
        <v>400</v>
      </c>
    </row>
    <row r="32" spans="2:12" x14ac:dyDescent="0.25">
      <c r="K32" s="9">
        <f>SUM(K3:K31)</f>
        <v>373.97833333333335</v>
      </c>
      <c r="L32" s="10" t="s">
        <v>67</v>
      </c>
    </row>
    <row r="34" spans="11:12" x14ac:dyDescent="0.25">
      <c r="K34" s="1"/>
      <c r="L34" s="5"/>
    </row>
  </sheetData>
  <pageMargins left="0.7" right="0.7" top="0.75" bottom="0.75" header="0.3" footer="0.3"/>
  <pageSetup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5"/>
  <sheetViews>
    <sheetView workbookViewId="0">
      <selection activeCell="K44" sqref="K44"/>
    </sheetView>
  </sheetViews>
  <sheetFormatPr defaultRowHeight="15" x14ac:dyDescent="0.25"/>
  <cols>
    <col min="2" max="2" width="25.85546875" customWidth="1"/>
    <col min="3" max="3" width="37.5703125" style="2" bestFit="1" customWidth="1"/>
    <col min="4" max="4" width="35.42578125" customWidth="1"/>
    <col min="5" max="5" width="14.140625" bestFit="1" customWidth="1"/>
    <col min="6" max="6" width="15.7109375" bestFit="1" customWidth="1"/>
    <col min="7" max="7" width="35.5703125" customWidth="1"/>
    <col min="8" max="8" width="8.28515625" bestFit="1" customWidth="1"/>
    <col min="9" max="10" width="7.5703125" style="3" bestFit="1" customWidth="1"/>
    <col min="11" max="11" width="8.28515625" bestFit="1" customWidth="1"/>
    <col min="12" max="12" width="51.7109375" style="2" customWidth="1"/>
  </cols>
  <sheetData>
    <row r="2" spans="2:12" s="4" customFormat="1" ht="30" x14ac:dyDescent="0.25">
      <c r="B2" s="6" t="s">
        <v>337</v>
      </c>
      <c r="C2" s="6" t="s">
        <v>176</v>
      </c>
      <c r="D2" s="7" t="s">
        <v>12</v>
      </c>
      <c r="E2" s="7" t="s">
        <v>0</v>
      </c>
      <c r="F2" s="7" t="s">
        <v>4</v>
      </c>
      <c r="G2" s="7" t="s">
        <v>2</v>
      </c>
      <c r="H2" s="7" t="s">
        <v>1</v>
      </c>
      <c r="I2" s="6" t="s">
        <v>34</v>
      </c>
      <c r="J2" s="6" t="s">
        <v>39</v>
      </c>
      <c r="K2" s="6" t="s">
        <v>38</v>
      </c>
      <c r="L2" s="7" t="s">
        <v>7</v>
      </c>
    </row>
    <row r="3" spans="2:12" x14ac:dyDescent="0.25">
      <c r="B3" s="23" t="s">
        <v>327</v>
      </c>
      <c r="C3" s="27" t="s">
        <v>231</v>
      </c>
      <c r="D3" s="27" t="s">
        <v>235</v>
      </c>
      <c r="E3" s="28" t="s">
        <v>10</v>
      </c>
      <c r="F3" s="28" t="s">
        <v>139</v>
      </c>
      <c r="G3" s="28" t="s">
        <v>314</v>
      </c>
      <c r="H3" s="29">
        <v>9.34</v>
      </c>
      <c r="I3" s="30">
        <v>10</v>
      </c>
      <c r="J3" s="30">
        <v>1</v>
      </c>
      <c r="K3" s="29">
        <f>H3/I3*J3</f>
        <v>0.93399999999999994</v>
      </c>
      <c r="L3" s="27"/>
    </row>
    <row r="4" spans="2:12" x14ac:dyDescent="0.25">
      <c r="B4" s="23" t="s">
        <v>327</v>
      </c>
      <c r="C4" s="27" t="s">
        <v>232</v>
      </c>
      <c r="D4" s="27" t="s">
        <v>236</v>
      </c>
      <c r="E4" s="28" t="s">
        <v>10</v>
      </c>
      <c r="F4" s="28" t="s">
        <v>140</v>
      </c>
      <c r="G4" s="28" t="s">
        <v>315</v>
      </c>
      <c r="H4" s="29">
        <v>10.14</v>
      </c>
      <c r="I4" s="30">
        <v>25</v>
      </c>
      <c r="J4" s="30">
        <v>1</v>
      </c>
      <c r="K4" s="29">
        <f>H4/I4*J4</f>
        <v>0.40560000000000002</v>
      </c>
      <c r="L4" s="27"/>
    </row>
    <row r="5" spans="2:12" s="8" customFormat="1" x14ac:dyDescent="0.25">
      <c r="B5" s="23" t="s">
        <v>327</v>
      </c>
      <c r="C5" s="27" t="s">
        <v>233</v>
      </c>
      <c r="D5" s="27" t="s">
        <v>121</v>
      </c>
      <c r="E5" s="28" t="s">
        <v>10</v>
      </c>
      <c r="F5" s="28" t="s">
        <v>141</v>
      </c>
      <c r="G5" s="28" t="s">
        <v>316</v>
      </c>
      <c r="H5" s="29">
        <v>7.05</v>
      </c>
      <c r="I5" s="30">
        <v>100</v>
      </c>
      <c r="J5" s="30">
        <v>2</v>
      </c>
      <c r="K5" s="29">
        <f>H5/I5*J5</f>
        <v>0.14099999999999999</v>
      </c>
      <c r="L5" s="27"/>
    </row>
    <row r="6" spans="2:12" x14ac:dyDescent="0.25">
      <c r="B6" s="23" t="s">
        <v>327</v>
      </c>
      <c r="C6" s="27" t="s">
        <v>234</v>
      </c>
      <c r="D6" s="27" t="s">
        <v>122</v>
      </c>
      <c r="E6" s="28" t="s">
        <v>10</v>
      </c>
      <c r="F6" s="28" t="s">
        <v>142</v>
      </c>
      <c r="G6" s="28" t="s">
        <v>143</v>
      </c>
      <c r="H6" s="29">
        <v>5.61</v>
      </c>
      <c r="I6" s="30">
        <v>100</v>
      </c>
      <c r="J6" s="30">
        <v>2</v>
      </c>
      <c r="K6" s="29">
        <f>H6/I6*J6</f>
        <v>0.11220000000000001</v>
      </c>
      <c r="L6" s="27"/>
    </row>
    <row r="7" spans="2:12" x14ac:dyDescent="0.25">
      <c r="B7" s="23" t="s">
        <v>327</v>
      </c>
      <c r="C7" s="27" t="s">
        <v>244</v>
      </c>
      <c r="D7" s="27" t="s">
        <v>237</v>
      </c>
      <c r="E7" s="28" t="s">
        <v>10</v>
      </c>
      <c r="F7" s="28" t="s">
        <v>318</v>
      </c>
      <c r="G7" s="28" t="s">
        <v>317</v>
      </c>
      <c r="H7" s="29">
        <v>8.0299999999999994</v>
      </c>
      <c r="I7" s="30">
        <v>100</v>
      </c>
      <c r="J7" s="30">
        <v>1</v>
      </c>
      <c r="K7" s="29">
        <f t="shared" ref="K7:K10" si="0">H7/I7*J7</f>
        <v>8.0299999999999996E-2</v>
      </c>
      <c r="L7" s="27"/>
    </row>
    <row r="8" spans="2:12" x14ac:dyDescent="0.25">
      <c r="B8" s="23" t="s">
        <v>327</v>
      </c>
      <c r="C8" s="27" t="s">
        <v>243</v>
      </c>
      <c r="D8" s="27" t="s">
        <v>238</v>
      </c>
      <c r="E8" s="28" t="s">
        <v>10</v>
      </c>
      <c r="F8" s="28" t="s">
        <v>319</v>
      </c>
      <c r="G8" s="28" t="s">
        <v>320</v>
      </c>
      <c r="H8" s="29">
        <v>6.13</v>
      </c>
      <c r="I8" s="30">
        <v>100</v>
      </c>
      <c r="J8" s="30">
        <v>1</v>
      </c>
      <c r="K8" s="29">
        <f t="shared" si="0"/>
        <v>6.13E-2</v>
      </c>
      <c r="L8" s="27"/>
    </row>
    <row r="9" spans="2:12" x14ac:dyDescent="0.25">
      <c r="B9" s="23" t="s">
        <v>327</v>
      </c>
      <c r="C9" s="27" t="s">
        <v>241</v>
      </c>
      <c r="D9" s="27" t="s">
        <v>239</v>
      </c>
      <c r="E9" s="28" t="s">
        <v>10</v>
      </c>
      <c r="F9" s="28" t="s">
        <v>321</v>
      </c>
      <c r="G9" s="28" t="s">
        <v>322</v>
      </c>
      <c r="H9" s="29">
        <v>11.31</v>
      </c>
      <c r="I9" s="30">
        <v>100</v>
      </c>
      <c r="J9" s="30">
        <v>1</v>
      </c>
      <c r="K9" s="29">
        <f t="shared" si="0"/>
        <v>0.11310000000000001</v>
      </c>
      <c r="L9" s="27"/>
    </row>
    <row r="10" spans="2:12" x14ac:dyDescent="0.25">
      <c r="B10" s="23" t="s">
        <v>327</v>
      </c>
      <c r="C10" s="27" t="s">
        <v>242</v>
      </c>
      <c r="D10" s="27" t="s">
        <v>240</v>
      </c>
      <c r="E10" s="28" t="s">
        <v>10</v>
      </c>
      <c r="F10" s="28" t="s">
        <v>324</v>
      </c>
      <c r="G10" s="28" t="s">
        <v>323</v>
      </c>
      <c r="H10" s="29">
        <v>10.32</v>
      </c>
      <c r="I10" s="30">
        <v>100</v>
      </c>
      <c r="J10" s="30">
        <v>1</v>
      </c>
      <c r="K10" s="29">
        <f t="shared" si="0"/>
        <v>0.1032</v>
      </c>
      <c r="L10" s="27"/>
    </row>
    <row r="11" spans="2:12" ht="45" x14ac:dyDescent="0.25">
      <c r="B11" s="23" t="s">
        <v>327</v>
      </c>
      <c r="C11" s="22" t="s">
        <v>31</v>
      </c>
      <c r="D11" s="22" t="s">
        <v>13</v>
      </c>
      <c r="E11" s="23" t="s">
        <v>10</v>
      </c>
      <c r="F11" s="23" t="s">
        <v>32</v>
      </c>
      <c r="G11" s="23" t="s">
        <v>33</v>
      </c>
      <c r="H11" s="29">
        <v>11.01</v>
      </c>
      <c r="I11" s="26">
        <v>1</v>
      </c>
      <c r="J11" s="26">
        <v>1</v>
      </c>
      <c r="K11" s="25">
        <f>H11/I11*J11</f>
        <v>11.01</v>
      </c>
      <c r="L11" s="22"/>
    </row>
    <row r="12" spans="2:12" ht="30" x14ac:dyDescent="0.25">
      <c r="B12" s="23" t="s">
        <v>327</v>
      </c>
      <c r="C12" s="22" t="s">
        <v>125</v>
      </c>
      <c r="D12" s="22" t="s">
        <v>124</v>
      </c>
      <c r="E12" s="23" t="s">
        <v>10</v>
      </c>
      <c r="F12" s="23" t="s">
        <v>123</v>
      </c>
      <c r="G12" s="23" t="s">
        <v>126</v>
      </c>
      <c r="H12" s="29">
        <v>4.4000000000000004</v>
      </c>
      <c r="I12" s="26">
        <v>1</v>
      </c>
      <c r="J12" s="26">
        <v>3</v>
      </c>
      <c r="K12" s="25">
        <f>H12/I12*J12</f>
        <v>13.200000000000001</v>
      </c>
      <c r="L12" s="22"/>
    </row>
    <row r="13" spans="2:12" ht="30" x14ac:dyDescent="0.25">
      <c r="B13" s="23" t="s">
        <v>327</v>
      </c>
      <c r="C13" s="22" t="s">
        <v>344</v>
      </c>
      <c r="D13" s="22" t="s">
        <v>345</v>
      </c>
      <c r="E13" s="23" t="s">
        <v>341</v>
      </c>
      <c r="F13" s="23" t="s">
        <v>342</v>
      </c>
      <c r="G13" s="23" t="s">
        <v>336</v>
      </c>
      <c r="H13" s="25">
        <v>19.989999999999998</v>
      </c>
      <c r="I13" s="26">
        <v>1</v>
      </c>
      <c r="J13" s="26">
        <v>2</v>
      </c>
      <c r="K13" s="25">
        <f>H13/I13*J13</f>
        <v>39.979999999999997</v>
      </c>
      <c r="L13" s="22"/>
    </row>
    <row r="14" spans="2:12" x14ac:dyDescent="0.25">
      <c r="B14" s="23" t="s">
        <v>327</v>
      </c>
      <c r="C14" s="22" t="s">
        <v>80</v>
      </c>
      <c r="D14" s="22" t="s">
        <v>354</v>
      </c>
      <c r="E14" s="23" t="s">
        <v>3</v>
      </c>
      <c r="F14" s="23" t="s">
        <v>8</v>
      </c>
      <c r="G14" s="23" t="s">
        <v>6</v>
      </c>
      <c r="H14" s="25">
        <v>33</v>
      </c>
      <c r="I14" s="26">
        <v>1</v>
      </c>
      <c r="J14" s="26">
        <v>1</v>
      </c>
      <c r="K14" s="25">
        <f>H14/I14*J14</f>
        <v>33</v>
      </c>
      <c r="L14" s="22"/>
    </row>
    <row r="15" spans="2:12" x14ac:dyDescent="0.25">
      <c r="B15" s="23" t="s">
        <v>327</v>
      </c>
      <c r="C15" s="22" t="s">
        <v>377</v>
      </c>
      <c r="D15" s="22" t="s">
        <v>355</v>
      </c>
      <c r="E15" s="23" t="s">
        <v>91</v>
      </c>
      <c r="F15" s="23"/>
      <c r="G15" s="23" t="s">
        <v>356</v>
      </c>
      <c r="H15" s="25">
        <v>15.99</v>
      </c>
      <c r="I15" s="26">
        <v>1</v>
      </c>
      <c r="J15" s="26">
        <v>1</v>
      </c>
      <c r="K15" s="25">
        <v>15.99</v>
      </c>
      <c r="L15" s="22"/>
    </row>
    <row r="16" spans="2:12" x14ac:dyDescent="0.25">
      <c r="K16" s="9">
        <f>SUM(K3:K15)</f>
        <v>115.13069999999999</v>
      </c>
      <c r="L16" s="10" t="s">
        <v>67</v>
      </c>
    </row>
    <row r="17" spans="2:12" x14ac:dyDescent="0.25">
      <c r="B17" s="2"/>
    </row>
    <row r="18" spans="2:12" ht="45" x14ac:dyDescent="0.25">
      <c r="B18" s="22" t="s">
        <v>338</v>
      </c>
      <c r="C18" s="22" t="s">
        <v>95</v>
      </c>
      <c r="D18" s="22" t="s">
        <v>106</v>
      </c>
      <c r="E18" s="23" t="s">
        <v>10</v>
      </c>
      <c r="F18" s="23" t="s">
        <v>97</v>
      </c>
      <c r="G18" s="23" t="s">
        <v>96</v>
      </c>
      <c r="H18" s="25">
        <v>3.82</v>
      </c>
      <c r="I18" s="26">
        <v>10</v>
      </c>
      <c r="J18" s="26">
        <v>4</v>
      </c>
      <c r="K18" s="25">
        <f>H18/I18*J18</f>
        <v>1.528</v>
      </c>
      <c r="L18" s="22"/>
    </row>
    <row r="19" spans="2:12" ht="45" x14ac:dyDescent="0.25">
      <c r="B19" s="22" t="s">
        <v>338</v>
      </c>
      <c r="C19" s="22" t="s">
        <v>27</v>
      </c>
      <c r="D19" s="22" t="s">
        <v>107</v>
      </c>
      <c r="E19" s="23" t="s">
        <v>10</v>
      </c>
      <c r="F19" s="23" t="s">
        <v>20</v>
      </c>
      <c r="G19" s="23" t="s">
        <v>19</v>
      </c>
      <c r="H19" s="25">
        <v>3.7</v>
      </c>
      <c r="I19" s="26">
        <v>10</v>
      </c>
      <c r="J19" s="26">
        <v>10</v>
      </c>
      <c r="K19" s="25">
        <f>H19/I19*J19</f>
        <v>3.7</v>
      </c>
      <c r="L19" s="22"/>
    </row>
    <row r="20" spans="2:12" ht="30" x14ac:dyDescent="0.25">
      <c r="B20" s="22" t="s">
        <v>338</v>
      </c>
      <c r="C20" s="22" t="s">
        <v>29</v>
      </c>
      <c r="D20" s="22" t="s">
        <v>103</v>
      </c>
      <c r="E20" s="23" t="s">
        <v>10</v>
      </c>
      <c r="F20" s="23" t="s">
        <v>30</v>
      </c>
      <c r="G20" s="23" t="s">
        <v>28</v>
      </c>
      <c r="H20" s="25">
        <v>4.57</v>
      </c>
      <c r="I20" s="26">
        <v>100</v>
      </c>
      <c r="J20" s="26">
        <v>14</v>
      </c>
      <c r="K20" s="25">
        <f t="shared" ref="K20" si="1">H20/I20*J20</f>
        <v>0.63980000000000004</v>
      </c>
      <c r="L20" s="22"/>
    </row>
    <row r="21" spans="2:12" ht="30" x14ac:dyDescent="0.25">
      <c r="B21" s="22" t="s">
        <v>338</v>
      </c>
      <c r="C21" s="22" t="s">
        <v>25</v>
      </c>
      <c r="D21" s="22" t="s">
        <v>104</v>
      </c>
      <c r="E21" s="23" t="s">
        <v>10</v>
      </c>
      <c r="F21" s="23" t="s">
        <v>26</v>
      </c>
      <c r="G21" s="23" t="s">
        <v>24</v>
      </c>
      <c r="H21" s="25">
        <v>7.21</v>
      </c>
      <c r="I21" s="26">
        <v>100</v>
      </c>
      <c r="J21" s="26">
        <v>14</v>
      </c>
      <c r="K21" s="25">
        <f t="shared" ref="K21:K31" si="2">H21/I21*J21</f>
        <v>1.0093999999999999</v>
      </c>
      <c r="L21" s="22"/>
    </row>
    <row r="22" spans="2:12" ht="30" x14ac:dyDescent="0.25">
      <c r="B22" s="22" t="s">
        <v>338</v>
      </c>
      <c r="C22" s="22" t="s">
        <v>109</v>
      </c>
      <c r="D22" s="22" t="s">
        <v>105</v>
      </c>
      <c r="E22" s="23" t="s">
        <v>10</v>
      </c>
      <c r="F22" s="24" t="s">
        <v>110</v>
      </c>
      <c r="G22" s="23" t="s">
        <v>112</v>
      </c>
      <c r="H22" s="25">
        <v>7.45</v>
      </c>
      <c r="I22" s="26">
        <v>100</v>
      </c>
      <c r="J22" s="26">
        <v>22</v>
      </c>
      <c r="K22" s="25">
        <f t="shared" si="2"/>
        <v>1.639</v>
      </c>
      <c r="L22" s="22" t="s">
        <v>111</v>
      </c>
    </row>
    <row r="23" spans="2:12" ht="30" x14ac:dyDescent="0.25">
      <c r="B23" s="22" t="s">
        <v>338</v>
      </c>
      <c r="C23" s="22" t="s">
        <v>359</v>
      </c>
      <c r="D23" s="22" t="s">
        <v>108</v>
      </c>
      <c r="E23" s="23" t="s">
        <v>10</v>
      </c>
      <c r="F23" s="23" t="s">
        <v>22</v>
      </c>
      <c r="G23" s="23" t="s">
        <v>360</v>
      </c>
      <c r="H23" s="25">
        <v>10.93</v>
      </c>
      <c r="I23" s="26">
        <v>50</v>
      </c>
      <c r="J23" s="26">
        <v>1</v>
      </c>
      <c r="K23" s="25">
        <f t="shared" si="2"/>
        <v>0.21859999999999999</v>
      </c>
      <c r="L23" s="22"/>
    </row>
    <row r="24" spans="2:12" ht="45" x14ac:dyDescent="0.25">
      <c r="B24" s="22" t="s">
        <v>338</v>
      </c>
      <c r="C24" s="22" t="s">
        <v>36</v>
      </c>
      <c r="D24" s="22" t="s">
        <v>101</v>
      </c>
      <c r="E24" s="23" t="s">
        <v>10</v>
      </c>
      <c r="F24" s="23" t="s">
        <v>37</v>
      </c>
      <c r="G24" s="23" t="s">
        <v>35</v>
      </c>
      <c r="H24" s="25">
        <v>6.42</v>
      </c>
      <c r="I24" s="26">
        <v>100</v>
      </c>
      <c r="J24" s="26">
        <v>6</v>
      </c>
      <c r="K24" s="25">
        <f t="shared" si="2"/>
        <v>0.38519999999999999</v>
      </c>
      <c r="L24" s="22"/>
    </row>
    <row r="25" spans="2:12" ht="45" x14ac:dyDescent="0.25">
      <c r="B25" s="22" t="s">
        <v>338</v>
      </c>
      <c r="C25" s="22" t="s">
        <v>100</v>
      </c>
      <c r="D25" s="22" t="s">
        <v>102</v>
      </c>
      <c r="E25" s="23" t="s">
        <v>10</v>
      </c>
      <c r="F25" s="23" t="s">
        <v>99</v>
      </c>
      <c r="G25" s="23" t="s">
        <v>98</v>
      </c>
      <c r="H25" s="25">
        <v>5.93</v>
      </c>
      <c r="I25" s="26">
        <v>100</v>
      </c>
      <c r="J25" s="26">
        <v>4</v>
      </c>
      <c r="K25" s="25">
        <f t="shared" si="2"/>
        <v>0.23719999999999999</v>
      </c>
      <c r="L25" s="22"/>
    </row>
    <row r="26" spans="2:12" ht="45" x14ac:dyDescent="0.25">
      <c r="B26" s="22" t="s">
        <v>338</v>
      </c>
      <c r="C26" s="22" t="s">
        <v>357</v>
      </c>
      <c r="D26" s="22" t="s">
        <v>23</v>
      </c>
      <c r="E26" s="23" t="s">
        <v>10</v>
      </c>
      <c r="F26" s="23" t="s">
        <v>21</v>
      </c>
      <c r="G26" s="23" t="s">
        <v>358</v>
      </c>
      <c r="H26" s="25">
        <v>12.07</v>
      </c>
      <c r="I26" s="26">
        <v>5</v>
      </c>
      <c r="J26" s="26">
        <v>1</v>
      </c>
      <c r="K26" s="25">
        <f t="shared" si="2"/>
        <v>2.4140000000000001</v>
      </c>
      <c r="L26" s="22"/>
    </row>
    <row r="27" spans="2:12" ht="30" x14ac:dyDescent="0.25">
      <c r="B27" s="22" t="s">
        <v>338</v>
      </c>
      <c r="C27" s="22" t="s">
        <v>113</v>
      </c>
      <c r="D27" s="22" t="s">
        <v>114</v>
      </c>
      <c r="E27" s="23" t="s">
        <v>10</v>
      </c>
      <c r="F27" s="23" t="s">
        <v>115</v>
      </c>
      <c r="G27" s="23" t="s">
        <v>116</v>
      </c>
      <c r="H27" s="25">
        <v>5.25</v>
      </c>
      <c r="I27" s="26">
        <v>1</v>
      </c>
      <c r="J27" s="26">
        <v>2</v>
      </c>
      <c r="K27" s="25">
        <f t="shared" si="2"/>
        <v>10.5</v>
      </c>
      <c r="L27" s="22"/>
    </row>
    <row r="28" spans="2:12" ht="45" x14ac:dyDescent="0.25">
      <c r="B28" s="22" t="s">
        <v>338</v>
      </c>
      <c r="C28" s="22" t="s">
        <v>117</v>
      </c>
      <c r="D28" s="22" t="s">
        <v>118</v>
      </c>
      <c r="E28" s="23" t="s">
        <v>10</v>
      </c>
      <c r="F28" s="23" t="s">
        <v>119</v>
      </c>
      <c r="G28" s="23" t="s">
        <v>120</v>
      </c>
      <c r="H28" s="25">
        <v>7.38</v>
      </c>
      <c r="I28" s="26">
        <v>10</v>
      </c>
      <c r="J28" s="26">
        <v>1</v>
      </c>
      <c r="K28" s="25">
        <f t="shared" si="2"/>
        <v>0.73799999999999999</v>
      </c>
      <c r="L28" s="22"/>
    </row>
    <row r="29" spans="2:12" ht="45" x14ac:dyDescent="0.25">
      <c r="B29" s="22" t="s">
        <v>338</v>
      </c>
      <c r="C29" s="22" t="s">
        <v>132</v>
      </c>
      <c r="D29" s="22" t="s">
        <v>127</v>
      </c>
      <c r="E29" s="23" t="s">
        <v>10</v>
      </c>
      <c r="F29" s="24" t="s">
        <v>133</v>
      </c>
      <c r="G29" s="23" t="s">
        <v>134</v>
      </c>
      <c r="H29" s="25">
        <v>4.84</v>
      </c>
      <c r="I29" s="26">
        <v>3</v>
      </c>
      <c r="J29" s="26">
        <v>1</v>
      </c>
      <c r="K29" s="25">
        <f t="shared" si="2"/>
        <v>1.6133333333333333</v>
      </c>
      <c r="L29" s="22"/>
    </row>
    <row r="30" spans="2:12" ht="45" x14ac:dyDescent="0.25">
      <c r="B30" s="22" t="s">
        <v>338</v>
      </c>
      <c r="C30" s="22" t="s">
        <v>130</v>
      </c>
      <c r="D30" s="22" t="s">
        <v>128</v>
      </c>
      <c r="E30" s="23" t="s">
        <v>10</v>
      </c>
      <c r="F30" s="23" t="s">
        <v>129</v>
      </c>
      <c r="G30" s="23" t="s">
        <v>131</v>
      </c>
      <c r="H30" s="25">
        <v>6.42</v>
      </c>
      <c r="I30" s="26">
        <v>1</v>
      </c>
      <c r="J30" s="26">
        <v>2</v>
      </c>
      <c r="K30" s="25">
        <f t="shared" si="2"/>
        <v>12.84</v>
      </c>
      <c r="L30" s="22"/>
    </row>
    <row r="31" spans="2:12" ht="45" x14ac:dyDescent="0.25">
      <c r="B31" s="22" t="s">
        <v>338</v>
      </c>
      <c r="C31" s="22" t="s">
        <v>136</v>
      </c>
      <c r="D31" s="22" t="s">
        <v>135</v>
      </c>
      <c r="E31" s="23" t="s">
        <v>10</v>
      </c>
      <c r="F31" s="23" t="s">
        <v>137</v>
      </c>
      <c r="G31" s="23" t="s">
        <v>138</v>
      </c>
      <c r="H31" s="25">
        <v>6.21</v>
      </c>
      <c r="I31" s="26">
        <v>1</v>
      </c>
      <c r="J31" s="26">
        <v>1</v>
      </c>
      <c r="K31" s="25">
        <f t="shared" si="2"/>
        <v>6.21</v>
      </c>
      <c r="L31" s="22"/>
    </row>
    <row r="32" spans="2:12" x14ac:dyDescent="0.25">
      <c r="K32" s="9">
        <f>SUM(K18:K31)</f>
        <v>43.672533333333334</v>
      </c>
      <c r="L32" s="10" t="s">
        <v>67</v>
      </c>
    </row>
    <row r="33" spans="2:12" x14ac:dyDescent="0.25">
      <c r="B33" s="2"/>
    </row>
    <row r="34" spans="2:12" ht="30" x14ac:dyDescent="0.25">
      <c r="B34" s="22" t="s">
        <v>378</v>
      </c>
      <c r="C34" s="22" t="s">
        <v>391</v>
      </c>
      <c r="D34" s="22" t="s">
        <v>351</v>
      </c>
      <c r="E34" s="23" t="s">
        <v>10</v>
      </c>
      <c r="F34" s="23" t="s">
        <v>352</v>
      </c>
      <c r="G34" s="23" t="s">
        <v>216</v>
      </c>
      <c r="H34" s="25">
        <v>5.12</v>
      </c>
      <c r="I34" s="26">
        <v>1</v>
      </c>
      <c r="J34" s="26">
        <v>4</v>
      </c>
      <c r="K34" s="25">
        <f t="shared" ref="K34:K41" si="3">H34/I34*J34</f>
        <v>20.48</v>
      </c>
      <c r="L34" s="22"/>
    </row>
    <row r="35" spans="2:12" ht="30" x14ac:dyDescent="0.25">
      <c r="B35" s="22" t="s">
        <v>378</v>
      </c>
      <c r="C35" s="22" t="s">
        <v>392</v>
      </c>
      <c r="D35" s="22" t="s">
        <v>351</v>
      </c>
      <c r="E35" s="23" t="s">
        <v>10</v>
      </c>
      <c r="F35" s="23" t="s">
        <v>352</v>
      </c>
      <c r="G35" s="23" t="s">
        <v>216</v>
      </c>
      <c r="H35" s="25">
        <v>13.91</v>
      </c>
      <c r="I35" s="26">
        <v>1</v>
      </c>
      <c r="J35" s="26">
        <v>1</v>
      </c>
      <c r="K35" s="25">
        <f t="shared" ref="K35" si="4">H35/I35*J35</f>
        <v>13.91</v>
      </c>
      <c r="L35" s="22"/>
    </row>
    <row r="36" spans="2:12" ht="30" x14ac:dyDescent="0.25">
      <c r="B36" s="22" t="s">
        <v>378</v>
      </c>
      <c r="C36" s="22" t="s">
        <v>303</v>
      </c>
      <c r="D36" s="22" t="s">
        <v>351</v>
      </c>
      <c r="E36" s="23" t="s">
        <v>10</v>
      </c>
      <c r="F36" s="23" t="s">
        <v>353</v>
      </c>
      <c r="G36" s="23" t="s">
        <v>217</v>
      </c>
      <c r="H36" s="25">
        <v>7.94</v>
      </c>
      <c r="I36" s="26">
        <v>1</v>
      </c>
      <c r="J36" s="26">
        <v>2</v>
      </c>
      <c r="K36" s="25">
        <f t="shared" si="3"/>
        <v>15.88</v>
      </c>
      <c r="L36" s="22"/>
    </row>
    <row r="37" spans="2:12" ht="30" x14ac:dyDescent="0.25">
      <c r="B37" s="23" t="s">
        <v>327</v>
      </c>
      <c r="C37" s="22" t="s">
        <v>125</v>
      </c>
      <c r="D37" s="22" t="s">
        <v>393</v>
      </c>
      <c r="E37" s="23" t="s">
        <v>10</v>
      </c>
      <c r="F37" s="23" t="s">
        <v>123</v>
      </c>
      <c r="G37" s="23" t="s">
        <v>126</v>
      </c>
      <c r="H37" s="29">
        <v>4.4000000000000004</v>
      </c>
      <c r="I37" s="26">
        <v>1</v>
      </c>
      <c r="J37" s="26">
        <v>0</v>
      </c>
      <c r="K37" s="25">
        <f>H37/I37*J37</f>
        <v>0</v>
      </c>
      <c r="L37" s="22" t="s">
        <v>394</v>
      </c>
    </row>
    <row r="38" spans="2:12" ht="30" x14ac:dyDescent="0.25">
      <c r="B38" s="22" t="s">
        <v>378</v>
      </c>
      <c r="C38" s="22" t="s">
        <v>379</v>
      </c>
      <c r="D38" s="22" t="s">
        <v>351</v>
      </c>
      <c r="E38" s="23" t="s">
        <v>10</v>
      </c>
      <c r="F38" s="23" t="s">
        <v>382</v>
      </c>
      <c r="G38" s="23" t="s">
        <v>383</v>
      </c>
      <c r="H38" s="31">
        <v>7.07</v>
      </c>
      <c r="I38" s="23">
        <v>25</v>
      </c>
      <c r="J38" s="23">
        <v>3</v>
      </c>
      <c r="K38" s="25">
        <f t="shared" si="3"/>
        <v>0.84840000000000004</v>
      </c>
      <c r="L38" s="23"/>
    </row>
    <row r="39" spans="2:12" ht="30" x14ac:dyDescent="0.25">
      <c r="B39" s="22" t="s">
        <v>378</v>
      </c>
      <c r="C39" s="22" t="s">
        <v>384</v>
      </c>
      <c r="D39" s="22" t="s">
        <v>373</v>
      </c>
      <c r="E39" s="23" t="s">
        <v>10</v>
      </c>
      <c r="F39" s="23" t="s">
        <v>385</v>
      </c>
      <c r="G39" s="23" t="s">
        <v>386</v>
      </c>
      <c r="H39" s="31">
        <v>7.8</v>
      </c>
      <c r="I39" s="23">
        <v>25</v>
      </c>
      <c r="J39" s="23">
        <v>2</v>
      </c>
      <c r="K39" s="25">
        <f t="shared" ref="K39" si="5">H39/I39*J39</f>
        <v>0.624</v>
      </c>
      <c r="L39" s="23"/>
    </row>
    <row r="40" spans="2:12" ht="30" x14ac:dyDescent="0.25">
      <c r="B40" s="22" t="s">
        <v>378</v>
      </c>
      <c r="C40" s="22" t="s">
        <v>380</v>
      </c>
      <c r="D40" s="22" t="s">
        <v>351</v>
      </c>
      <c r="E40" s="23" t="s">
        <v>10</v>
      </c>
      <c r="F40" s="23" t="s">
        <v>388</v>
      </c>
      <c r="G40" s="23" t="s">
        <v>387</v>
      </c>
      <c r="H40" s="31">
        <v>5.51</v>
      </c>
      <c r="I40" s="23">
        <v>100</v>
      </c>
      <c r="J40" s="23">
        <v>6</v>
      </c>
      <c r="K40" s="25">
        <f t="shared" si="3"/>
        <v>0.3306</v>
      </c>
      <c r="L40" s="23"/>
    </row>
    <row r="41" spans="2:12" ht="30" x14ac:dyDescent="0.25">
      <c r="B41" s="22" t="s">
        <v>378</v>
      </c>
      <c r="C41" s="22" t="s">
        <v>381</v>
      </c>
      <c r="D41" s="22" t="s">
        <v>351</v>
      </c>
      <c r="E41" s="23" t="s">
        <v>10</v>
      </c>
      <c r="F41" s="23" t="s">
        <v>389</v>
      </c>
      <c r="G41" s="23" t="s">
        <v>390</v>
      </c>
      <c r="H41" s="31">
        <v>5.0999999999999996</v>
      </c>
      <c r="I41" s="23">
        <v>100</v>
      </c>
      <c r="J41" s="23">
        <v>12</v>
      </c>
      <c r="K41" s="25">
        <f t="shared" si="3"/>
        <v>0.61199999999999999</v>
      </c>
      <c r="L41" s="23"/>
    </row>
    <row r="42" spans="2:12" ht="30" x14ac:dyDescent="0.25">
      <c r="B42" s="22" t="s">
        <v>378</v>
      </c>
      <c r="C42" s="22" t="s">
        <v>396</v>
      </c>
      <c r="D42" s="22" t="s">
        <v>351</v>
      </c>
      <c r="E42" s="23" t="s">
        <v>10</v>
      </c>
      <c r="F42" s="23" t="s">
        <v>397</v>
      </c>
      <c r="G42" s="23" t="s">
        <v>398</v>
      </c>
      <c r="H42" s="31">
        <v>5.77</v>
      </c>
      <c r="I42" s="23">
        <v>100</v>
      </c>
      <c r="J42" s="23">
        <v>6</v>
      </c>
      <c r="K42" s="25">
        <f t="shared" ref="K42" si="6">H42/I42*J42</f>
        <v>0.34619999999999995</v>
      </c>
      <c r="L42" s="23"/>
    </row>
    <row r="43" spans="2:12" ht="30" x14ac:dyDescent="0.25">
      <c r="B43" s="22" t="s">
        <v>378</v>
      </c>
      <c r="C43" s="22" t="s">
        <v>403</v>
      </c>
      <c r="D43" s="22" t="s">
        <v>351</v>
      </c>
      <c r="E43" s="23" t="s">
        <v>10</v>
      </c>
      <c r="F43" s="23" t="s">
        <v>404</v>
      </c>
      <c r="G43" s="23" t="s">
        <v>405</v>
      </c>
      <c r="H43" s="31">
        <v>6.57</v>
      </c>
      <c r="I43" s="23">
        <v>25</v>
      </c>
      <c r="J43" s="23">
        <v>4</v>
      </c>
      <c r="K43" s="25">
        <f t="shared" ref="K43" si="7">H43/I43*J43</f>
        <v>1.0512000000000001</v>
      </c>
      <c r="L43" s="23"/>
    </row>
    <row r="44" spans="2:12" x14ac:dyDescent="0.25">
      <c r="B44" s="2"/>
      <c r="K44" s="9">
        <f>SUM(K34:K43)</f>
        <v>54.082400000000007</v>
      </c>
      <c r="L44" s="10" t="s">
        <v>67</v>
      </c>
    </row>
    <row r="45" spans="2:12" x14ac:dyDescent="0.25">
      <c r="B45" s="2"/>
    </row>
  </sheetData>
  <hyperlinks>
    <hyperlink ref="G20" r:id="rId1" location="92147a029/=169p7p9"/>
    <hyperlink ref="G13" r:id="rId2"/>
    <hyperlink ref="G14" r:id="rId3" display="http://www.thezincguy.com/ta-3-bolt-on-plate-zinc-anode-trim-tab"/>
  </hyperlinks>
  <pageMargins left="0.7" right="0.7" top="0.75" bottom="0.75" header="0.3" footer="0.3"/>
  <pageSetup scale="46" fitToHeight="0"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zoomScaleNormal="100" workbookViewId="0">
      <selection activeCell="C12" sqref="C12"/>
    </sheetView>
  </sheetViews>
  <sheetFormatPr defaultRowHeight="15" x14ac:dyDescent="0.25"/>
  <cols>
    <col min="1" max="1" width="4.5703125" customWidth="1"/>
    <col min="2" max="2" width="25" customWidth="1"/>
    <col min="3" max="3" width="45.85546875" customWidth="1"/>
    <col min="4" max="4" width="9.140625" customWidth="1"/>
    <col min="5" max="5" width="28.7109375" customWidth="1"/>
    <col min="6" max="6" width="35.42578125" style="4" customWidth="1"/>
    <col min="7" max="7" width="14.140625" bestFit="1" customWidth="1"/>
    <col min="8" max="8" width="28.85546875" customWidth="1"/>
    <col min="9" max="9" width="9.85546875" customWidth="1"/>
    <col min="10" max="10" width="10.85546875" style="51" customWidth="1"/>
    <col min="11" max="11" width="10.85546875" customWidth="1"/>
    <col min="12" max="12" width="42.28515625" customWidth="1"/>
    <col min="14" max="14" width="27.42578125" bestFit="1" customWidth="1"/>
  </cols>
  <sheetData>
    <row r="2" spans="2:14" s="4" customFormat="1" ht="45" x14ac:dyDescent="0.25">
      <c r="B2" s="6" t="s">
        <v>337</v>
      </c>
      <c r="C2" s="6" t="s">
        <v>175</v>
      </c>
      <c r="D2" s="6" t="s">
        <v>39</v>
      </c>
      <c r="E2" s="7" t="s">
        <v>12</v>
      </c>
      <c r="F2" s="6" t="s">
        <v>176</v>
      </c>
      <c r="G2" s="6" t="s">
        <v>332</v>
      </c>
      <c r="H2" s="7" t="s">
        <v>2</v>
      </c>
      <c r="I2" s="6" t="s">
        <v>343</v>
      </c>
      <c r="J2" s="50" t="s">
        <v>406</v>
      </c>
      <c r="K2" s="6" t="s">
        <v>362</v>
      </c>
      <c r="L2" s="7" t="s">
        <v>7</v>
      </c>
      <c r="N2" s="7" t="s">
        <v>409</v>
      </c>
    </row>
    <row r="3" spans="2:14" ht="45" x14ac:dyDescent="0.25">
      <c r="B3" s="23" t="s">
        <v>327</v>
      </c>
      <c r="C3" s="23" t="s">
        <v>328</v>
      </c>
      <c r="D3" s="43">
        <v>1</v>
      </c>
      <c r="E3" s="23" t="s">
        <v>14</v>
      </c>
      <c r="F3" s="22" t="s">
        <v>365</v>
      </c>
      <c r="G3" s="23" t="s">
        <v>10</v>
      </c>
      <c r="H3" s="23" t="s">
        <v>9</v>
      </c>
      <c r="I3" s="47">
        <v>60</v>
      </c>
      <c r="J3" s="52">
        <f>11/6</f>
        <v>1.8333333333333333</v>
      </c>
      <c r="K3" s="47">
        <f>J3*N$3</f>
        <v>137.5</v>
      </c>
      <c r="L3" s="44" t="s">
        <v>11</v>
      </c>
      <c r="N3" s="48">
        <v>75</v>
      </c>
    </row>
    <row r="4" spans="2:14" x14ac:dyDescent="0.25">
      <c r="B4" s="23" t="s">
        <v>327</v>
      </c>
      <c r="C4" s="23" t="s">
        <v>167</v>
      </c>
      <c r="D4" s="43">
        <v>1</v>
      </c>
      <c r="E4" s="23" t="s">
        <v>367</v>
      </c>
      <c r="F4" s="22" t="s">
        <v>366</v>
      </c>
      <c r="G4" s="23" t="s">
        <v>10</v>
      </c>
      <c r="H4" s="23"/>
      <c r="I4" s="47">
        <v>2</v>
      </c>
      <c r="J4" s="52">
        <f>3.5/5</f>
        <v>0.7</v>
      </c>
      <c r="K4" s="47">
        <f t="shared" ref="K4:K8" si="0">J4*N$3</f>
        <v>52.5</v>
      </c>
      <c r="L4" s="44" t="s">
        <v>177</v>
      </c>
    </row>
    <row r="5" spans="2:14" x14ac:dyDescent="0.25">
      <c r="B5" s="23" t="s">
        <v>327</v>
      </c>
      <c r="C5" s="23" t="s">
        <v>407</v>
      </c>
      <c r="D5" s="43">
        <v>1</v>
      </c>
      <c r="E5" s="23" t="s">
        <v>408</v>
      </c>
      <c r="F5" s="22" t="s">
        <v>366</v>
      </c>
      <c r="G5" s="23" t="s">
        <v>10</v>
      </c>
      <c r="H5" s="23"/>
      <c r="I5" s="47">
        <v>4</v>
      </c>
      <c r="J5" s="52">
        <v>1</v>
      </c>
      <c r="K5" s="47">
        <f t="shared" si="0"/>
        <v>75</v>
      </c>
      <c r="L5" s="44" t="s">
        <v>177</v>
      </c>
    </row>
    <row r="6" spans="2:14" x14ac:dyDescent="0.25">
      <c r="B6" s="23" t="s">
        <v>327</v>
      </c>
      <c r="C6" s="23" t="s">
        <v>168</v>
      </c>
      <c r="D6" s="43">
        <v>1</v>
      </c>
      <c r="E6" s="23" t="s">
        <v>368</v>
      </c>
      <c r="F6" s="22" t="s">
        <v>365</v>
      </c>
      <c r="G6" s="23" t="s">
        <v>10</v>
      </c>
      <c r="H6" s="23"/>
      <c r="I6" s="47">
        <v>5</v>
      </c>
      <c r="J6" s="52">
        <v>0.75</v>
      </c>
      <c r="K6" s="47">
        <f t="shared" si="0"/>
        <v>56.25</v>
      </c>
      <c r="L6" s="44" t="s">
        <v>177</v>
      </c>
    </row>
    <row r="7" spans="2:14" x14ac:dyDescent="0.25">
      <c r="B7" s="23" t="s">
        <v>327</v>
      </c>
      <c r="C7" s="23" t="s">
        <v>166</v>
      </c>
      <c r="D7" s="43">
        <v>1</v>
      </c>
      <c r="E7" s="23" t="s">
        <v>369</v>
      </c>
      <c r="F7" s="22" t="s">
        <v>365</v>
      </c>
      <c r="G7" s="23" t="s">
        <v>10</v>
      </c>
      <c r="H7" s="23"/>
      <c r="I7" s="47">
        <v>5</v>
      </c>
      <c r="J7" s="52">
        <f>1/3</f>
        <v>0.33333333333333331</v>
      </c>
      <c r="K7" s="47">
        <f t="shared" si="0"/>
        <v>25</v>
      </c>
      <c r="L7" s="44" t="s">
        <v>177</v>
      </c>
    </row>
    <row r="8" spans="2:14" x14ac:dyDescent="0.25">
      <c r="B8" s="23" t="s">
        <v>327</v>
      </c>
      <c r="C8" s="23" t="s">
        <v>329</v>
      </c>
      <c r="D8" s="43">
        <v>1</v>
      </c>
      <c r="E8" s="23" t="s">
        <v>331</v>
      </c>
      <c r="F8" s="22" t="s">
        <v>330</v>
      </c>
      <c r="G8" s="23" t="s">
        <v>10</v>
      </c>
      <c r="H8" s="23"/>
      <c r="I8" s="47">
        <v>10</v>
      </c>
      <c r="J8" s="52">
        <f>4/6</f>
        <v>0.66666666666666663</v>
      </c>
      <c r="K8" s="47">
        <f t="shared" si="0"/>
        <v>50</v>
      </c>
      <c r="L8" s="44" t="s">
        <v>177</v>
      </c>
    </row>
    <row r="9" spans="2:14" x14ac:dyDescent="0.25">
      <c r="B9" s="23" t="s">
        <v>327</v>
      </c>
      <c r="C9" s="23" t="s">
        <v>326</v>
      </c>
      <c r="D9" s="43">
        <v>1</v>
      </c>
      <c r="E9" s="23" t="s">
        <v>354</v>
      </c>
      <c r="F9" s="22" t="s">
        <v>80</v>
      </c>
      <c r="G9" s="23" t="s">
        <v>3</v>
      </c>
      <c r="H9" s="23" t="s">
        <v>6</v>
      </c>
      <c r="I9" s="47">
        <v>33</v>
      </c>
      <c r="J9" s="52">
        <f>2.75/3</f>
        <v>0.91666666666666663</v>
      </c>
      <c r="K9" s="47">
        <f>J9*N$3</f>
        <v>68.75</v>
      </c>
      <c r="L9" s="44" t="s">
        <v>177</v>
      </c>
    </row>
    <row r="10" spans="2:14" x14ac:dyDescent="0.25">
      <c r="C10" s="2"/>
      <c r="F10"/>
      <c r="H10" s="3"/>
      <c r="I10" s="3"/>
      <c r="K10" s="9">
        <f>SUM(K3:K9)+SUM(I3:I9)</f>
        <v>584</v>
      </c>
      <c r="L10" s="10" t="s">
        <v>67</v>
      </c>
    </row>
    <row r="12" spans="2:14" x14ac:dyDescent="0.25">
      <c r="B12" s="23" t="s">
        <v>325</v>
      </c>
      <c r="C12" s="23" t="s">
        <v>333</v>
      </c>
      <c r="D12" s="43"/>
      <c r="E12" s="23" t="s">
        <v>364</v>
      </c>
      <c r="F12" s="22" t="s">
        <v>365</v>
      </c>
      <c r="G12" s="23" t="s">
        <v>10</v>
      </c>
      <c r="H12" s="23"/>
      <c r="I12" s="47">
        <v>15</v>
      </c>
      <c r="J12" s="52">
        <v>2.75</v>
      </c>
      <c r="K12" s="47">
        <f t="shared" ref="K12" si="1">J12*N$3</f>
        <v>206.25</v>
      </c>
      <c r="L12" s="44"/>
    </row>
    <row r="13" spans="2:14" x14ac:dyDescent="0.25">
      <c r="C13" s="2"/>
      <c r="F13"/>
      <c r="H13" s="3"/>
      <c r="I13" s="3"/>
      <c r="K13" s="9">
        <f>SUM(K12)+SUM(I12)</f>
        <v>221.25</v>
      </c>
      <c r="L13" s="10" t="s">
        <v>67</v>
      </c>
    </row>
    <row r="15" spans="2:14" ht="30" x14ac:dyDescent="0.25">
      <c r="B15" s="22" t="s">
        <v>338</v>
      </c>
      <c r="C15" s="23" t="s">
        <v>171</v>
      </c>
      <c r="D15" s="43">
        <v>1</v>
      </c>
      <c r="E15" s="23" t="s">
        <v>363</v>
      </c>
      <c r="F15" s="22" t="s">
        <v>365</v>
      </c>
      <c r="G15" s="23" t="s">
        <v>10</v>
      </c>
      <c r="H15" s="23"/>
      <c r="I15" s="47">
        <v>15</v>
      </c>
      <c r="J15" s="52">
        <f>2.5/4</f>
        <v>0.625</v>
      </c>
      <c r="K15" s="47">
        <f t="shared" ref="K15:K21" si="2">J15*N$3</f>
        <v>46.875</v>
      </c>
      <c r="L15" s="44" t="s">
        <v>177</v>
      </c>
    </row>
    <row r="16" spans="2:14" ht="30" x14ac:dyDescent="0.25">
      <c r="B16" s="22" t="s">
        <v>338</v>
      </c>
      <c r="C16" s="23" t="s">
        <v>174</v>
      </c>
      <c r="D16" s="43">
        <v>1</v>
      </c>
      <c r="E16" s="23" t="s">
        <v>363</v>
      </c>
      <c r="F16" s="22" t="s">
        <v>365</v>
      </c>
      <c r="G16" s="23" t="s">
        <v>10</v>
      </c>
      <c r="H16" s="23"/>
      <c r="I16" s="47">
        <v>15</v>
      </c>
      <c r="J16" s="52">
        <f>2.5/4</f>
        <v>0.625</v>
      </c>
      <c r="K16" s="47">
        <f t="shared" si="2"/>
        <v>46.875</v>
      </c>
      <c r="L16" s="44" t="s">
        <v>177</v>
      </c>
    </row>
    <row r="17" spans="2:12" ht="30" x14ac:dyDescent="0.25">
      <c r="B17" s="22" t="s">
        <v>338</v>
      </c>
      <c r="C17" s="23" t="s">
        <v>173</v>
      </c>
      <c r="D17" s="43">
        <v>1</v>
      </c>
      <c r="E17" s="23" t="s">
        <v>363</v>
      </c>
      <c r="F17" s="22" t="s">
        <v>365</v>
      </c>
      <c r="G17" s="23" t="s">
        <v>10</v>
      </c>
      <c r="H17" s="23"/>
      <c r="I17" s="47">
        <v>15</v>
      </c>
      <c r="J17" s="52">
        <f>3.5/2</f>
        <v>1.75</v>
      </c>
      <c r="K17" s="47">
        <f t="shared" si="2"/>
        <v>131.25</v>
      </c>
      <c r="L17" s="44" t="s">
        <v>177</v>
      </c>
    </row>
    <row r="18" spans="2:12" ht="30" x14ac:dyDescent="0.25">
      <c r="B18" s="22" t="s">
        <v>338</v>
      </c>
      <c r="C18" s="23" t="s">
        <v>169</v>
      </c>
      <c r="D18" s="43">
        <v>1</v>
      </c>
      <c r="E18" s="23" t="s">
        <v>363</v>
      </c>
      <c r="F18" s="22" t="s">
        <v>365</v>
      </c>
      <c r="G18" s="23" t="s">
        <v>10</v>
      </c>
      <c r="H18" s="23"/>
      <c r="I18" s="47">
        <v>15</v>
      </c>
      <c r="J18" s="52">
        <v>1</v>
      </c>
      <c r="K18" s="47">
        <f t="shared" si="2"/>
        <v>75</v>
      </c>
      <c r="L18" s="44" t="s">
        <v>177</v>
      </c>
    </row>
    <row r="19" spans="2:12" ht="30" x14ac:dyDescent="0.25">
      <c r="B19" s="22" t="s">
        <v>338</v>
      </c>
      <c r="C19" s="23" t="s">
        <v>172</v>
      </c>
      <c r="D19" s="43">
        <v>2</v>
      </c>
      <c r="E19" s="23" t="s">
        <v>363</v>
      </c>
      <c r="F19" s="22" t="s">
        <v>365</v>
      </c>
      <c r="G19" s="23" t="s">
        <v>10</v>
      </c>
      <c r="H19" s="23"/>
      <c r="I19" s="47">
        <v>15</v>
      </c>
      <c r="J19" s="52">
        <f>2.5/4</f>
        <v>0.625</v>
      </c>
      <c r="K19" s="47">
        <f t="shared" si="2"/>
        <v>46.875</v>
      </c>
      <c r="L19" s="44" t="s">
        <v>177</v>
      </c>
    </row>
    <row r="20" spans="2:12" ht="30" x14ac:dyDescent="0.25">
      <c r="B20" s="22" t="s">
        <v>338</v>
      </c>
      <c r="C20" s="23" t="s">
        <v>170</v>
      </c>
      <c r="D20" s="43">
        <v>2</v>
      </c>
      <c r="E20" s="23" t="s">
        <v>363</v>
      </c>
      <c r="F20" s="22" t="s">
        <v>93</v>
      </c>
      <c r="G20" s="23" t="s">
        <v>10</v>
      </c>
      <c r="H20" s="23" t="s">
        <v>94</v>
      </c>
      <c r="I20" s="47">
        <v>30</v>
      </c>
      <c r="J20" s="52">
        <f>1.25/4</f>
        <v>0.3125</v>
      </c>
      <c r="K20" s="47">
        <f t="shared" si="2"/>
        <v>23.4375</v>
      </c>
      <c r="L20" s="44" t="s">
        <v>177</v>
      </c>
    </row>
    <row r="21" spans="2:12" ht="30" x14ac:dyDescent="0.25">
      <c r="B21" s="22" t="s">
        <v>338</v>
      </c>
      <c r="C21" s="23" t="s">
        <v>361</v>
      </c>
      <c r="D21" s="43">
        <v>2</v>
      </c>
      <c r="E21" s="23" t="s">
        <v>363</v>
      </c>
      <c r="F21" s="22" t="s">
        <v>93</v>
      </c>
      <c r="G21" s="23" t="s">
        <v>10</v>
      </c>
      <c r="H21" s="23" t="s">
        <v>94</v>
      </c>
      <c r="I21" s="47">
        <v>30</v>
      </c>
      <c r="J21" s="52">
        <v>0.5</v>
      </c>
      <c r="K21" s="47">
        <f t="shared" si="2"/>
        <v>37.5</v>
      </c>
      <c r="L21" s="44" t="s">
        <v>177</v>
      </c>
    </row>
    <row r="22" spans="2:12" x14ac:dyDescent="0.25">
      <c r="C22" s="2"/>
      <c r="F22"/>
      <c r="H22" s="3"/>
      <c r="I22" s="3"/>
      <c r="K22" s="9">
        <f>SUM(K15:K21)+SUM(I15:I21)</f>
        <v>542.8125</v>
      </c>
      <c r="L22" s="10" t="s">
        <v>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workbookViewId="0">
      <selection activeCell="C19" sqref="C19"/>
    </sheetView>
  </sheetViews>
  <sheetFormatPr defaultRowHeight="15" x14ac:dyDescent="0.25"/>
  <cols>
    <col min="2" max="2" width="27.28515625" customWidth="1"/>
    <col min="3" max="3" width="34.5703125" bestFit="1" customWidth="1"/>
    <col min="4" max="4" width="13.7109375" customWidth="1"/>
    <col min="5" max="5" width="14" bestFit="1" customWidth="1"/>
    <col min="6" max="6" width="15.7109375" bestFit="1" customWidth="1"/>
    <col min="7" max="7" width="61.140625" bestFit="1" customWidth="1"/>
    <col min="8" max="8" width="8.28515625" bestFit="1" customWidth="1"/>
    <col min="9" max="10" width="7.5703125" bestFit="1" customWidth="1"/>
    <col min="11" max="11" width="8.28515625" bestFit="1" customWidth="1"/>
    <col min="12" max="12" width="10.5703125" bestFit="1" customWidth="1"/>
  </cols>
  <sheetData>
    <row r="2" spans="2:12" s="4" customFormat="1" ht="30" x14ac:dyDescent="0.25">
      <c r="B2" s="6" t="s">
        <v>337</v>
      </c>
      <c r="C2" s="6" t="s">
        <v>5</v>
      </c>
      <c r="D2" s="7" t="s">
        <v>12</v>
      </c>
      <c r="E2" s="7" t="s">
        <v>0</v>
      </c>
      <c r="F2" s="7" t="s">
        <v>4</v>
      </c>
      <c r="G2" s="7" t="s">
        <v>2</v>
      </c>
      <c r="H2" s="7" t="s">
        <v>1</v>
      </c>
      <c r="I2" s="6" t="s">
        <v>34</v>
      </c>
      <c r="J2" s="6" t="s">
        <v>39</v>
      </c>
      <c r="K2" s="6" t="s">
        <v>38</v>
      </c>
      <c r="L2" s="7" t="s">
        <v>7</v>
      </c>
    </row>
    <row r="3" spans="2:12" ht="30" x14ac:dyDescent="0.25">
      <c r="B3" s="22" t="s">
        <v>338</v>
      </c>
      <c r="C3" s="22" t="s">
        <v>41</v>
      </c>
      <c r="D3" s="23" t="s">
        <v>46</v>
      </c>
      <c r="E3" s="23" t="s">
        <v>44</v>
      </c>
      <c r="F3" s="23" t="s">
        <v>40</v>
      </c>
      <c r="G3" s="23" t="s">
        <v>45</v>
      </c>
      <c r="H3" s="25">
        <v>165</v>
      </c>
      <c r="I3" s="26">
        <v>1</v>
      </c>
      <c r="J3" s="26">
        <v>1</v>
      </c>
      <c r="K3" s="25">
        <f>H3/I3*J3</f>
        <v>165</v>
      </c>
      <c r="L3" s="23"/>
    </row>
    <row r="4" spans="2:12" ht="30" x14ac:dyDescent="0.25">
      <c r="B4" s="22" t="s">
        <v>338</v>
      </c>
      <c r="C4" s="22" t="s">
        <v>42</v>
      </c>
      <c r="D4" s="23" t="s">
        <v>46</v>
      </c>
      <c r="E4" s="23" t="s">
        <v>44</v>
      </c>
      <c r="F4" s="23" t="s">
        <v>43</v>
      </c>
      <c r="G4" s="23" t="s">
        <v>45</v>
      </c>
      <c r="H4" s="25">
        <v>8</v>
      </c>
      <c r="I4" s="26">
        <v>1</v>
      </c>
      <c r="J4" s="26">
        <v>1</v>
      </c>
      <c r="K4" s="25">
        <f>H4/I4*J4</f>
        <v>8</v>
      </c>
      <c r="L4" s="23"/>
    </row>
    <row r="5" spans="2:12" x14ac:dyDescent="0.25">
      <c r="B5" s="2"/>
      <c r="C5" s="2"/>
      <c r="I5" s="3"/>
      <c r="J5" s="3"/>
      <c r="K5" s="9">
        <f>SUM(K3:K4)</f>
        <v>173</v>
      </c>
      <c r="L5" s="10" t="s">
        <v>67</v>
      </c>
    </row>
    <row r="7" spans="2:12" x14ac:dyDescent="0.25">
      <c r="B7" s="22" t="s">
        <v>335</v>
      </c>
      <c r="C7" s="22" t="s">
        <v>339</v>
      </c>
      <c r="D7" s="23" t="s">
        <v>340</v>
      </c>
      <c r="E7" s="23"/>
      <c r="F7" s="23" t="s">
        <v>348</v>
      </c>
      <c r="G7" s="23"/>
      <c r="H7" s="25">
        <v>70</v>
      </c>
      <c r="I7" s="26">
        <v>1</v>
      </c>
      <c r="J7" s="26">
        <v>1</v>
      </c>
      <c r="K7" s="25">
        <f>H7/I7*J7</f>
        <v>70</v>
      </c>
      <c r="L7" s="23"/>
    </row>
    <row r="8" spans="2:12" x14ac:dyDescent="0.25">
      <c r="K8" s="9">
        <f>SUM(K6:K7)</f>
        <v>70</v>
      </c>
      <c r="L8" s="10" t="s">
        <v>67</v>
      </c>
    </row>
    <row r="10" spans="2:12" x14ac:dyDescent="0.25">
      <c r="B10" s="22" t="s">
        <v>378</v>
      </c>
      <c r="C10" s="22" t="s">
        <v>347</v>
      </c>
      <c r="D10" s="23" t="s">
        <v>46</v>
      </c>
      <c r="E10" s="23" t="s">
        <v>350</v>
      </c>
      <c r="F10" s="23"/>
      <c r="G10" s="23"/>
      <c r="H10" s="25">
        <v>750</v>
      </c>
      <c r="I10" s="26">
        <v>1</v>
      </c>
      <c r="J10" s="26">
        <v>1</v>
      </c>
      <c r="K10" s="25">
        <f>H10/I10*J10</f>
        <v>750</v>
      </c>
      <c r="L10" s="23"/>
    </row>
    <row r="11" spans="2:12" x14ac:dyDescent="0.25">
      <c r="K11" s="9">
        <f>SUM(K9:K10)</f>
        <v>750</v>
      </c>
      <c r="L11" s="10" t="s">
        <v>67</v>
      </c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B20" sqref="B20"/>
    </sheetView>
  </sheetViews>
  <sheetFormatPr defaultRowHeight="15" x14ac:dyDescent="0.25"/>
  <cols>
    <col min="2" max="2" width="37.5703125" style="2" bestFit="1" customWidth="1"/>
    <col min="3" max="3" width="24.5703125" bestFit="1" customWidth="1"/>
    <col min="4" max="4" width="14.140625" bestFit="1" customWidth="1"/>
    <col min="5" max="5" width="15.7109375" bestFit="1" customWidth="1"/>
    <col min="6" max="6" width="54.85546875" customWidth="1"/>
    <col min="7" max="7" width="8.28515625" bestFit="1" customWidth="1"/>
    <col min="8" max="9" width="7.5703125" style="3" bestFit="1" customWidth="1"/>
    <col min="10" max="10" width="8.28515625" bestFit="1" customWidth="1"/>
    <col min="11" max="11" width="45.28515625" style="2" customWidth="1"/>
  </cols>
  <sheetData>
    <row r="2" spans="2:11" ht="30" x14ac:dyDescent="0.25">
      <c r="B2" s="6" t="s">
        <v>5</v>
      </c>
      <c r="C2" s="7" t="s">
        <v>12</v>
      </c>
      <c r="D2" s="7" t="s">
        <v>0</v>
      </c>
      <c r="E2" s="7" t="s">
        <v>4</v>
      </c>
      <c r="F2" s="7" t="s">
        <v>2</v>
      </c>
      <c r="G2" s="7" t="s">
        <v>1</v>
      </c>
      <c r="H2" s="6" t="s">
        <v>34</v>
      </c>
      <c r="I2" s="6" t="s">
        <v>39</v>
      </c>
      <c r="J2" s="6" t="s">
        <v>38</v>
      </c>
      <c r="K2" s="7" t="s">
        <v>7</v>
      </c>
    </row>
    <row r="3" spans="2:11" ht="46.5" customHeight="1" x14ac:dyDescent="0.25">
      <c r="B3" s="22" t="s">
        <v>154</v>
      </c>
      <c r="C3" s="22" t="s">
        <v>149</v>
      </c>
      <c r="D3" s="23" t="s">
        <v>91</v>
      </c>
      <c r="E3" s="33" t="s">
        <v>150</v>
      </c>
      <c r="F3" s="22" t="s">
        <v>145</v>
      </c>
      <c r="G3" s="25">
        <v>57.12</v>
      </c>
      <c r="H3" s="26">
        <v>1</v>
      </c>
      <c r="I3" s="26">
        <v>1</v>
      </c>
      <c r="J3" s="25">
        <f t="shared" ref="J3:J7" si="0">G3/H3*I3</f>
        <v>57.12</v>
      </c>
      <c r="K3" s="22" t="s">
        <v>155</v>
      </c>
    </row>
    <row r="4" spans="2:11" ht="45" x14ac:dyDescent="0.25">
      <c r="B4" s="22" t="s">
        <v>151</v>
      </c>
      <c r="C4" s="22" t="s">
        <v>152</v>
      </c>
      <c r="D4" s="23" t="s">
        <v>10</v>
      </c>
      <c r="E4" s="34" t="s">
        <v>153</v>
      </c>
      <c r="F4" s="34" t="s">
        <v>144</v>
      </c>
      <c r="G4" s="25">
        <v>2.02</v>
      </c>
      <c r="H4" s="26">
        <v>1</v>
      </c>
      <c r="I4" s="26">
        <v>1</v>
      </c>
      <c r="J4" s="25">
        <f t="shared" si="0"/>
        <v>2.02</v>
      </c>
      <c r="K4" s="22"/>
    </row>
    <row r="5" spans="2:11" ht="30" x14ac:dyDescent="0.25">
      <c r="B5" s="22" t="s">
        <v>156</v>
      </c>
      <c r="C5" s="22" t="s">
        <v>157</v>
      </c>
      <c r="D5" s="23" t="s">
        <v>10</v>
      </c>
      <c r="E5" s="23" t="s">
        <v>158</v>
      </c>
      <c r="F5" s="34" t="s">
        <v>146</v>
      </c>
      <c r="G5" s="25">
        <v>3.56</v>
      </c>
      <c r="H5" s="26">
        <v>1</v>
      </c>
      <c r="I5" s="26">
        <v>1</v>
      </c>
      <c r="J5" s="25">
        <f t="shared" si="0"/>
        <v>3.56</v>
      </c>
      <c r="K5" s="22" t="s">
        <v>246</v>
      </c>
    </row>
    <row r="6" spans="2:11" ht="30" x14ac:dyDescent="0.25">
      <c r="B6" s="22" t="s">
        <v>159</v>
      </c>
      <c r="C6" s="22" t="s">
        <v>160</v>
      </c>
      <c r="D6" s="23" t="s">
        <v>10</v>
      </c>
      <c r="E6" s="23" t="s">
        <v>161</v>
      </c>
      <c r="F6" s="34" t="s">
        <v>147</v>
      </c>
      <c r="G6" s="25">
        <v>2.97</v>
      </c>
      <c r="H6" s="26">
        <v>1</v>
      </c>
      <c r="I6" s="26">
        <v>1</v>
      </c>
      <c r="J6" s="25">
        <f t="shared" si="0"/>
        <v>2.97</v>
      </c>
      <c r="K6" s="22" t="s">
        <v>245</v>
      </c>
    </row>
    <row r="7" spans="2:11" ht="45" x14ac:dyDescent="0.25">
      <c r="B7" s="22" t="s">
        <v>163</v>
      </c>
      <c r="C7" s="22" t="s">
        <v>164</v>
      </c>
      <c r="D7" s="23" t="s">
        <v>10</v>
      </c>
      <c r="E7" s="23" t="s">
        <v>162</v>
      </c>
      <c r="F7" s="34" t="s">
        <v>148</v>
      </c>
      <c r="G7" s="25">
        <v>1.46</v>
      </c>
      <c r="H7" s="26">
        <v>1</v>
      </c>
      <c r="I7" s="26">
        <v>1</v>
      </c>
      <c r="J7" s="25">
        <f t="shared" si="0"/>
        <v>1.46</v>
      </c>
      <c r="K7" s="22"/>
    </row>
    <row r="8" spans="2:11" x14ac:dyDescent="0.25">
      <c r="G8" s="1"/>
      <c r="J8" s="38">
        <f>SUM(J3:J7)</f>
        <v>67.13</v>
      </c>
      <c r="K8" s="10" t="s">
        <v>67</v>
      </c>
    </row>
    <row r="14" spans="2:11" x14ac:dyDescent="0.25">
      <c r="G14" s="1"/>
      <c r="J14" s="1"/>
    </row>
    <row r="15" spans="2:11" x14ac:dyDescent="0.25">
      <c r="G15" s="1"/>
      <c r="J1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D8" sqref="D8"/>
    </sheetView>
  </sheetViews>
  <sheetFormatPr defaultRowHeight="15" x14ac:dyDescent="0.25"/>
  <cols>
    <col min="2" max="2" width="35.5703125" customWidth="1"/>
    <col min="3" max="4" width="18.140625" customWidth="1"/>
  </cols>
  <sheetData>
    <row r="1" spans="2:4" ht="15.75" thickBot="1" x14ac:dyDescent="0.3"/>
    <row r="2" spans="2:4" ht="15.75" thickBot="1" x14ac:dyDescent="0.3">
      <c r="B2" s="41" t="s">
        <v>208</v>
      </c>
      <c r="C2" s="61" t="s">
        <v>209</v>
      </c>
      <c r="D2" s="62"/>
    </row>
    <row r="3" spans="2:4" ht="30.75" thickBot="1" x14ac:dyDescent="0.3">
      <c r="B3" s="41"/>
      <c r="C3" s="45" t="s">
        <v>346</v>
      </c>
      <c r="D3" s="45" t="s">
        <v>347</v>
      </c>
    </row>
    <row r="4" spans="2:4" x14ac:dyDescent="0.25">
      <c r="B4" s="13" t="s">
        <v>253</v>
      </c>
      <c r="C4" s="16">
        <f>'Sensors and Comms'!$K$16</f>
        <v>1109.6100000000001</v>
      </c>
      <c r="D4" s="16">
        <f>'Sensors and Comms'!$K$16</f>
        <v>1109.6100000000001</v>
      </c>
    </row>
    <row r="5" spans="2:4" x14ac:dyDescent="0.25">
      <c r="B5" s="14" t="s">
        <v>66</v>
      </c>
      <c r="C5" s="17">
        <f>Battery!$K$7</f>
        <v>106.462</v>
      </c>
      <c r="D5" s="17">
        <f>Battery!$K$7</f>
        <v>106.462</v>
      </c>
    </row>
    <row r="6" spans="2:4" x14ac:dyDescent="0.25">
      <c r="B6" s="14" t="s">
        <v>254</v>
      </c>
      <c r="C6" s="17">
        <f>'Electronics Assembly'!$K$32</f>
        <v>373.97833333333335</v>
      </c>
      <c r="D6" s="17">
        <f>'Electronics Assembly'!$K$32</f>
        <v>373.97833333333335</v>
      </c>
    </row>
    <row r="7" spans="2:4" x14ac:dyDescent="0.25">
      <c r="B7" s="14" t="s">
        <v>65</v>
      </c>
      <c r="C7" s="17">
        <f>'Mechanical Assembly'!K16+'Mechanical Assembly'!K32</f>
        <v>158.80323333333331</v>
      </c>
      <c r="D7" s="17">
        <f>'Mechanical Assembly'!$K$16+'Mechanical Assembly'!$K$44</f>
        <v>169.2131</v>
      </c>
    </row>
    <row r="8" spans="2:4" x14ac:dyDescent="0.25">
      <c r="B8" s="46" t="s">
        <v>182</v>
      </c>
      <c r="C8" s="53">
        <f>'Machine Shop Parts'!K10+'Machine Shop Parts'!K22</f>
        <v>1126.8125</v>
      </c>
      <c r="D8" s="53">
        <f>'Machine Shop Parts'!K10</f>
        <v>584</v>
      </c>
    </row>
    <row r="9" spans="2:4" ht="15.75" thickBot="1" x14ac:dyDescent="0.3">
      <c r="B9" s="15" t="s">
        <v>349</v>
      </c>
      <c r="C9" s="18">
        <f>'Release Mechanism'!K5</f>
        <v>173</v>
      </c>
      <c r="D9" s="18">
        <f>'Release Mechanism'!K11</f>
        <v>750</v>
      </c>
    </row>
    <row r="10" spans="2:4" ht="15.75" thickBot="1" x14ac:dyDescent="0.3">
      <c r="B10" s="57" t="s">
        <v>165</v>
      </c>
      <c r="C10" s="55">
        <f>SUM(C4:C9)</f>
        <v>3048.6660666666667</v>
      </c>
      <c r="D10" s="55">
        <f t="shared" ref="D10" si="0">SUM(D4:D9)</f>
        <v>3093.2634333333335</v>
      </c>
    </row>
    <row r="11" spans="2:4" ht="15.75" thickBot="1" x14ac:dyDescent="0.3">
      <c r="B11" s="11"/>
      <c r="C11" s="12"/>
    </row>
    <row r="12" spans="2:4" ht="15.75" thickBot="1" x14ac:dyDescent="0.3">
      <c r="B12" s="21" t="s">
        <v>206</v>
      </c>
      <c r="C12" s="54">
        <f>'Sensors and Comms'!$K$19+'Machine Shop Parts'!$K$12</f>
        <v>1666.25</v>
      </c>
      <c r="D12" s="54">
        <f>'Sensors and Comms'!$K$19+'Machine Shop Parts'!$K$12</f>
        <v>1666.25</v>
      </c>
    </row>
    <row r="13" spans="2:4" ht="15.75" thickBot="1" x14ac:dyDescent="0.3">
      <c r="B13" s="58" t="s">
        <v>207</v>
      </c>
      <c r="C13" s="56">
        <f>SUM(C10:C12)</f>
        <v>4714.9160666666667</v>
      </c>
      <c r="D13" s="56">
        <f t="shared" ref="D13" si="1">SUM(D10:D12)</f>
        <v>4759.5134333333335</v>
      </c>
    </row>
    <row r="15" spans="2:4" ht="15.75" thickBot="1" x14ac:dyDescent="0.3"/>
    <row r="16" spans="2:4" ht="15.75" thickBot="1" x14ac:dyDescent="0.3">
      <c r="B16" s="19" t="s">
        <v>370</v>
      </c>
      <c r="C16" s="20" t="s">
        <v>372</v>
      </c>
    </row>
    <row r="17" spans="2:3" x14ac:dyDescent="0.25">
      <c r="B17" s="13" t="s">
        <v>149</v>
      </c>
      <c r="C17" s="16">
        <f>'Vacuum Pump'!J8</f>
        <v>67.13</v>
      </c>
    </row>
    <row r="18" spans="2:3" ht="30" x14ac:dyDescent="0.25">
      <c r="B18" s="49" t="s">
        <v>371</v>
      </c>
      <c r="C18" s="17">
        <v>595</v>
      </c>
    </row>
    <row r="19" spans="2:3" ht="15.75" thickBot="1" x14ac:dyDescent="0.3">
      <c r="B19" s="15" t="s">
        <v>210</v>
      </c>
      <c r="C19" s="18">
        <v>145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Sensors and Comms</vt:lpstr>
      <vt:lpstr>Battery</vt:lpstr>
      <vt:lpstr>Electronics Assembly</vt:lpstr>
      <vt:lpstr>Mechanical Assembly</vt:lpstr>
      <vt:lpstr>Machine Shop Parts</vt:lpstr>
      <vt:lpstr>Release Mechanism</vt:lpstr>
      <vt:lpstr>Vacuum Pump</vt:lpstr>
      <vt:lpstr>TOTAL COSTS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2018-06-08T15:35:16Z</cp:lastPrinted>
  <dcterms:created xsi:type="dcterms:W3CDTF">2017-02-08T20:22:32Z</dcterms:created>
  <dcterms:modified xsi:type="dcterms:W3CDTF">2018-09-13T22:31:18Z</dcterms:modified>
</cp:coreProperties>
</file>