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3955" windowHeight="6405" activeTab="3"/>
  </bookViews>
  <sheets>
    <sheet name="Rev1 thru 3" sheetId="1" r:id="rId1"/>
    <sheet name="Rev4.0" sheetId="3" r:id="rId2"/>
    <sheet name="Rev4.0-Modified" sheetId="2" r:id="rId3"/>
    <sheet name="Rev 5.1" sheetId="6" r:id="rId4"/>
    <sheet name="Op Amp Comparison" sheetId="5" r:id="rId5"/>
    <sheet name="Resistor Values" sheetId="4" r:id="rId6"/>
  </sheets>
  <calcPr calcId="145621"/>
</workbook>
</file>

<file path=xl/calcChain.xml><?xml version="1.0" encoding="utf-8"?>
<calcChain xmlns="http://schemas.openxmlformats.org/spreadsheetml/2006/main">
  <c r="C38" i="6" l="1"/>
  <c r="C40" i="6" l="1"/>
  <c r="C41" i="6" s="1"/>
  <c r="C39" i="6"/>
  <c r="C35" i="6"/>
  <c r="C36" i="6" s="1"/>
  <c r="C37" i="6" s="1"/>
  <c r="C34" i="6"/>
  <c r="C33" i="6"/>
  <c r="C31" i="6"/>
  <c r="C32" i="6" s="1"/>
  <c r="C29" i="6"/>
  <c r="C28" i="6"/>
  <c r="C24" i="6"/>
  <c r="C25" i="6" s="1"/>
  <c r="C21" i="6"/>
  <c r="C20" i="6"/>
  <c r="C16" i="6"/>
  <c r="C11" i="6"/>
  <c r="C12" i="6" s="1"/>
  <c r="C7" i="6"/>
  <c r="C5" i="6"/>
  <c r="C35" i="2" l="1"/>
  <c r="C36" i="2" s="1"/>
  <c r="C37" i="2" s="1"/>
  <c r="C38" i="2" l="1"/>
  <c r="C39" i="2" s="1"/>
  <c r="C40" i="2"/>
  <c r="C41" i="2" s="1"/>
  <c r="E37" i="4"/>
  <c r="C20" i="2"/>
  <c r="C21" i="2" s="1"/>
  <c r="C24" i="3"/>
  <c r="C25" i="3" s="1"/>
  <c r="C21" i="3"/>
  <c r="C19" i="3"/>
  <c r="C17" i="3"/>
  <c r="C11" i="3"/>
  <c r="C5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33" i="4"/>
  <c r="E34" i="4"/>
  <c r="E35" i="4"/>
  <c r="E36" i="4"/>
  <c r="E38" i="4"/>
  <c r="E39" i="4"/>
  <c r="E40" i="4"/>
  <c r="E41" i="4"/>
  <c r="E42" i="4"/>
  <c r="E43" i="4"/>
  <c r="E44" i="4"/>
  <c r="E45" i="4"/>
  <c r="E46" i="4"/>
  <c r="E47" i="4"/>
  <c r="E32" i="4"/>
  <c r="E25" i="4"/>
  <c r="E26" i="4"/>
  <c r="E27" i="4"/>
  <c r="E28" i="4"/>
  <c r="E29" i="4"/>
  <c r="E30" i="4"/>
  <c r="E3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C16" i="2"/>
  <c r="C16" i="3"/>
  <c r="C7" i="3"/>
  <c r="C11" i="2"/>
  <c r="C12" i="2" s="1"/>
  <c r="C33" i="2"/>
  <c r="C31" i="2"/>
  <c r="C24" i="2"/>
  <c r="C7" i="2"/>
  <c r="C23" i="1"/>
  <c r="C24" i="1"/>
  <c r="C7" i="1"/>
  <c r="C10" i="1" s="1"/>
  <c r="C32" i="2" l="1"/>
  <c r="C34" i="2"/>
  <c r="C18" i="1" l="1"/>
  <c r="C20" i="1" s="1"/>
  <c r="C28" i="2" l="1"/>
  <c r="C29" i="2" s="1"/>
  <c r="C15" i="1"/>
  <c r="C16" i="1" s="1"/>
  <c r="C25" i="2" l="1"/>
</calcChain>
</file>

<file path=xl/sharedStrings.xml><?xml version="1.0" encoding="utf-8"?>
<sst xmlns="http://schemas.openxmlformats.org/spreadsheetml/2006/main" count="298" uniqueCount="75">
  <si>
    <t>C2</t>
  </si>
  <si>
    <t>VoutMin</t>
  </si>
  <si>
    <t>VoutMax</t>
  </si>
  <si>
    <t>I_InMax</t>
  </si>
  <si>
    <t>uA</t>
  </si>
  <si>
    <t>V</t>
  </si>
  <si>
    <t>Ohm</t>
  </si>
  <si>
    <t>pF</t>
  </si>
  <si>
    <t>Desired Bandwidth</t>
  </si>
  <si>
    <t>mHz</t>
  </si>
  <si>
    <t>MHz</t>
  </si>
  <si>
    <t>C1 (Calculated)</t>
  </si>
  <si>
    <t>C1 (Actual)</t>
  </si>
  <si>
    <t xml:space="preserve">Diode Capacitance </t>
  </si>
  <si>
    <t>C_D + C_CM2 (Estimate)</t>
  </si>
  <si>
    <t>C_In</t>
  </si>
  <si>
    <t>fGBW</t>
  </si>
  <si>
    <t>http://www.ti.com/lit/ug/tidu535/tidu535.pdf</t>
  </si>
  <si>
    <t>(&lt;=C1 Calculated)</t>
  </si>
  <si>
    <t>(OPA320 = 9pF)</t>
  </si>
  <si>
    <t>*R3</t>
  </si>
  <si>
    <t>(V_B = Vcc*(R3/(R2+R3))</t>
  </si>
  <si>
    <t>Vcc</t>
  </si>
  <si>
    <t>R2 (Ideal)</t>
  </si>
  <si>
    <t>R3 (Standard 1% Value)</t>
  </si>
  <si>
    <t>R2 (Actual)</t>
  </si>
  <si>
    <t>uF</t>
  </si>
  <si>
    <t>fp</t>
  </si>
  <si>
    <t>R2 ||R3</t>
  </si>
  <si>
    <t>Hz</t>
  </si>
  <si>
    <t>(Corner frequency for power supply noise)</t>
  </si>
  <si>
    <t>Calibrated Output</t>
  </si>
  <si>
    <t>Max umol</t>
  </si>
  <si>
    <t>R1 (Ideal)</t>
  </si>
  <si>
    <t>R1 (Actual)</t>
  </si>
  <si>
    <t>uV</t>
  </si>
  <si>
    <t>VoutMin (minimum for op Amp)</t>
  </si>
  <si>
    <t>VoutMin (maximum for op Amp)</t>
  </si>
  <si>
    <t>Op Amp Specs (ISL28134)</t>
  </si>
  <si>
    <t>Differential Input Capacitance</t>
  </si>
  <si>
    <t>Common Mode Input Capacitance</t>
  </si>
  <si>
    <t>VoutMin (desired)</t>
  </si>
  <si>
    <t>VoutMax (desired)</t>
  </si>
  <si>
    <t>R3 (Actual)</t>
  </si>
  <si>
    <t>ISL28134 Datasheet</t>
  </si>
  <si>
    <t>R1 (Max)</t>
  </si>
  <si>
    <t>16 Bit Ouput Resolution</t>
  </si>
  <si>
    <t>16 Bit Input Resolution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</si>
  <si>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A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</si>
  <si>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</si>
  <si>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V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</si>
  <si>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A/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</si>
  <si>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VoutMin (Expected)</t>
  </si>
  <si>
    <t>VoutMin (Actual, with Offset)</t>
  </si>
  <si>
    <t>VoutMax (Expected)</t>
  </si>
  <si>
    <t>nV/°C</t>
  </si>
  <si>
    <t>Temperature Error (Max)</t>
  </si>
  <si>
    <t>Temperature Error (Max, -2° to 50°C)</t>
  </si>
  <si>
    <t>Temperature Error (Typ, -2° to 50°C)</t>
  </si>
  <si>
    <t>Temperature Error (Typ)</t>
  </si>
  <si>
    <t>Op Amp Specs (OPA320)</t>
  </si>
  <si>
    <t>Input offset Voltage Min</t>
  </si>
  <si>
    <t>Input offset Voltage Max</t>
  </si>
  <si>
    <t>Input offset Voltage Min (-40° to 85°C)</t>
  </si>
  <si>
    <t>Input offset Voltage Max (-40° to 85°C)</t>
  </si>
  <si>
    <t>Input offset Voltage Min (25°C)</t>
  </si>
  <si>
    <t>Input offset Voltage Max (25°C)</t>
  </si>
  <si>
    <t>OPA320 Datasheet</t>
  </si>
  <si>
    <t>Cost</t>
  </si>
  <si>
    <t>Instructions for circuit calculations at</t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</si>
  <si>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(Corner frequency for power supply noise)</t>
    </r>
  </si>
  <si>
    <t>16 Bit Measurement Resolution</t>
  </si>
  <si>
    <t>Input Values</t>
  </si>
  <si>
    <t>Component Values</t>
  </si>
  <si>
    <t>Other Circuit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</si>
</sst>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"/>
    <numFmt numFmtId="165" formatCode="0.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2" borderId="1" xfId="0" applyFill="1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4" borderId="0" xfId="0" applyFill="1"/>
    <xf numFmtId="0" fontId="0" fillId="0" borderId="1" xfId="0" quotePrefix="1" applyBorder="1"/>
    <xf numFmtId="0" fontId="0" fillId="4" borderId="1" xfId="0" quotePrefix="1" applyFill="1" applyBorder="1"/>
    <xf numFmtId="0" fontId="0" fillId="0" borderId="1" xfId="0" quotePrefix="1" applyFill="1" applyBorder="1"/>
    <xf numFmtId="2" fontId="0" fillId="0" borderId="1" xfId="0" applyNumberFormat="1" applyBorder="1"/>
    <xf numFmtId="0" fontId="3" fillId="0" borderId="0" xfId="1"/>
    <xf numFmtId="3" fontId="0" fillId="4" borderId="0" xfId="0" applyNumberFormat="1" applyFill="1"/>
    <xf numFmtId="165" fontId="0" fillId="0" borderId="1" xfId="0" applyNumberFormat="1" applyFill="1" applyBorder="1"/>
    <xf numFmtId="166" fontId="0" fillId="0" borderId="1" xfId="0" applyNumberFormat="1" applyBorder="1"/>
    <xf numFmtId="165" fontId="1" fillId="0" borderId="1" xfId="0" applyNumberFormat="1" applyFont="1" applyFill="1" applyBorder="1"/>
    <xf numFmtId="8" fontId="0" fillId="2" borderId="1" xfId="0" applyNumberFormat="1" applyFill="1" applyBorder="1"/>
    <xf numFmtId="165" fontId="0" fillId="3" borderId="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i.com/lit/ug/tidu535/tidu535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ti.com/lit/ug/tidu535/tidu535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lit/ds/symlink/opa320.pdf" TargetMode="External"/><Relationship Id="rId2" Type="http://schemas.openxmlformats.org/officeDocument/2006/relationships/hyperlink" Target="http://www.intersil.com/content/dam/Intersil/documents/isl2/isl28134.pdf" TargetMode="External"/><Relationship Id="rId1" Type="http://schemas.openxmlformats.org/officeDocument/2006/relationships/hyperlink" Target="http://www.intersil.com/content/dam/Intersil/documents/isl2/isl2813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L13" sqref="L13"/>
    </sheetView>
  </sheetViews>
  <sheetFormatPr defaultRowHeight="15" x14ac:dyDescent="0.25"/>
  <cols>
    <col min="2" max="2" width="25.28515625" customWidth="1"/>
  </cols>
  <sheetData>
    <row r="1" spans="2:6" x14ac:dyDescent="0.25">
      <c r="B1" t="s">
        <v>17</v>
      </c>
    </row>
    <row r="3" spans="2:6" x14ac:dyDescent="0.25">
      <c r="B3" t="s">
        <v>22</v>
      </c>
      <c r="C3" s="4">
        <v>3</v>
      </c>
      <c r="D3" t="s">
        <v>5</v>
      </c>
    </row>
    <row r="4" spans="2:6" x14ac:dyDescent="0.25">
      <c r="B4" t="s">
        <v>1</v>
      </c>
      <c r="C4" s="4">
        <v>0.1</v>
      </c>
      <c r="D4" t="s">
        <v>5</v>
      </c>
    </row>
    <row r="5" spans="2:6" x14ac:dyDescent="0.25">
      <c r="B5" t="s">
        <v>2</v>
      </c>
      <c r="C5" s="4">
        <v>0.9</v>
      </c>
      <c r="D5" t="s">
        <v>5</v>
      </c>
    </row>
    <row r="6" spans="2:6" x14ac:dyDescent="0.25">
      <c r="B6" t="s">
        <v>3</v>
      </c>
      <c r="C6" s="4">
        <v>14</v>
      </c>
      <c r="D6" t="s">
        <v>4</v>
      </c>
    </row>
    <row r="7" spans="2:6" x14ac:dyDescent="0.25">
      <c r="B7" t="s">
        <v>33</v>
      </c>
      <c r="C7" s="1">
        <f>(C5-C4)/(C6/1000000)</f>
        <v>57142.857142857145</v>
      </c>
      <c r="D7" t="s">
        <v>6</v>
      </c>
    </row>
    <row r="8" spans="2:6" x14ac:dyDescent="0.25">
      <c r="C8" s="1"/>
    </row>
    <row r="9" spans="2:6" x14ac:dyDescent="0.25">
      <c r="B9" t="s">
        <v>8</v>
      </c>
      <c r="C9" s="4">
        <v>0.1</v>
      </c>
      <c r="D9" t="s">
        <v>10</v>
      </c>
    </row>
    <row r="10" spans="2:6" x14ac:dyDescent="0.25">
      <c r="B10" t="s">
        <v>11</v>
      </c>
      <c r="C10">
        <f>1/(2*PI()*C7*(C9*1000000))*1000000000000</f>
        <v>27.852115041081685</v>
      </c>
      <c r="D10" s="2" t="s">
        <v>7</v>
      </c>
      <c r="F10" s="3"/>
    </row>
    <row r="11" spans="2:6" x14ac:dyDescent="0.25">
      <c r="B11" t="s">
        <v>12</v>
      </c>
      <c r="C11" s="4">
        <v>7.5</v>
      </c>
      <c r="D11" s="2" t="s">
        <v>7</v>
      </c>
      <c r="E11" t="s">
        <v>18</v>
      </c>
      <c r="F11" s="3"/>
    </row>
    <row r="12" spans="2:6" x14ac:dyDescent="0.25">
      <c r="D12" s="2"/>
      <c r="F12" s="3"/>
    </row>
    <row r="13" spans="2:6" x14ac:dyDescent="0.25">
      <c r="B13" t="s">
        <v>14</v>
      </c>
      <c r="C13" s="4">
        <v>9</v>
      </c>
      <c r="D13" s="5" t="s">
        <v>7</v>
      </c>
      <c r="E13" t="s">
        <v>19</v>
      </c>
      <c r="F13" s="3"/>
    </row>
    <row r="14" spans="2:6" x14ac:dyDescent="0.25">
      <c r="B14" t="s">
        <v>13</v>
      </c>
      <c r="C14" s="4">
        <v>150</v>
      </c>
      <c r="D14" s="6" t="s">
        <v>7</v>
      </c>
    </row>
    <row r="15" spans="2:6" x14ac:dyDescent="0.25">
      <c r="B15" t="s">
        <v>15</v>
      </c>
      <c r="C15">
        <f>C14+C13</f>
        <v>159</v>
      </c>
      <c r="D15" s="6" t="s">
        <v>7</v>
      </c>
    </row>
    <row r="16" spans="2:6" x14ac:dyDescent="0.25">
      <c r="B16" t="s">
        <v>16</v>
      </c>
      <c r="C16">
        <f>((C15+C11)/1000000000000)/(2*PI()*C7*(C11/1000000000000)^2)/1000000</f>
        <v>8.2442260521601796</v>
      </c>
      <c r="D16" s="6" t="s">
        <v>9</v>
      </c>
    </row>
    <row r="18" spans="2:5" x14ac:dyDescent="0.25">
      <c r="B18" t="s">
        <v>23</v>
      </c>
      <c r="C18">
        <f>(C3-C4)/C4</f>
        <v>28.999999999999996</v>
      </c>
      <c r="D18" t="s">
        <v>20</v>
      </c>
      <c r="E18" t="s">
        <v>21</v>
      </c>
    </row>
    <row r="19" spans="2:5" x14ac:dyDescent="0.25">
      <c r="B19" t="s">
        <v>24</v>
      </c>
      <c r="C19" s="4">
        <v>1150</v>
      </c>
      <c r="D19" t="s">
        <v>6</v>
      </c>
    </row>
    <row r="20" spans="2:5" x14ac:dyDescent="0.25">
      <c r="B20" t="s">
        <v>23</v>
      </c>
      <c r="C20">
        <f>C18*C19</f>
        <v>33349.999999999993</v>
      </c>
      <c r="D20" t="s">
        <v>6</v>
      </c>
    </row>
    <row r="21" spans="2:5" x14ac:dyDescent="0.25">
      <c r="B21" t="s">
        <v>25</v>
      </c>
      <c r="C21" s="4">
        <v>33200</v>
      </c>
      <c r="D21" t="s">
        <v>6</v>
      </c>
    </row>
    <row r="22" spans="2:5" x14ac:dyDescent="0.25">
      <c r="B22" t="s">
        <v>0</v>
      </c>
      <c r="C22" s="4">
        <v>0.22</v>
      </c>
      <c r="D22" t="s">
        <v>26</v>
      </c>
    </row>
    <row r="23" spans="2:5" x14ac:dyDescent="0.25">
      <c r="B23" t="s">
        <v>28</v>
      </c>
      <c r="C23">
        <f>1/(1/C19+1/C21)</f>
        <v>1111.499272197962</v>
      </c>
      <c r="D23" t="s">
        <v>6</v>
      </c>
    </row>
    <row r="24" spans="2:5" x14ac:dyDescent="0.25">
      <c r="B24" t="s">
        <v>27</v>
      </c>
      <c r="C24">
        <f>1/(2*PI()*(C22/1000000)*C23)</f>
        <v>650.86102852595423</v>
      </c>
      <c r="D24" t="s">
        <v>29</v>
      </c>
      <c r="E2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8" sqref="C48"/>
    </sheetView>
  </sheetViews>
  <sheetFormatPr defaultRowHeight="15" x14ac:dyDescent="0.25"/>
  <cols>
    <col min="2" max="2" width="25.28515625" customWidth="1"/>
  </cols>
  <sheetData>
    <row r="1" spans="1:6" x14ac:dyDescent="0.25">
      <c r="B1" t="s">
        <v>17</v>
      </c>
    </row>
    <row r="3" spans="1:6" x14ac:dyDescent="0.25">
      <c r="B3" t="s">
        <v>22</v>
      </c>
      <c r="C3" s="4">
        <v>3</v>
      </c>
      <c r="D3" t="s">
        <v>5</v>
      </c>
    </row>
    <row r="4" spans="1:6" x14ac:dyDescent="0.25">
      <c r="B4" t="s">
        <v>1</v>
      </c>
      <c r="C4" s="4">
        <v>0.5</v>
      </c>
      <c r="D4" t="s">
        <v>5</v>
      </c>
    </row>
    <row r="5" spans="1:6" x14ac:dyDescent="0.25">
      <c r="B5" t="s">
        <v>2</v>
      </c>
      <c r="C5" s="4">
        <v>2.5</v>
      </c>
      <c r="D5" t="s">
        <v>5</v>
      </c>
    </row>
    <row r="6" spans="1:6" x14ac:dyDescent="0.25">
      <c r="B6" t="s">
        <v>3</v>
      </c>
      <c r="C6" s="4">
        <v>14</v>
      </c>
      <c r="D6" t="s">
        <v>4</v>
      </c>
    </row>
    <row r="7" spans="1:6" x14ac:dyDescent="0.25">
      <c r="B7" t="s">
        <v>33</v>
      </c>
      <c r="C7" s="1">
        <f>(C5-C4)/(C6/1000000)</f>
        <v>142857.14285714287</v>
      </c>
      <c r="D7" t="s">
        <v>6</v>
      </c>
    </row>
    <row r="8" spans="1:6" x14ac:dyDescent="0.25">
      <c r="A8" s="14"/>
      <c r="B8" s="14" t="s">
        <v>34</v>
      </c>
      <c r="C8" s="20">
        <v>137000</v>
      </c>
      <c r="D8" s="14" t="s">
        <v>6</v>
      </c>
    </row>
    <row r="9" spans="1:6" x14ac:dyDescent="0.25">
      <c r="C9" s="1"/>
    </row>
    <row r="10" spans="1:6" x14ac:dyDescent="0.25">
      <c r="B10" t="s">
        <v>8</v>
      </c>
      <c r="C10" s="4">
        <v>0.1</v>
      </c>
      <c r="D10" t="s">
        <v>10</v>
      </c>
    </row>
    <row r="11" spans="1:6" x14ac:dyDescent="0.25">
      <c r="B11" t="s">
        <v>11</v>
      </c>
      <c r="C11">
        <f>1/(2*PI()*C8*(C10*1000000))*1000000000000</f>
        <v>11.61714913079528</v>
      </c>
      <c r="D11" s="2" t="s">
        <v>7</v>
      </c>
      <c r="F11" s="3"/>
    </row>
    <row r="12" spans="1:6" x14ac:dyDescent="0.25">
      <c r="B12" t="s">
        <v>12</v>
      </c>
      <c r="C12" s="4">
        <v>7.5</v>
      </c>
      <c r="D12" s="2" t="s">
        <v>7</v>
      </c>
      <c r="E12" t="s">
        <v>18</v>
      </c>
      <c r="F12" s="3"/>
    </row>
    <row r="13" spans="1:6" x14ac:dyDescent="0.25">
      <c r="D13" s="2"/>
      <c r="F13" s="3"/>
    </row>
    <row r="14" spans="1:6" x14ac:dyDescent="0.25">
      <c r="B14" t="s">
        <v>14</v>
      </c>
      <c r="C14" s="4">
        <v>9</v>
      </c>
      <c r="D14" s="5" t="s">
        <v>7</v>
      </c>
      <c r="E14" t="s">
        <v>19</v>
      </c>
      <c r="F14" s="3"/>
    </row>
    <row r="15" spans="1:6" x14ac:dyDescent="0.25">
      <c r="B15" t="s">
        <v>13</v>
      </c>
      <c r="C15" s="4">
        <v>150</v>
      </c>
      <c r="D15" s="6" t="s">
        <v>7</v>
      </c>
    </row>
    <row r="16" spans="1:6" x14ac:dyDescent="0.25">
      <c r="B16" t="s">
        <v>15</v>
      </c>
      <c r="C16">
        <f>C15+C14</f>
        <v>159</v>
      </c>
      <c r="D16" s="6" t="s">
        <v>7</v>
      </c>
    </row>
    <row r="17" spans="1:5" x14ac:dyDescent="0.25">
      <c r="B17" t="s">
        <v>16</v>
      </c>
      <c r="C17">
        <f>((C16+C12)/1000000000000)/(2*PI()*C8*(C12/1000000000000)^2)/1000000</f>
        <v>3.4386761427154027</v>
      </c>
      <c r="D17" s="6" t="s">
        <v>9</v>
      </c>
    </row>
    <row r="19" spans="1:5" x14ac:dyDescent="0.25">
      <c r="B19" t="s">
        <v>23</v>
      </c>
      <c r="C19">
        <f>(C3-C4)/C4</f>
        <v>5</v>
      </c>
      <c r="D19" t="s">
        <v>20</v>
      </c>
      <c r="E19" t="s">
        <v>21</v>
      </c>
    </row>
    <row r="20" spans="1:5" x14ac:dyDescent="0.25">
      <c r="B20" t="s">
        <v>24</v>
      </c>
      <c r="C20" s="4">
        <v>1150</v>
      </c>
      <c r="D20" t="s">
        <v>6</v>
      </c>
    </row>
    <row r="21" spans="1:5" x14ac:dyDescent="0.25">
      <c r="B21" t="s">
        <v>23</v>
      </c>
      <c r="C21">
        <f>C19*C20</f>
        <v>5750</v>
      </c>
      <c r="D21" t="s">
        <v>6</v>
      </c>
    </row>
    <row r="22" spans="1:5" x14ac:dyDescent="0.25">
      <c r="A22" s="14"/>
      <c r="B22" s="14" t="s">
        <v>25</v>
      </c>
      <c r="C22" s="12">
        <v>5760</v>
      </c>
      <c r="D22" s="14" t="s">
        <v>6</v>
      </c>
    </row>
    <row r="23" spans="1:5" x14ac:dyDescent="0.25">
      <c r="B23" t="s">
        <v>0</v>
      </c>
      <c r="C23" s="4">
        <v>0.22</v>
      </c>
      <c r="D23" t="s">
        <v>26</v>
      </c>
    </row>
    <row r="24" spans="1:5" x14ac:dyDescent="0.25">
      <c r="B24" t="s">
        <v>28</v>
      </c>
      <c r="C24">
        <f>1/(1/C20+1/C22)</f>
        <v>958.6107091172214</v>
      </c>
      <c r="D24" t="s">
        <v>6</v>
      </c>
    </row>
    <row r="25" spans="1:5" x14ac:dyDescent="0.25">
      <c r="B25" t="s">
        <v>27</v>
      </c>
      <c r="C25">
        <f>1/(2*PI()*(C23/1000000)*C24)</f>
        <v>754.66667817097391</v>
      </c>
      <c r="D25" t="s">
        <v>29</v>
      </c>
      <c r="E25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F4" sqref="F4:F6"/>
    </sheetView>
  </sheetViews>
  <sheetFormatPr defaultRowHeight="15" x14ac:dyDescent="0.25"/>
  <cols>
    <col min="2" max="2" width="42.7109375" customWidth="1"/>
    <col min="3" max="3" width="11.85546875" customWidth="1"/>
    <col min="4" max="4" width="13.85546875" bestFit="1" customWidth="1"/>
    <col min="5" max="5" width="19.42578125" customWidth="1"/>
    <col min="6" max="6" width="31.42578125" bestFit="1" customWidth="1"/>
  </cols>
  <sheetData>
    <row r="1" spans="2:8" x14ac:dyDescent="0.25">
      <c r="B1" t="s">
        <v>69</v>
      </c>
    </row>
    <row r="2" spans="2:8" x14ac:dyDescent="0.25">
      <c r="B2" s="19" t="s">
        <v>17</v>
      </c>
    </row>
    <row r="4" spans="2:8" x14ac:dyDescent="0.25">
      <c r="B4" s="8" t="s">
        <v>22</v>
      </c>
      <c r="C4" s="4">
        <v>3</v>
      </c>
      <c r="D4" s="8" t="s">
        <v>5</v>
      </c>
      <c r="F4" s="4" t="s">
        <v>72</v>
      </c>
    </row>
    <row r="5" spans="2:8" x14ac:dyDescent="0.25">
      <c r="B5" s="8" t="s">
        <v>36</v>
      </c>
      <c r="C5" s="7">
        <f>(G17/1000000)*C13*-1</f>
        <v>0.47949999999999998</v>
      </c>
      <c r="D5" s="8" t="s">
        <v>5</v>
      </c>
      <c r="F5" s="12" t="s">
        <v>73</v>
      </c>
    </row>
    <row r="6" spans="2:8" x14ac:dyDescent="0.25">
      <c r="B6" s="8" t="s">
        <v>41</v>
      </c>
      <c r="C6" s="4">
        <v>0.5</v>
      </c>
      <c r="D6" s="8" t="s">
        <v>5</v>
      </c>
      <c r="F6" s="11" t="s">
        <v>74</v>
      </c>
    </row>
    <row r="7" spans="2:8" x14ac:dyDescent="0.25">
      <c r="B7" s="8" t="s">
        <v>37</v>
      </c>
      <c r="C7" s="7">
        <f>C4-(G18/1000000)*C13</f>
        <v>2.5205000000000002</v>
      </c>
      <c r="D7" s="8" t="s">
        <v>5</v>
      </c>
    </row>
    <row r="8" spans="2:8" x14ac:dyDescent="0.25">
      <c r="B8" s="8" t="s">
        <v>42</v>
      </c>
      <c r="C8" s="4">
        <v>2.5</v>
      </c>
      <c r="D8" s="8" t="s">
        <v>5</v>
      </c>
    </row>
    <row r="9" spans="2:8" ht="17.25" x14ac:dyDescent="0.25">
      <c r="B9" s="8" t="s">
        <v>31</v>
      </c>
      <c r="C9" s="4">
        <v>1.4E-2</v>
      </c>
      <c r="D9" s="8" t="s">
        <v>51</v>
      </c>
    </row>
    <row r="10" spans="2:8" x14ac:dyDescent="0.25">
      <c r="B10" s="8" t="s">
        <v>32</v>
      </c>
      <c r="C10" s="4">
        <v>1000</v>
      </c>
      <c r="D10" s="8"/>
    </row>
    <row r="11" spans="2:8" x14ac:dyDescent="0.25">
      <c r="B11" s="8" t="s">
        <v>3</v>
      </c>
      <c r="C11" s="7">
        <f>C10*C9</f>
        <v>14</v>
      </c>
      <c r="D11" s="8" t="s">
        <v>4</v>
      </c>
    </row>
    <row r="12" spans="2:8" x14ac:dyDescent="0.25">
      <c r="B12" s="8" t="s">
        <v>45</v>
      </c>
      <c r="C12" s="10">
        <f>(C8-C6)/(C11/1000000)</f>
        <v>142857.14285714287</v>
      </c>
      <c r="D12" s="8" t="s">
        <v>6</v>
      </c>
    </row>
    <row r="13" spans="2:8" x14ac:dyDescent="0.25">
      <c r="B13" s="12" t="s">
        <v>34</v>
      </c>
      <c r="C13" s="12">
        <v>137000</v>
      </c>
      <c r="D13" s="12" t="s">
        <v>6</v>
      </c>
    </row>
    <row r="14" spans="2:8" x14ac:dyDescent="0.25">
      <c r="C14" s="1"/>
    </row>
    <row r="15" spans="2:8" x14ac:dyDescent="0.25">
      <c r="B15" s="8" t="s">
        <v>8</v>
      </c>
      <c r="C15" s="4">
        <v>0.1</v>
      </c>
      <c r="D15" s="8" t="s">
        <v>10</v>
      </c>
      <c r="F15" s="26" t="s">
        <v>38</v>
      </c>
      <c r="G15" s="27"/>
      <c r="H15" s="28"/>
    </row>
    <row r="16" spans="2:8" x14ac:dyDescent="0.25">
      <c r="B16" s="8" t="s">
        <v>11</v>
      </c>
      <c r="C16" s="13">
        <f>1/(2*PI()*C13*(C15*1000000))*1000000000000</f>
        <v>11.61714913079528</v>
      </c>
      <c r="D16" s="15" t="s">
        <v>7</v>
      </c>
      <c r="F16" s="29" t="s">
        <v>44</v>
      </c>
      <c r="G16" s="30"/>
      <c r="H16" s="30"/>
    </row>
    <row r="17" spans="2:8" x14ac:dyDescent="0.25">
      <c r="B17" s="12" t="s">
        <v>12</v>
      </c>
      <c r="C17" s="12">
        <v>11</v>
      </c>
      <c r="D17" s="16" t="s">
        <v>7</v>
      </c>
      <c r="F17" s="8" t="s">
        <v>61</v>
      </c>
      <c r="G17" s="4">
        <v>-3.5</v>
      </c>
      <c r="H17" s="8" t="s">
        <v>35</v>
      </c>
    </row>
    <row r="18" spans="2:8" x14ac:dyDescent="0.25">
      <c r="D18" s="2"/>
      <c r="F18" s="8" t="s">
        <v>62</v>
      </c>
      <c r="G18" s="4">
        <v>3.5</v>
      </c>
      <c r="H18" s="8" t="s">
        <v>35</v>
      </c>
    </row>
    <row r="19" spans="2:8" x14ac:dyDescent="0.25">
      <c r="B19" s="8" t="s">
        <v>13</v>
      </c>
      <c r="C19" s="4">
        <v>150</v>
      </c>
      <c r="D19" s="7" t="s">
        <v>7</v>
      </c>
      <c r="F19" s="8" t="s">
        <v>39</v>
      </c>
      <c r="G19" s="4">
        <v>5.2</v>
      </c>
      <c r="H19" s="17" t="s">
        <v>7</v>
      </c>
    </row>
    <row r="20" spans="2:8" x14ac:dyDescent="0.25">
      <c r="B20" s="8" t="s">
        <v>15</v>
      </c>
      <c r="C20" s="8">
        <f>C19+G19+G20</f>
        <v>160.79999999999998</v>
      </c>
      <c r="D20" s="7" t="s">
        <v>7</v>
      </c>
      <c r="F20" s="8" t="s">
        <v>40</v>
      </c>
      <c r="G20" s="4">
        <v>5.6</v>
      </c>
      <c r="H20" s="17" t="s">
        <v>7</v>
      </c>
    </row>
    <row r="21" spans="2:8" x14ac:dyDescent="0.25">
      <c r="B21" s="8" t="s">
        <v>16</v>
      </c>
      <c r="C21" s="18">
        <f>((C20+C17)/1000000000000)/(2*PI()*C13*(C17/1000000000000)^2)/1000000</f>
        <v>1.649443157579032</v>
      </c>
      <c r="D21" s="7" t="s">
        <v>9</v>
      </c>
      <c r="F21" s="7" t="s">
        <v>59</v>
      </c>
      <c r="G21" s="4">
        <v>0.5</v>
      </c>
      <c r="H21" s="8" t="s">
        <v>55</v>
      </c>
    </row>
    <row r="22" spans="2:8" x14ac:dyDescent="0.25">
      <c r="F22" s="7" t="s">
        <v>56</v>
      </c>
      <c r="G22" s="4">
        <v>15</v>
      </c>
      <c r="H22" s="8" t="s">
        <v>55</v>
      </c>
    </row>
    <row r="23" spans="2:8" x14ac:dyDescent="0.25">
      <c r="B23" s="12" t="s">
        <v>43</v>
      </c>
      <c r="C23" s="12">
        <v>2000</v>
      </c>
      <c r="D23" s="12" t="s">
        <v>6</v>
      </c>
    </row>
    <row r="24" spans="2:8" x14ac:dyDescent="0.25">
      <c r="B24" s="8" t="s">
        <v>23</v>
      </c>
      <c r="C24" s="8">
        <f>(C4-C6)/C6</f>
        <v>5</v>
      </c>
      <c r="D24" s="8" t="s">
        <v>20</v>
      </c>
    </row>
    <row r="25" spans="2:8" x14ac:dyDescent="0.25">
      <c r="B25" s="8" t="s">
        <v>23</v>
      </c>
      <c r="C25" s="8">
        <f>C24*C23</f>
        <v>10000</v>
      </c>
      <c r="D25" s="8" t="s">
        <v>6</v>
      </c>
    </row>
    <row r="26" spans="2:8" x14ac:dyDescent="0.25">
      <c r="B26" s="12" t="s">
        <v>25</v>
      </c>
      <c r="C26" s="12">
        <v>10000</v>
      </c>
      <c r="D26" s="12" t="s">
        <v>6</v>
      </c>
    </row>
    <row r="27" spans="2:8" x14ac:dyDescent="0.25">
      <c r="B27" s="12" t="s">
        <v>0</v>
      </c>
      <c r="C27" s="12">
        <v>0.1</v>
      </c>
      <c r="D27" s="12" t="s">
        <v>26</v>
      </c>
    </row>
    <row r="28" spans="2:8" x14ac:dyDescent="0.25">
      <c r="B28" s="8" t="s">
        <v>28</v>
      </c>
      <c r="C28" s="13">
        <f>1/(1/C23+1/C26)</f>
        <v>1666.6666666666665</v>
      </c>
      <c r="D28" s="8" t="s">
        <v>6</v>
      </c>
    </row>
    <row r="29" spans="2:8" ht="18" x14ac:dyDescent="0.35">
      <c r="B29" s="8" t="s">
        <v>70</v>
      </c>
      <c r="C29" s="13">
        <f>1/(2*PI()*(C27/1000000)*C28)</f>
        <v>954.92965855137209</v>
      </c>
      <c r="D29" s="8" t="s">
        <v>29</v>
      </c>
    </row>
    <row r="30" spans="2:8" x14ac:dyDescent="0.25">
      <c r="C30" s="6"/>
    </row>
    <row r="31" spans="2:8" x14ac:dyDescent="0.25">
      <c r="B31" s="8" t="s">
        <v>52</v>
      </c>
      <c r="C31" s="21">
        <f>C4*C23/(C23+C26)</f>
        <v>0.5</v>
      </c>
      <c r="D31" s="8" t="s">
        <v>5</v>
      </c>
    </row>
    <row r="32" spans="2:8" x14ac:dyDescent="0.25">
      <c r="B32" s="9" t="s">
        <v>53</v>
      </c>
      <c r="C32" s="23">
        <f>C31-C5</f>
        <v>2.0500000000000018E-2</v>
      </c>
      <c r="D32" s="9" t="s">
        <v>5</v>
      </c>
    </row>
    <row r="33" spans="2:6" x14ac:dyDescent="0.25">
      <c r="B33" s="8" t="s">
        <v>54</v>
      </c>
      <c r="C33" s="21">
        <f>C4*C26/(C23+C26)</f>
        <v>2.5</v>
      </c>
      <c r="D33" s="8" t="s">
        <v>5</v>
      </c>
      <c r="F33" s="3"/>
    </row>
    <row r="34" spans="2:6" x14ac:dyDescent="0.25">
      <c r="B34" s="9" t="s">
        <v>53</v>
      </c>
      <c r="C34" s="23">
        <f>C33+(C4-C7)</f>
        <v>2.9794999999999998</v>
      </c>
      <c r="D34" s="9" t="s">
        <v>5</v>
      </c>
      <c r="F34" s="3"/>
    </row>
    <row r="35" spans="2:6" x14ac:dyDescent="0.25">
      <c r="B35" s="8" t="s">
        <v>46</v>
      </c>
      <c r="C35" s="13">
        <f>3/32768*1000000</f>
        <v>91.552734375</v>
      </c>
      <c r="D35" s="8" t="s">
        <v>50</v>
      </c>
      <c r="F35" s="3"/>
    </row>
    <row r="36" spans="2:6" x14ac:dyDescent="0.25">
      <c r="B36" s="8" t="s">
        <v>47</v>
      </c>
      <c r="C36" s="22">
        <f>C35/C13</f>
        <v>6.6826813412408756E-4</v>
      </c>
      <c r="D36" s="8" t="s">
        <v>48</v>
      </c>
    </row>
    <row r="37" spans="2:6" ht="17.25" x14ac:dyDescent="0.25">
      <c r="B37" s="11" t="s">
        <v>71</v>
      </c>
      <c r="C37" s="25">
        <f>C36/C9</f>
        <v>4.7733438151720542E-2</v>
      </c>
      <c r="D37" s="11" t="s">
        <v>49</v>
      </c>
    </row>
    <row r="38" spans="2:6" x14ac:dyDescent="0.25">
      <c r="B38" s="7" t="s">
        <v>58</v>
      </c>
      <c r="C38" s="8">
        <f>27*G21/1000</f>
        <v>1.35E-2</v>
      </c>
      <c r="D38" s="8" t="s">
        <v>35</v>
      </c>
    </row>
    <row r="39" spans="2:6" ht="17.25" x14ac:dyDescent="0.25">
      <c r="B39" s="11" t="s">
        <v>58</v>
      </c>
      <c r="C39" s="25">
        <f>C38/C9</f>
        <v>0.9642857142857143</v>
      </c>
      <c r="D39" s="11" t="s">
        <v>49</v>
      </c>
    </row>
    <row r="40" spans="2:6" x14ac:dyDescent="0.25">
      <c r="B40" s="7" t="s">
        <v>57</v>
      </c>
      <c r="C40" s="8">
        <f>27*G22/1000</f>
        <v>0.40500000000000003</v>
      </c>
      <c r="D40" s="8" t="s">
        <v>50</v>
      </c>
    </row>
    <row r="41" spans="2:6" ht="17.25" x14ac:dyDescent="0.25">
      <c r="B41" s="11" t="s">
        <v>58</v>
      </c>
      <c r="C41" s="25">
        <f>C40/C9</f>
        <v>28.928571428571431</v>
      </c>
      <c r="D41" s="11" t="s">
        <v>49</v>
      </c>
    </row>
  </sheetData>
  <mergeCells count="2">
    <mergeCell ref="F15:H15"/>
    <mergeCell ref="F16:H16"/>
  </mergeCells>
  <hyperlinks>
    <hyperlink ref="F16" r:id="rId1"/>
    <hyperlink ref="B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I24" sqref="I24"/>
    </sheetView>
  </sheetViews>
  <sheetFormatPr defaultRowHeight="15" x14ac:dyDescent="0.25"/>
  <cols>
    <col min="2" max="2" width="42.7109375" customWidth="1"/>
    <col min="3" max="3" width="11.85546875" customWidth="1"/>
    <col min="4" max="4" width="13.85546875" bestFit="1" customWidth="1"/>
    <col min="5" max="5" width="19.42578125" customWidth="1"/>
    <col min="6" max="6" width="31.42578125" bestFit="1" customWidth="1"/>
  </cols>
  <sheetData>
    <row r="1" spans="2:8" x14ac:dyDescent="0.25">
      <c r="B1" t="s">
        <v>69</v>
      </c>
    </row>
    <row r="2" spans="2:8" x14ac:dyDescent="0.25">
      <c r="B2" s="19" t="s">
        <v>17</v>
      </c>
    </row>
    <row r="4" spans="2:8" x14ac:dyDescent="0.25">
      <c r="B4" s="8" t="s">
        <v>22</v>
      </c>
      <c r="C4" s="4">
        <v>3</v>
      </c>
      <c r="D4" s="8" t="s">
        <v>5</v>
      </c>
      <c r="F4" s="26" t="s">
        <v>38</v>
      </c>
      <c r="G4" s="27"/>
      <c r="H4" s="28"/>
    </row>
    <row r="5" spans="2:8" x14ac:dyDescent="0.25">
      <c r="B5" s="8" t="s">
        <v>36</v>
      </c>
      <c r="C5" s="7">
        <f>(G6/1000000)*C13*-1</f>
        <v>0.47949999999999998</v>
      </c>
      <c r="D5" s="8" t="s">
        <v>5</v>
      </c>
      <c r="F5" s="29" t="s">
        <v>44</v>
      </c>
      <c r="G5" s="30"/>
      <c r="H5" s="30"/>
    </row>
    <row r="6" spans="2:8" x14ac:dyDescent="0.25">
      <c r="B6" s="8" t="s">
        <v>41</v>
      </c>
      <c r="C6" s="4">
        <v>0.5</v>
      </c>
      <c r="D6" s="8" t="s">
        <v>5</v>
      </c>
      <c r="F6" s="8" t="s">
        <v>61</v>
      </c>
      <c r="G6" s="4">
        <v>-3.5</v>
      </c>
      <c r="H6" s="8" t="s">
        <v>35</v>
      </c>
    </row>
    <row r="7" spans="2:8" x14ac:dyDescent="0.25">
      <c r="B7" s="8" t="s">
        <v>37</v>
      </c>
      <c r="C7" s="7">
        <f>C4-(G7/1000000)*C13</f>
        <v>2.5205000000000002</v>
      </c>
      <c r="D7" s="8" t="s">
        <v>5</v>
      </c>
      <c r="F7" s="8" t="s">
        <v>62</v>
      </c>
      <c r="G7" s="4">
        <v>3.5</v>
      </c>
      <c r="H7" s="8" t="s">
        <v>35</v>
      </c>
    </row>
    <row r="8" spans="2:8" x14ac:dyDescent="0.25">
      <c r="B8" s="8" t="s">
        <v>42</v>
      </c>
      <c r="C8" s="4">
        <v>2.5</v>
      </c>
      <c r="D8" s="8" t="s">
        <v>5</v>
      </c>
      <c r="F8" s="8" t="s">
        <v>39</v>
      </c>
      <c r="G8" s="4">
        <v>5.2</v>
      </c>
      <c r="H8" s="17" t="s">
        <v>7</v>
      </c>
    </row>
    <row r="9" spans="2:8" ht="17.25" x14ac:dyDescent="0.25">
      <c r="B9" s="8" t="s">
        <v>31</v>
      </c>
      <c r="C9" s="4">
        <v>1.4E-2</v>
      </c>
      <c r="D9" s="8" t="s">
        <v>51</v>
      </c>
      <c r="F9" s="8" t="s">
        <v>40</v>
      </c>
      <c r="G9" s="4">
        <v>5.6</v>
      </c>
      <c r="H9" s="17" t="s">
        <v>7</v>
      </c>
    </row>
    <row r="10" spans="2:8" x14ac:dyDescent="0.25">
      <c r="B10" s="8" t="s">
        <v>32</v>
      </c>
      <c r="C10" s="4">
        <v>1000</v>
      </c>
      <c r="D10" s="8"/>
      <c r="F10" s="7" t="s">
        <v>59</v>
      </c>
      <c r="G10" s="4">
        <v>0.5</v>
      </c>
      <c r="H10" s="8" t="s">
        <v>55</v>
      </c>
    </row>
    <row r="11" spans="2:8" x14ac:dyDescent="0.25">
      <c r="B11" s="8" t="s">
        <v>3</v>
      </c>
      <c r="C11" s="7">
        <f>C10*C9</f>
        <v>14</v>
      </c>
      <c r="D11" s="8" t="s">
        <v>4</v>
      </c>
      <c r="F11" s="7" t="s">
        <v>56</v>
      </c>
      <c r="G11" s="4">
        <v>15</v>
      </c>
      <c r="H11" s="8" t="s">
        <v>55</v>
      </c>
    </row>
    <row r="12" spans="2:8" x14ac:dyDescent="0.25">
      <c r="B12" s="8" t="s">
        <v>45</v>
      </c>
      <c r="C12" s="10">
        <f>(C8-C6)/(C11/1000000)</f>
        <v>142857.14285714287</v>
      </c>
      <c r="D12" s="8" t="s">
        <v>6</v>
      </c>
    </row>
    <row r="13" spans="2:8" x14ac:dyDescent="0.25">
      <c r="B13" s="12" t="s">
        <v>34</v>
      </c>
      <c r="C13" s="12">
        <v>137000</v>
      </c>
      <c r="D13" s="12" t="s">
        <v>6</v>
      </c>
    </row>
    <row r="14" spans="2:8" x14ac:dyDescent="0.25">
      <c r="C14" s="1"/>
      <c r="F14" s="4" t="s">
        <v>72</v>
      </c>
    </row>
    <row r="15" spans="2:8" x14ac:dyDescent="0.25">
      <c r="B15" s="8" t="s">
        <v>8</v>
      </c>
      <c r="C15" s="4">
        <v>0.1</v>
      </c>
      <c r="D15" s="8" t="s">
        <v>10</v>
      </c>
      <c r="F15" s="12" t="s">
        <v>73</v>
      </c>
    </row>
    <row r="16" spans="2:8" x14ac:dyDescent="0.25">
      <c r="B16" s="8" t="s">
        <v>11</v>
      </c>
      <c r="C16" s="13">
        <f>1/(2*PI()*C13*(C15*1000000))*1000000000000</f>
        <v>11.61714913079528</v>
      </c>
      <c r="D16" s="15" t="s">
        <v>7</v>
      </c>
      <c r="F16" s="11" t="s">
        <v>74</v>
      </c>
    </row>
    <row r="17" spans="2:6" x14ac:dyDescent="0.25">
      <c r="B17" s="12" t="s">
        <v>12</v>
      </c>
      <c r="C17" s="12">
        <v>11</v>
      </c>
      <c r="D17" s="16" t="s">
        <v>7</v>
      </c>
    </row>
    <row r="18" spans="2:6" x14ac:dyDescent="0.25">
      <c r="D18" s="2"/>
    </row>
    <row r="19" spans="2:6" x14ac:dyDescent="0.25">
      <c r="B19" s="8" t="s">
        <v>13</v>
      </c>
      <c r="C19" s="4">
        <v>150</v>
      </c>
      <c r="D19" s="7" t="s">
        <v>7</v>
      </c>
    </row>
    <row r="20" spans="2:6" x14ac:dyDescent="0.25">
      <c r="B20" s="8" t="s">
        <v>15</v>
      </c>
      <c r="C20" s="8">
        <f>C19+G8+G9</f>
        <v>160.79999999999998</v>
      </c>
      <c r="D20" s="7" t="s">
        <v>7</v>
      </c>
    </row>
    <row r="21" spans="2:6" x14ac:dyDescent="0.25">
      <c r="B21" s="8" t="s">
        <v>16</v>
      </c>
      <c r="C21" s="18">
        <f>((C20+C17)/1000000000000)/(2*PI()*C13*(C17/1000000000000)^2)/1000000</f>
        <v>1.649443157579032</v>
      </c>
      <c r="D21" s="7" t="s">
        <v>9</v>
      </c>
    </row>
    <row r="22" spans="2:6" x14ac:dyDescent="0.25">
      <c r="F22" s="3"/>
    </row>
    <row r="23" spans="2:6" x14ac:dyDescent="0.25">
      <c r="B23" s="12" t="s">
        <v>43</v>
      </c>
      <c r="C23" s="12">
        <v>2000</v>
      </c>
      <c r="D23" s="12" t="s">
        <v>6</v>
      </c>
      <c r="F23" s="3"/>
    </row>
    <row r="24" spans="2:6" x14ac:dyDescent="0.25">
      <c r="B24" s="8" t="s">
        <v>23</v>
      </c>
      <c r="C24" s="8">
        <f>(C4-C6)/C6</f>
        <v>5</v>
      </c>
      <c r="D24" s="8" t="s">
        <v>20</v>
      </c>
      <c r="F24" s="3"/>
    </row>
    <row r="25" spans="2:6" x14ac:dyDescent="0.25">
      <c r="B25" s="8" t="s">
        <v>23</v>
      </c>
      <c r="C25" s="8">
        <f>C24*C23</f>
        <v>10000</v>
      </c>
      <c r="D25" s="8" t="s">
        <v>6</v>
      </c>
    </row>
    <row r="26" spans="2:6" x14ac:dyDescent="0.25">
      <c r="B26" s="12" t="s">
        <v>25</v>
      </c>
      <c r="C26" s="12">
        <v>10000</v>
      </c>
      <c r="D26" s="12" t="s">
        <v>6</v>
      </c>
    </row>
    <row r="27" spans="2:6" x14ac:dyDescent="0.25">
      <c r="B27" s="12" t="s">
        <v>0</v>
      </c>
      <c r="C27" s="12">
        <v>0.1</v>
      </c>
      <c r="D27" s="12" t="s">
        <v>26</v>
      </c>
    </row>
    <row r="28" spans="2:6" x14ac:dyDescent="0.25">
      <c r="B28" s="8" t="s">
        <v>28</v>
      </c>
      <c r="C28" s="13">
        <f>1/(1/C23+1/C26)</f>
        <v>1666.6666666666665</v>
      </c>
      <c r="D28" s="8" t="s">
        <v>6</v>
      </c>
    </row>
    <row r="29" spans="2:6" ht="18" x14ac:dyDescent="0.35">
      <c r="B29" s="8" t="s">
        <v>70</v>
      </c>
      <c r="C29" s="13">
        <f>1/(2*PI()*(C27/1000000)*C28)</f>
        <v>954.92965855137209</v>
      </c>
      <c r="D29" s="8" t="s">
        <v>29</v>
      </c>
    </row>
    <row r="30" spans="2:6" x14ac:dyDescent="0.25">
      <c r="C30" s="6"/>
    </row>
    <row r="31" spans="2:6" x14ac:dyDescent="0.25">
      <c r="B31" s="8" t="s">
        <v>52</v>
      </c>
      <c r="C31" s="21">
        <f>C4*C23/(C23+C26)</f>
        <v>0.5</v>
      </c>
      <c r="D31" s="8" t="s">
        <v>5</v>
      </c>
    </row>
    <row r="32" spans="2:6" x14ac:dyDescent="0.25">
      <c r="B32" s="9" t="s">
        <v>53</v>
      </c>
      <c r="C32" s="23">
        <f>C31-C5</f>
        <v>2.0500000000000018E-2</v>
      </c>
      <c r="D32" s="9" t="s">
        <v>5</v>
      </c>
    </row>
    <row r="33" spans="2:4" x14ac:dyDescent="0.25">
      <c r="B33" s="8" t="s">
        <v>54</v>
      </c>
      <c r="C33" s="21">
        <f>C4*C26/(C23+C26)</f>
        <v>2.5</v>
      </c>
      <c r="D33" s="8" t="s">
        <v>5</v>
      </c>
    </row>
    <row r="34" spans="2:4" x14ac:dyDescent="0.25">
      <c r="B34" s="9" t="s">
        <v>53</v>
      </c>
      <c r="C34" s="23">
        <f>C33+(C4-C7)</f>
        <v>2.9794999999999998</v>
      </c>
      <c r="D34" s="9" t="s">
        <v>5</v>
      </c>
    </row>
    <row r="35" spans="2:4" x14ac:dyDescent="0.25">
      <c r="B35" s="8" t="s">
        <v>46</v>
      </c>
      <c r="C35" s="13">
        <f>3/32768*1000000</f>
        <v>91.552734375</v>
      </c>
      <c r="D35" s="8" t="s">
        <v>50</v>
      </c>
    </row>
    <row r="36" spans="2:4" x14ac:dyDescent="0.25">
      <c r="B36" s="8" t="s">
        <v>47</v>
      </c>
      <c r="C36" s="22">
        <f>C35/C13</f>
        <v>6.6826813412408756E-4</v>
      </c>
      <c r="D36" s="8" t="s">
        <v>48</v>
      </c>
    </row>
    <row r="37" spans="2:4" ht="17.25" x14ac:dyDescent="0.25">
      <c r="B37" s="11" t="s">
        <v>71</v>
      </c>
      <c r="C37" s="25">
        <f>C36/C9</f>
        <v>4.7733438151720542E-2</v>
      </c>
      <c r="D37" s="11" t="s">
        <v>49</v>
      </c>
    </row>
    <row r="38" spans="2:4" x14ac:dyDescent="0.25">
      <c r="B38" s="7" t="s">
        <v>58</v>
      </c>
      <c r="C38" s="8">
        <f>27*G10/1000</f>
        <v>1.35E-2</v>
      </c>
      <c r="D38" s="8" t="s">
        <v>35</v>
      </c>
    </row>
    <row r="39" spans="2:4" ht="17.25" x14ac:dyDescent="0.25">
      <c r="B39" s="11" t="s">
        <v>58</v>
      </c>
      <c r="C39" s="25">
        <f>C38/C9</f>
        <v>0.9642857142857143</v>
      </c>
      <c r="D39" s="11" t="s">
        <v>49</v>
      </c>
    </row>
    <row r="40" spans="2:4" x14ac:dyDescent="0.25">
      <c r="B40" s="7" t="s">
        <v>57</v>
      </c>
      <c r="C40" s="8">
        <f>27*G11/1000</f>
        <v>0.40500000000000003</v>
      </c>
      <c r="D40" s="8" t="s">
        <v>50</v>
      </c>
    </row>
    <row r="41" spans="2:4" ht="17.25" x14ac:dyDescent="0.25">
      <c r="B41" s="11" t="s">
        <v>58</v>
      </c>
      <c r="C41" s="25">
        <f>C40/C9</f>
        <v>28.928571428571431</v>
      </c>
      <c r="D41" s="11" t="s">
        <v>49</v>
      </c>
    </row>
  </sheetData>
  <mergeCells count="2">
    <mergeCell ref="F4:H4"/>
    <mergeCell ref="F5:H5"/>
  </mergeCells>
  <hyperlinks>
    <hyperlink ref="F5" r:id="rId1"/>
    <hyperlink ref="B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workbookViewId="0">
      <selection activeCell="B1" sqref="B1:B1048576"/>
    </sheetView>
  </sheetViews>
  <sheetFormatPr defaultRowHeight="15" x14ac:dyDescent="0.25"/>
  <cols>
    <col min="3" max="3" width="35.5703125" customWidth="1"/>
    <col min="7" max="7" width="35.5703125" customWidth="1"/>
  </cols>
  <sheetData>
    <row r="3" spans="3:9" x14ac:dyDescent="0.25">
      <c r="C3" s="26" t="s">
        <v>38</v>
      </c>
      <c r="D3" s="27"/>
      <c r="E3" s="28"/>
      <c r="G3" s="26" t="s">
        <v>60</v>
      </c>
      <c r="H3" s="27"/>
      <c r="I3" s="28"/>
    </row>
    <row r="4" spans="3:9" x14ac:dyDescent="0.25">
      <c r="C4" s="29" t="s">
        <v>44</v>
      </c>
      <c r="D4" s="30"/>
      <c r="E4" s="30"/>
      <c r="G4" s="29" t="s">
        <v>67</v>
      </c>
      <c r="H4" s="29"/>
      <c r="I4" s="29"/>
    </row>
    <row r="5" spans="3:9" x14ac:dyDescent="0.25">
      <c r="C5" s="8" t="s">
        <v>65</v>
      </c>
      <c r="D5" s="4">
        <v>-2.5</v>
      </c>
      <c r="E5" s="8" t="s">
        <v>35</v>
      </c>
      <c r="G5" s="8" t="s">
        <v>65</v>
      </c>
      <c r="H5" s="4"/>
      <c r="I5" s="8" t="s">
        <v>35</v>
      </c>
    </row>
    <row r="6" spans="3:9" x14ac:dyDescent="0.25">
      <c r="C6" s="8" t="s">
        <v>66</v>
      </c>
      <c r="D6" s="4">
        <v>2.5</v>
      </c>
      <c r="E6" s="8" t="s">
        <v>35</v>
      </c>
      <c r="G6" s="8" t="s">
        <v>66</v>
      </c>
      <c r="H6" s="4">
        <v>40</v>
      </c>
      <c r="I6" s="8" t="s">
        <v>35</v>
      </c>
    </row>
    <row r="7" spans="3:9" x14ac:dyDescent="0.25">
      <c r="C7" s="8" t="s">
        <v>63</v>
      </c>
      <c r="D7" s="4">
        <v>-3.5</v>
      </c>
      <c r="E7" s="8" t="s">
        <v>35</v>
      </c>
      <c r="G7" s="8" t="s">
        <v>63</v>
      </c>
      <c r="H7" s="4"/>
      <c r="I7" s="8" t="s">
        <v>35</v>
      </c>
    </row>
    <row r="8" spans="3:9" x14ac:dyDescent="0.25">
      <c r="C8" s="8" t="s">
        <v>64</v>
      </c>
      <c r="D8" s="4">
        <v>3.5</v>
      </c>
      <c r="E8" s="8" t="s">
        <v>35</v>
      </c>
      <c r="G8" s="8" t="s">
        <v>64</v>
      </c>
      <c r="H8" s="4">
        <v>150</v>
      </c>
      <c r="I8" s="8" t="s">
        <v>35</v>
      </c>
    </row>
    <row r="9" spans="3:9" x14ac:dyDescent="0.25">
      <c r="C9" s="8" t="s">
        <v>39</v>
      </c>
      <c r="D9" s="4">
        <v>5.2</v>
      </c>
      <c r="E9" s="17" t="s">
        <v>7</v>
      </c>
      <c r="G9" s="8" t="s">
        <v>39</v>
      </c>
      <c r="H9" s="4">
        <v>5</v>
      </c>
      <c r="I9" s="17" t="s">
        <v>7</v>
      </c>
    </row>
    <row r="10" spans="3:9" x14ac:dyDescent="0.25">
      <c r="C10" s="8" t="s">
        <v>40</v>
      </c>
      <c r="D10" s="4">
        <v>5.6</v>
      </c>
      <c r="E10" s="17" t="s">
        <v>7</v>
      </c>
      <c r="G10" s="8" t="s">
        <v>40</v>
      </c>
      <c r="H10" s="4">
        <v>4</v>
      </c>
      <c r="I10" s="17" t="s">
        <v>7</v>
      </c>
    </row>
    <row r="11" spans="3:9" x14ac:dyDescent="0.25">
      <c r="C11" s="7" t="s">
        <v>59</v>
      </c>
      <c r="D11" s="4">
        <v>0.5</v>
      </c>
      <c r="E11" s="8" t="s">
        <v>55</v>
      </c>
      <c r="G11" s="7" t="s">
        <v>59</v>
      </c>
      <c r="H11" s="4">
        <v>1500</v>
      </c>
      <c r="I11" s="8" t="s">
        <v>55</v>
      </c>
    </row>
    <row r="12" spans="3:9" x14ac:dyDescent="0.25">
      <c r="C12" s="7" t="s">
        <v>56</v>
      </c>
      <c r="D12" s="4">
        <v>15</v>
      </c>
      <c r="E12" s="8" t="s">
        <v>55</v>
      </c>
      <c r="G12" s="7" t="s">
        <v>56</v>
      </c>
      <c r="H12" s="4">
        <v>5000</v>
      </c>
      <c r="I12" s="8" t="s">
        <v>55</v>
      </c>
    </row>
    <row r="13" spans="3:9" x14ac:dyDescent="0.25">
      <c r="C13" s="7" t="s">
        <v>68</v>
      </c>
      <c r="D13" s="24">
        <v>3.11</v>
      </c>
      <c r="E13" s="8"/>
      <c r="G13" s="7" t="s">
        <v>68</v>
      </c>
      <c r="H13" s="24">
        <v>2.6</v>
      </c>
      <c r="I13" s="8"/>
    </row>
  </sheetData>
  <mergeCells count="4">
    <mergeCell ref="C3:E3"/>
    <mergeCell ref="C4:E4"/>
    <mergeCell ref="G3:I3"/>
    <mergeCell ref="G4:I4"/>
  </mergeCells>
  <hyperlinks>
    <hyperlink ref="C4" r:id="rId1"/>
    <hyperlink ref="G4" r:id="rId2" display="ISL28134 Datasheet"/>
    <hyperlink ref="G4:I4" r:id="rId3" display="OPA320 Datashee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7"/>
  <sheetViews>
    <sheetView workbookViewId="0">
      <selection activeCell="I47" sqref="I47"/>
    </sheetView>
  </sheetViews>
  <sheetFormatPr defaultRowHeight="15" x14ac:dyDescent="0.25"/>
  <cols>
    <col min="6" max="6" width="12.7109375" customWidth="1"/>
  </cols>
  <sheetData>
    <row r="3" spans="4:6" x14ac:dyDescent="0.25">
      <c r="D3" s="8">
        <v>10</v>
      </c>
      <c r="E3">
        <f>D3*5</f>
        <v>50</v>
      </c>
      <c r="F3" t="e">
        <f>VLOOKUP(E3,$D$3:$D$97,1,FALSE)</f>
        <v>#N/A</v>
      </c>
    </row>
    <row r="4" spans="4:6" x14ac:dyDescent="0.25">
      <c r="D4" s="8">
        <v>10.199999999999999</v>
      </c>
      <c r="E4">
        <f t="shared" ref="E4:E31" si="0">D4*5</f>
        <v>51</v>
      </c>
      <c r="F4" t="e">
        <f t="shared" ref="F4:F67" si="1">VLOOKUP(E4,$D$3:$D$97,1,FALSE)</f>
        <v>#N/A</v>
      </c>
    </row>
    <row r="5" spans="4:6" x14ac:dyDescent="0.25">
      <c r="D5" s="8">
        <v>10.5</v>
      </c>
      <c r="E5">
        <f t="shared" si="0"/>
        <v>52.5</v>
      </c>
      <c r="F5" t="e">
        <f t="shared" si="1"/>
        <v>#N/A</v>
      </c>
    </row>
    <row r="6" spans="4:6" x14ac:dyDescent="0.25">
      <c r="D6" s="8">
        <v>10.7</v>
      </c>
      <c r="E6">
        <f t="shared" si="0"/>
        <v>53.5</v>
      </c>
      <c r="F6" t="e">
        <f t="shared" si="1"/>
        <v>#N/A</v>
      </c>
    </row>
    <row r="7" spans="4:6" x14ac:dyDescent="0.25">
      <c r="D7" s="8">
        <v>11</v>
      </c>
      <c r="E7">
        <f t="shared" si="0"/>
        <v>55</v>
      </c>
      <c r="F7" t="e">
        <f t="shared" si="1"/>
        <v>#N/A</v>
      </c>
    </row>
    <row r="8" spans="4:6" x14ac:dyDescent="0.25">
      <c r="D8" s="8">
        <v>11.3</v>
      </c>
      <c r="E8">
        <f t="shared" si="0"/>
        <v>56.5</v>
      </c>
      <c r="F8" t="e">
        <f t="shared" si="1"/>
        <v>#N/A</v>
      </c>
    </row>
    <row r="9" spans="4:6" x14ac:dyDescent="0.25">
      <c r="D9" s="8">
        <v>11.5</v>
      </c>
      <c r="E9">
        <f t="shared" si="0"/>
        <v>57.5</v>
      </c>
      <c r="F9" t="e">
        <f t="shared" si="1"/>
        <v>#N/A</v>
      </c>
    </row>
    <row r="10" spans="4:6" x14ac:dyDescent="0.25">
      <c r="D10" s="8">
        <v>11.8</v>
      </c>
      <c r="E10">
        <f t="shared" si="0"/>
        <v>59</v>
      </c>
      <c r="F10">
        <f t="shared" si="1"/>
        <v>59</v>
      </c>
    </row>
    <row r="11" spans="4:6" x14ac:dyDescent="0.25">
      <c r="D11" s="8">
        <v>12.1</v>
      </c>
      <c r="E11">
        <f t="shared" si="0"/>
        <v>60.5</v>
      </c>
      <c r="F11" t="e">
        <f t="shared" si="1"/>
        <v>#N/A</v>
      </c>
    </row>
    <row r="12" spans="4:6" x14ac:dyDescent="0.25">
      <c r="D12" s="8">
        <v>12.4</v>
      </c>
      <c r="E12">
        <f t="shared" si="0"/>
        <v>62</v>
      </c>
      <c r="F12" t="e">
        <f t="shared" si="1"/>
        <v>#N/A</v>
      </c>
    </row>
    <row r="13" spans="4:6" x14ac:dyDescent="0.25">
      <c r="D13" s="8">
        <v>12.7</v>
      </c>
      <c r="E13">
        <f t="shared" si="0"/>
        <v>63.5</v>
      </c>
      <c r="F13" t="e">
        <f t="shared" si="1"/>
        <v>#N/A</v>
      </c>
    </row>
    <row r="14" spans="4:6" x14ac:dyDescent="0.25">
      <c r="D14" s="8">
        <v>13</v>
      </c>
      <c r="E14">
        <f t="shared" si="0"/>
        <v>65</v>
      </c>
      <c r="F14" t="e">
        <f t="shared" si="1"/>
        <v>#N/A</v>
      </c>
    </row>
    <row r="15" spans="4:6" x14ac:dyDescent="0.25">
      <c r="D15" s="8">
        <v>13.3</v>
      </c>
      <c r="E15">
        <f t="shared" si="0"/>
        <v>66.5</v>
      </c>
      <c r="F15" t="e">
        <f t="shared" si="1"/>
        <v>#N/A</v>
      </c>
    </row>
    <row r="16" spans="4:6" x14ac:dyDescent="0.25">
      <c r="D16" s="8">
        <v>13.7</v>
      </c>
      <c r="E16">
        <f t="shared" si="0"/>
        <v>68.5</v>
      </c>
      <c r="F16" t="e">
        <f t="shared" si="1"/>
        <v>#N/A</v>
      </c>
    </row>
    <row r="17" spans="4:6" x14ac:dyDescent="0.25">
      <c r="D17" s="8">
        <v>14</v>
      </c>
      <c r="E17">
        <f t="shared" si="0"/>
        <v>70</v>
      </c>
      <c r="F17" t="e">
        <f t="shared" si="1"/>
        <v>#N/A</v>
      </c>
    </row>
    <row r="18" spans="4:6" x14ac:dyDescent="0.25">
      <c r="D18" s="8">
        <v>14.3</v>
      </c>
      <c r="E18">
        <f t="shared" si="0"/>
        <v>71.5</v>
      </c>
      <c r="F18">
        <f t="shared" si="1"/>
        <v>71.5</v>
      </c>
    </row>
    <row r="19" spans="4:6" x14ac:dyDescent="0.25">
      <c r="D19" s="8">
        <v>14.7</v>
      </c>
      <c r="E19">
        <f t="shared" si="0"/>
        <v>73.5</v>
      </c>
      <c r="F19" t="e">
        <f t="shared" si="1"/>
        <v>#N/A</v>
      </c>
    </row>
    <row r="20" spans="4:6" x14ac:dyDescent="0.25">
      <c r="D20" s="8">
        <v>15</v>
      </c>
      <c r="E20">
        <f t="shared" si="0"/>
        <v>75</v>
      </c>
      <c r="F20">
        <f t="shared" si="1"/>
        <v>75</v>
      </c>
    </row>
    <row r="21" spans="4:6" x14ac:dyDescent="0.25">
      <c r="D21" s="8">
        <v>15.4</v>
      </c>
      <c r="E21">
        <f t="shared" si="0"/>
        <v>77</v>
      </c>
      <c r="F21" t="e">
        <f t="shared" si="1"/>
        <v>#N/A</v>
      </c>
    </row>
    <row r="22" spans="4:6" x14ac:dyDescent="0.25">
      <c r="D22" s="8">
        <v>15.8</v>
      </c>
      <c r="E22">
        <f t="shared" si="0"/>
        <v>79</v>
      </c>
      <c r="F22" t="e">
        <f t="shared" si="1"/>
        <v>#N/A</v>
      </c>
    </row>
    <row r="23" spans="4:6" x14ac:dyDescent="0.25">
      <c r="D23" s="8">
        <v>16.2</v>
      </c>
      <c r="E23">
        <f t="shared" si="0"/>
        <v>81</v>
      </c>
      <c r="F23" t="e">
        <f t="shared" si="1"/>
        <v>#N/A</v>
      </c>
    </row>
    <row r="24" spans="4:6" x14ac:dyDescent="0.25">
      <c r="D24" s="8">
        <v>16.5</v>
      </c>
      <c r="E24">
        <f t="shared" si="0"/>
        <v>82.5</v>
      </c>
      <c r="F24">
        <f t="shared" si="1"/>
        <v>82.5</v>
      </c>
    </row>
    <row r="25" spans="4:6" x14ac:dyDescent="0.25">
      <c r="D25" s="8">
        <v>16.899999999999999</v>
      </c>
      <c r="E25">
        <f>D25*5</f>
        <v>84.5</v>
      </c>
      <c r="F25">
        <f t="shared" si="1"/>
        <v>84.5</v>
      </c>
    </row>
    <row r="26" spans="4:6" x14ac:dyDescent="0.25">
      <c r="D26" s="8">
        <v>17.399999999999999</v>
      </c>
      <c r="E26">
        <f t="shared" si="0"/>
        <v>87</v>
      </c>
      <c r="F26" t="e">
        <f t="shared" si="1"/>
        <v>#N/A</v>
      </c>
    </row>
    <row r="27" spans="4:6" x14ac:dyDescent="0.25">
      <c r="D27" s="8">
        <v>17.8</v>
      </c>
      <c r="E27">
        <f t="shared" si="0"/>
        <v>89</v>
      </c>
      <c r="F27" t="e">
        <f t="shared" si="1"/>
        <v>#N/A</v>
      </c>
    </row>
    <row r="28" spans="4:6" x14ac:dyDescent="0.25">
      <c r="D28" s="8">
        <v>18.2</v>
      </c>
      <c r="E28">
        <f t="shared" si="0"/>
        <v>91</v>
      </c>
      <c r="F28" t="e">
        <f t="shared" si="1"/>
        <v>#N/A</v>
      </c>
    </row>
    <row r="29" spans="4:6" x14ac:dyDescent="0.25">
      <c r="D29" s="8">
        <v>18.7</v>
      </c>
      <c r="E29">
        <f t="shared" si="0"/>
        <v>93.5</v>
      </c>
      <c r="F29" t="e">
        <f t="shared" si="1"/>
        <v>#N/A</v>
      </c>
    </row>
    <row r="30" spans="4:6" x14ac:dyDescent="0.25">
      <c r="D30" s="8">
        <v>19.100000000000001</v>
      </c>
      <c r="E30">
        <f t="shared" si="0"/>
        <v>95.5</v>
      </c>
      <c r="F30" t="e">
        <f t="shared" si="1"/>
        <v>#N/A</v>
      </c>
    </row>
    <row r="31" spans="4:6" x14ac:dyDescent="0.25">
      <c r="D31" s="8">
        <v>19.600000000000001</v>
      </c>
      <c r="E31">
        <f t="shared" si="0"/>
        <v>98</v>
      </c>
      <c r="F31" t="e">
        <f t="shared" si="1"/>
        <v>#N/A</v>
      </c>
    </row>
    <row r="32" spans="4:6" x14ac:dyDescent="0.25">
      <c r="D32" s="8">
        <v>20</v>
      </c>
      <c r="E32">
        <f>D32*5/10</f>
        <v>10</v>
      </c>
      <c r="F32">
        <f t="shared" si="1"/>
        <v>10</v>
      </c>
    </row>
    <row r="33" spans="4:6" x14ac:dyDescent="0.25">
      <c r="D33" s="8">
        <v>20.399999999999999</v>
      </c>
      <c r="E33">
        <f t="shared" ref="E33:E96" si="2">D33*5/10</f>
        <v>10.199999999999999</v>
      </c>
      <c r="F33">
        <f t="shared" si="1"/>
        <v>10.199999999999999</v>
      </c>
    </row>
    <row r="34" spans="4:6" x14ac:dyDescent="0.25">
      <c r="D34" s="8">
        <v>21</v>
      </c>
      <c r="E34">
        <f t="shared" si="2"/>
        <v>10.5</v>
      </c>
      <c r="F34">
        <f t="shared" si="1"/>
        <v>10.5</v>
      </c>
    </row>
    <row r="35" spans="4:6" x14ac:dyDescent="0.25">
      <c r="D35" s="8">
        <v>21.5</v>
      </c>
      <c r="E35">
        <f t="shared" si="2"/>
        <v>10.75</v>
      </c>
      <c r="F35" t="e">
        <f t="shared" si="1"/>
        <v>#N/A</v>
      </c>
    </row>
    <row r="36" spans="4:6" x14ac:dyDescent="0.25">
      <c r="D36" s="8">
        <v>22.1</v>
      </c>
      <c r="E36">
        <f t="shared" si="2"/>
        <v>11.05</v>
      </c>
      <c r="F36" t="e">
        <f t="shared" si="1"/>
        <v>#N/A</v>
      </c>
    </row>
    <row r="37" spans="4:6" x14ac:dyDescent="0.25">
      <c r="D37" s="8">
        <v>22.6</v>
      </c>
      <c r="E37">
        <f>D37*5/10</f>
        <v>11.3</v>
      </c>
      <c r="F37">
        <f t="shared" si="1"/>
        <v>11.3</v>
      </c>
    </row>
    <row r="38" spans="4:6" x14ac:dyDescent="0.25">
      <c r="D38" s="8">
        <v>23.2</v>
      </c>
      <c r="E38">
        <f t="shared" si="2"/>
        <v>11.6</v>
      </c>
      <c r="F38" t="e">
        <f t="shared" si="1"/>
        <v>#N/A</v>
      </c>
    </row>
    <row r="39" spans="4:6" x14ac:dyDescent="0.25">
      <c r="D39" s="8">
        <v>23.7</v>
      </c>
      <c r="E39">
        <f t="shared" si="2"/>
        <v>11.85</v>
      </c>
      <c r="F39" t="e">
        <f t="shared" si="1"/>
        <v>#N/A</v>
      </c>
    </row>
    <row r="40" spans="4:6" x14ac:dyDescent="0.25">
      <c r="D40" s="8">
        <v>24.3</v>
      </c>
      <c r="E40">
        <f t="shared" si="2"/>
        <v>12.15</v>
      </c>
      <c r="F40" t="e">
        <f t="shared" si="1"/>
        <v>#N/A</v>
      </c>
    </row>
    <row r="41" spans="4:6" x14ac:dyDescent="0.25">
      <c r="D41" s="8">
        <v>24.9</v>
      </c>
      <c r="E41">
        <f t="shared" si="2"/>
        <v>12.45</v>
      </c>
      <c r="F41" t="e">
        <f t="shared" si="1"/>
        <v>#N/A</v>
      </c>
    </row>
    <row r="42" spans="4:6" x14ac:dyDescent="0.25">
      <c r="D42" s="8">
        <v>25.5</v>
      </c>
      <c r="E42">
        <f t="shared" si="2"/>
        <v>12.75</v>
      </c>
      <c r="F42" t="e">
        <f t="shared" si="1"/>
        <v>#N/A</v>
      </c>
    </row>
    <row r="43" spans="4:6" x14ac:dyDescent="0.25">
      <c r="D43" s="8">
        <v>26.1</v>
      </c>
      <c r="E43">
        <f t="shared" si="2"/>
        <v>13.05</v>
      </c>
      <c r="F43" t="e">
        <f t="shared" si="1"/>
        <v>#N/A</v>
      </c>
    </row>
    <row r="44" spans="4:6" x14ac:dyDescent="0.25">
      <c r="D44" s="8">
        <v>26.7</v>
      </c>
      <c r="E44">
        <f t="shared" si="2"/>
        <v>13.35</v>
      </c>
      <c r="F44" t="e">
        <f t="shared" si="1"/>
        <v>#N/A</v>
      </c>
    </row>
    <row r="45" spans="4:6" x14ac:dyDescent="0.25">
      <c r="D45" s="8">
        <v>27.4</v>
      </c>
      <c r="E45">
        <f t="shared" si="2"/>
        <v>13.7</v>
      </c>
      <c r="F45">
        <f t="shared" si="1"/>
        <v>13.7</v>
      </c>
    </row>
    <row r="46" spans="4:6" x14ac:dyDescent="0.25">
      <c r="D46" s="8">
        <v>28</v>
      </c>
      <c r="E46">
        <f t="shared" si="2"/>
        <v>14</v>
      </c>
      <c r="F46">
        <f t="shared" si="1"/>
        <v>14</v>
      </c>
    </row>
    <row r="47" spans="4:6" x14ac:dyDescent="0.25">
      <c r="D47" s="8">
        <v>28.7</v>
      </c>
      <c r="E47">
        <f t="shared" si="2"/>
        <v>14.35</v>
      </c>
      <c r="F47" t="e">
        <f t="shared" si="1"/>
        <v>#N/A</v>
      </c>
    </row>
    <row r="48" spans="4:6" x14ac:dyDescent="0.25">
      <c r="D48" s="8">
        <v>29.4</v>
      </c>
      <c r="E48">
        <f>D48*5/10</f>
        <v>14.7</v>
      </c>
      <c r="F48">
        <f t="shared" si="1"/>
        <v>14.7</v>
      </c>
    </row>
    <row r="49" spans="4:6" x14ac:dyDescent="0.25">
      <c r="D49" s="8">
        <v>30.1</v>
      </c>
      <c r="E49">
        <f t="shared" si="2"/>
        <v>15.05</v>
      </c>
      <c r="F49" t="e">
        <f t="shared" si="1"/>
        <v>#N/A</v>
      </c>
    </row>
    <row r="50" spans="4:6" x14ac:dyDescent="0.25">
      <c r="D50" s="8">
        <v>30.9</v>
      </c>
      <c r="E50">
        <f t="shared" si="2"/>
        <v>15.45</v>
      </c>
      <c r="F50" t="e">
        <f t="shared" si="1"/>
        <v>#N/A</v>
      </c>
    </row>
    <row r="51" spans="4:6" x14ac:dyDescent="0.25">
      <c r="D51" s="8">
        <v>31.6</v>
      </c>
      <c r="E51">
        <f t="shared" si="2"/>
        <v>15.8</v>
      </c>
      <c r="F51">
        <f t="shared" si="1"/>
        <v>15.8</v>
      </c>
    </row>
    <row r="52" spans="4:6" x14ac:dyDescent="0.25">
      <c r="D52" s="8">
        <v>32.4</v>
      </c>
      <c r="E52">
        <f t="shared" si="2"/>
        <v>16.2</v>
      </c>
      <c r="F52">
        <f t="shared" si="1"/>
        <v>16.2</v>
      </c>
    </row>
    <row r="53" spans="4:6" x14ac:dyDescent="0.25">
      <c r="D53" s="8">
        <v>33.200000000000003</v>
      </c>
      <c r="E53">
        <f t="shared" si="2"/>
        <v>16.600000000000001</v>
      </c>
      <c r="F53" t="e">
        <f t="shared" si="1"/>
        <v>#N/A</v>
      </c>
    </row>
    <row r="54" spans="4:6" x14ac:dyDescent="0.25">
      <c r="D54" s="8">
        <v>34</v>
      </c>
      <c r="E54">
        <f t="shared" si="2"/>
        <v>17</v>
      </c>
      <c r="F54" t="e">
        <f t="shared" si="1"/>
        <v>#N/A</v>
      </c>
    </row>
    <row r="55" spans="4:6" x14ac:dyDescent="0.25">
      <c r="D55" s="8">
        <v>34.799999999999997</v>
      </c>
      <c r="E55">
        <f t="shared" si="2"/>
        <v>17.399999999999999</v>
      </c>
      <c r="F55">
        <f t="shared" si="1"/>
        <v>17.399999999999999</v>
      </c>
    </row>
    <row r="56" spans="4:6" x14ac:dyDescent="0.25">
      <c r="D56" s="8">
        <v>35.700000000000003</v>
      </c>
      <c r="E56">
        <f t="shared" si="2"/>
        <v>17.850000000000001</v>
      </c>
      <c r="F56" t="e">
        <f t="shared" si="1"/>
        <v>#N/A</v>
      </c>
    </row>
    <row r="57" spans="4:6" x14ac:dyDescent="0.25">
      <c r="D57" s="8">
        <v>36.5</v>
      </c>
      <c r="E57">
        <f t="shared" si="2"/>
        <v>18.25</v>
      </c>
      <c r="F57" t="e">
        <f t="shared" si="1"/>
        <v>#N/A</v>
      </c>
    </row>
    <row r="58" spans="4:6" x14ac:dyDescent="0.25">
      <c r="D58" s="8">
        <v>37.4</v>
      </c>
      <c r="E58">
        <f t="shared" si="2"/>
        <v>18.7</v>
      </c>
      <c r="F58">
        <f t="shared" si="1"/>
        <v>18.7</v>
      </c>
    </row>
    <row r="59" spans="4:6" x14ac:dyDescent="0.25">
      <c r="D59" s="8">
        <v>38.299999999999997</v>
      </c>
      <c r="E59">
        <f t="shared" si="2"/>
        <v>19.149999999999999</v>
      </c>
      <c r="F59" t="e">
        <f t="shared" si="1"/>
        <v>#N/A</v>
      </c>
    </row>
    <row r="60" spans="4:6" x14ac:dyDescent="0.25">
      <c r="D60" s="8">
        <v>39.200000000000003</v>
      </c>
      <c r="E60">
        <f t="shared" si="2"/>
        <v>19.600000000000001</v>
      </c>
      <c r="F60">
        <f t="shared" si="1"/>
        <v>19.600000000000001</v>
      </c>
    </row>
    <row r="61" spans="4:6" x14ac:dyDescent="0.25">
      <c r="D61" s="8">
        <v>40.200000000000003</v>
      </c>
      <c r="E61">
        <f t="shared" si="2"/>
        <v>20.100000000000001</v>
      </c>
      <c r="F61" t="e">
        <f t="shared" si="1"/>
        <v>#N/A</v>
      </c>
    </row>
    <row r="62" spans="4:6" x14ac:dyDescent="0.25">
      <c r="D62" s="8">
        <v>41.2</v>
      </c>
      <c r="E62">
        <f>D62*5/10</f>
        <v>20.6</v>
      </c>
      <c r="F62" t="e">
        <f t="shared" si="1"/>
        <v>#N/A</v>
      </c>
    </row>
    <row r="63" spans="4:6" x14ac:dyDescent="0.25">
      <c r="D63" s="8">
        <v>42.2</v>
      </c>
      <c r="E63">
        <f t="shared" si="2"/>
        <v>21.1</v>
      </c>
      <c r="F63" t="e">
        <f t="shared" si="1"/>
        <v>#N/A</v>
      </c>
    </row>
    <row r="64" spans="4:6" x14ac:dyDescent="0.25">
      <c r="D64" s="8">
        <v>43.2</v>
      </c>
      <c r="E64">
        <f t="shared" si="2"/>
        <v>21.6</v>
      </c>
      <c r="F64" t="e">
        <f t="shared" si="1"/>
        <v>#N/A</v>
      </c>
    </row>
    <row r="65" spans="4:6" x14ac:dyDescent="0.25">
      <c r="D65" s="8">
        <v>44.2</v>
      </c>
      <c r="E65">
        <f t="shared" si="2"/>
        <v>22.1</v>
      </c>
      <c r="F65">
        <f t="shared" si="1"/>
        <v>22.1</v>
      </c>
    </row>
    <row r="66" spans="4:6" x14ac:dyDescent="0.25">
      <c r="D66" s="8">
        <v>45.3</v>
      </c>
      <c r="E66">
        <f t="shared" si="2"/>
        <v>22.65</v>
      </c>
      <c r="F66" t="e">
        <f t="shared" si="1"/>
        <v>#N/A</v>
      </c>
    </row>
    <row r="67" spans="4:6" x14ac:dyDescent="0.25">
      <c r="D67" s="8">
        <v>46.4</v>
      </c>
      <c r="E67">
        <f t="shared" si="2"/>
        <v>23.2</v>
      </c>
      <c r="F67">
        <f t="shared" si="1"/>
        <v>23.2</v>
      </c>
    </row>
    <row r="68" spans="4:6" x14ac:dyDescent="0.25">
      <c r="D68" s="8">
        <v>47.5</v>
      </c>
      <c r="E68">
        <f t="shared" si="2"/>
        <v>23.75</v>
      </c>
      <c r="F68" t="e">
        <f t="shared" ref="F68:F97" si="3">VLOOKUP(E68,$D$3:$D$97,1,FALSE)</f>
        <v>#N/A</v>
      </c>
    </row>
    <row r="69" spans="4:6" x14ac:dyDescent="0.25">
      <c r="D69" s="8">
        <v>48.7</v>
      </c>
      <c r="E69">
        <f t="shared" si="2"/>
        <v>24.35</v>
      </c>
      <c r="F69" t="e">
        <f t="shared" si="3"/>
        <v>#N/A</v>
      </c>
    </row>
    <row r="70" spans="4:6" x14ac:dyDescent="0.25">
      <c r="D70" s="8">
        <v>49.9</v>
      </c>
      <c r="E70">
        <f t="shared" si="2"/>
        <v>24.95</v>
      </c>
      <c r="F70" t="e">
        <f t="shared" si="3"/>
        <v>#N/A</v>
      </c>
    </row>
    <row r="71" spans="4:6" x14ac:dyDescent="0.25">
      <c r="D71" s="8">
        <v>51.1</v>
      </c>
      <c r="E71">
        <f t="shared" si="2"/>
        <v>25.55</v>
      </c>
      <c r="F71" t="e">
        <f t="shared" si="3"/>
        <v>#N/A</v>
      </c>
    </row>
    <row r="72" spans="4:6" x14ac:dyDescent="0.25">
      <c r="D72" s="8">
        <v>52.3</v>
      </c>
      <c r="E72">
        <f t="shared" si="2"/>
        <v>26.15</v>
      </c>
      <c r="F72" t="e">
        <f t="shared" si="3"/>
        <v>#N/A</v>
      </c>
    </row>
    <row r="73" spans="4:6" x14ac:dyDescent="0.25">
      <c r="D73" s="8">
        <v>53.6</v>
      </c>
      <c r="E73">
        <f t="shared" si="2"/>
        <v>26.8</v>
      </c>
      <c r="F73" t="e">
        <f t="shared" si="3"/>
        <v>#N/A</v>
      </c>
    </row>
    <row r="74" spans="4:6" x14ac:dyDescent="0.25">
      <c r="D74" s="8">
        <v>54.9</v>
      </c>
      <c r="E74">
        <f t="shared" si="2"/>
        <v>27.45</v>
      </c>
      <c r="F74" t="e">
        <f t="shared" si="3"/>
        <v>#N/A</v>
      </c>
    </row>
    <row r="75" spans="4:6" x14ac:dyDescent="0.25">
      <c r="D75" s="8">
        <v>56.2</v>
      </c>
      <c r="E75">
        <f t="shared" si="2"/>
        <v>28.1</v>
      </c>
      <c r="F75" t="e">
        <f t="shared" si="3"/>
        <v>#N/A</v>
      </c>
    </row>
    <row r="76" spans="4:6" x14ac:dyDescent="0.25">
      <c r="D76" s="8">
        <v>57.6</v>
      </c>
      <c r="E76">
        <f t="shared" si="2"/>
        <v>28.8</v>
      </c>
      <c r="F76" t="e">
        <f t="shared" si="3"/>
        <v>#N/A</v>
      </c>
    </row>
    <row r="77" spans="4:6" x14ac:dyDescent="0.25">
      <c r="D77" s="8">
        <v>59</v>
      </c>
      <c r="E77">
        <f t="shared" si="2"/>
        <v>29.5</v>
      </c>
      <c r="F77" t="e">
        <f t="shared" si="3"/>
        <v>#N/A</v>
      </c>
    </row>
    <row r="78" spans="4:6" x14ac:dyDescent="0.25">
      <c r="D78" s="8">
        <v>60.4</v>
      </c>
      <c r="E78">
        <f>D78*5/10</f>
        <v>30.2</v>
      </c>
      <c r="F78" t="e">
        <f t="shared" si="3"/>
        <v>#N/A</v>
      </c>
    </row>
    <row r="79" spans="4:6" x14ac:dyDescent="0.25">
      <c r="D79" s="8">
        <v>61.9</v>
      </c>
      <c r="E79">
        <f t="shared" si="2"/>
        <v>30.95</v>
      </c>
      <c r="F79" t="e">
        <f t="shared" si="3"/>
        <v>#N/A</v>
      </c>
    </row>
    <row r="80" spans="4:6" x14ac:dyDescent="0.25">
      <c r="D80" s="8">
        <v>64.900000000000006</v>
      </c>
      <c r="E80">
        <f t="shared" si="2"/>
        <v>32.450000000000003</v>
      </c>
      <c r="F80" t="e">
        <f t="shared" si="3"/>
        <v>#N/A</v>
      </c>
    </row>
    <row r="81" spans="4:6" x14ac:dyDescent="0.25">
      <c r="D81" s="8">
        <v>66</v>
      </c>
      <c r="E81">
        <f t="shared" si="2"/>
        <v>33</v>
      </c>
      <c r="F81" t="e">
        <f t="shared" si="3"/>
        <v>#N/A</v>
      </c>
    </row>
    <row r="82" spans="4:6" x14ac:dyDescent="0.25">
      <c r="D82" s="8">
        <v>68.099999999999994</v>
      </c>
      <c r="E82">
        <f t="shared" si="2"/>
        <v>34.049999999999997</v>
      </c>
      <c r="F82" t="e">
        <f t="shared" si="3"/>
        <v>#N/A</v>
      </c>
    </row>
    <row r="83" spans="4:6" x14ac:dyDescent="0.25">
      <c r="D83" s="8">
        <v>69.8</v>
      </c>
      <c r="E83">
        <f t="shared" si="2"/>
        <v>34.9</v>
      </c>
      <c r="F83" t="e">
        <f t="shared" si="3"/>
        <v>#N/A</v>
      </c>
    </row>
    <row r="84" spans="4:6" x14ac:dyDescent="0.25">
      <c r="D84" s="8">
        <v>71.5</v>
      </c>
      <c r="E84">
        <f>D84*5/10</f>
        <v>35.75</v>
      </c>
      <c r="F84" t="e">
        <f t="shared" si="3"/>
        <v>#N/A</v>
      </c>
    </row>
    <row r="85" spans="4:6" x14ac:dyDescent="0.25">
      <c r="D85" s="8">
        <v>73.2</v>
      </c>
      <c r="E85">
        <f t="shared" si="2"/>
        <v>36.6</v>
      </c>
      <c r="F85" t="e">
        <f t="shared" si="3"/>
        <v>#N/A</v>
      </c>
    </row>
    <row r="86" spans="4:6" x14ac:dyDescent="0.25">
      <c r="D86" s="8">
        <v>75</v>
      </c>
      <c r="E86">
        <f t="shared" si="2"/>
        <v>37.5</v>
      </c>
      <c r="F86" t="e">
        <f t="shared" si="3"/>
        <v>#N/A</v>
      </c>
    </row>
    <row r="87" spans="4:6" x14ac:dyDescent="0.25">
      <c r="D87" s="8">
        <v>76.8</v>
      </c>
      <c r="E87">
        <f t="shared" si="2"/>
        <v>38.4</v>
      </c>
      <c r="F87" t="e">
        <f t="shared" si="3"/>
        <v>#N/A</v>
      </c>
    </row>
    <row r="88" spans="4:6" x14ac:dyDescent="0.25">
      <c r="D88" s="8">
        <v>78.7</v>
      </c>
      <c r="E88">
        <f t="shared" si="2"/>
        <v>39.35</v>
      </c>
      <c r="F88" t="e">
        <f t="shared" si="3"/>
        <v>#N/A</v>
      </c>
    </row>
    <row r="89" spans="4:6" x14ac:dyDescent="0.25">
      <c r="D89" s="8">
        <v>80.599999999999994</v>
      </c>
      <c r="E89">
        <f t="shared" si="2"/>
        <v>40.299999999999997</v>
      </c>
      <c r="F89" t="e">
        <f t="shared" si="3"/>
        <v>#N/A</v>
      </c>
    </row>
    <row r="90" spans="4:6" x14ac:dyDescent="0.25">
      <c r="D90" s="8">
        <v>82.5</v>
      </c>
      <c r="E90">
        <f t="shared" si="2"/>
        <v>41.25</v>
      </c>
      <c r="F90" t="e">
        <f t="shared" si="3"/>
        <v>#N/A</v>
      </c>
    </row>
    <row r="91" spans="4:6" x14ac:dyDescent="0.25">
      <c r="D91" s="8">
        <v>84.5</v>
      </c>
      <c r="E91">
        <f t="shared" si="2"/>
        <v>42.25</v>
      </c>
      <c r="F91" t="e">
        <f t="shared" si="3"/>
        <v>#N/A</v>
      </c>
    </row>
    <row r="92" spans="4:6" x14ac:dyDescent="0.25">
      <c r="D92" s="8">
        <v>86.6</v>
      </c>
      <c r="E92">
        <f t="shared" si="2"/>
        <v>43.3</v>
      </c>
      <c r="F92" t="e">
        <f t="shared" si="3"/>
        <v>#N/A</v>
      </c>
    </row>
    <row r="93" spans="4:6" x14ac:dyDescent="0.25">
      <c r="D93" s="8">
        <v>88.7</v>
      </c>
      <c r="E93">
        <f t="shared" si="2"/>
        <v>44.35</v>
      </c>
      <c r="F93" t="e">
        <f t="shared" si="3"/>
        <v>#N/A</v>
      </c>
    </row>
    <row r="94" spans="4:6" x14ac:dyDescent="0.25">
      <c r="D94" s="8">
        <v>90.9</v>
      </c>
      <c r="E94">
        <f t="shared" si="2"/>
        <v>45.45</v>
      </c>
      <c r="F94" t="e">
        <f t="shared" si="3"/>
        <v>#N/A</v>
      </c>
    </row>
    <row r="95" spans="4:6" x14ac:dyDescent="0.25">
      <c r="D95" s="8">
        <v>93.1</v>
      </c>
      <c r="E95">
        <f t="shared" si="2"/>
        <v>46.55</v>
      </c>
      <c r="F95" t="e">
        <f t="shared" si="3"/>
        <v>#N/A</v>
      </c>
    </row>
    <row r="96" spans="4:6" x14ac:dyDescent="0.25">
      <c r="D96" s="8">
        <v>95.3</v>
      </c>
      <c r="E96">
        <f t="shared" si="2"/>
        <v>47.65</v>
      </c>
      <c r="F96" t="e">
        <f t="shared" si="3"/>
        <v>#N/A</v>
      </c>
    </row>
    <row r="97" spans="4:6" x14ac:dyDescent="0.25">
      <c r="D97" s="8">
        <v>97.6</v>
      </c>
      <c r="E97">
        <f t="shared" ref="E97" si="4">D97*5/10</f>
        <v>48.8</v>
      </c>
      <c r="F97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Rev1 thru 3</vt:lpstr>
      <vt:lpstr>Rev4.0</vt:lpstr>
      <vt:lpstr>Rev4.0-Modified</vt:lpstr>
      <vt:lpstr>Rev 5.1</vt:lpstr>
      <vt:lpstr>Op Amp Comparison</vt:lpstr>
      <vt:lpstr>Resistor Values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2016-04-11T20:06:23Z</dcterms:created>
  <dcterms:modified xsi:type="dcterms:W3CDTF">2018-02-26T21:19:55Z</dcterms:modified>
</cp:coreProperties>
</file>