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defaultThemeVersion="124226"/>
  <mc:AlternateContent xmlns:mc="http://schemas.openxmlformats.org/markup-compatibility/2006">
    <mc:Choice Requires="x15">
      <x15ac:absPath xmlns:x15ac="http://schemas.microsoft.com/office/spreadsheetml/2010/11/ac" url="C:\Local\CBECC_2025 - G36Ctrl\Documentation\T24N\"/>
    </mc:Choice>
  </mc:AlternateContent>
  <xr:revisionPtr revIDLastSave="0" documentId="13_ncr:1_{26E941CD-285B-43F4-A1B0-54271FE7BC84}" xr6:coauthVersionLast="47" xr6:coauthVersionMax="47" xr10:uidLastSave="{00000000-0000-0000-0000-000000000000}"/>
  <bookViews>
    <workbookView xWindow="3540" yWindow="156" windowWidth="37884" windowHeight="15540" tabRatio="837" xr2:uid="{00000000-000D-0000-FFFF-FFFF00000000}"/>
  </bookViews>
  <sheets>
    <sheet name="ACM Performance Curves" sheetId="1" r:id="rId1"/>
    <sheet name="TO DO" sheetId="8" r:id="rId2"/>
    <sheet name="Data Maps" sheetId="2" r:id="rId3"/>
    <sheet name="Abbreviations" sheetId="4" r:id="rId4"/>
    <sheet name="Chiller Curves - Ref Only" sheetId="7" r:id="rId5"/>
    <sheet name="Fan Curves - Ref Only" sheetId="11" r:id="rId6"/>
    <sheet name="Pump Curves - Ref Only" sheetId="13" r:id="rId7"/>
    <sheet name="SEER CrvMaps - Ref Only" sheetId="14" r:id="rId8"/>
    <sheet name="E+ Reference" sheetId="3" r:id="rId9"/>
    <sheet name="DX SEER Curves - NO LONGER USED" sheetId="12" r:id="rId10"/>
    <sheet name="VRF E+ to CSE" sheetId="15" r:id="rId11"/>
    <sheet name="SDD Curve Name Proposal" sheetId="5" state="hidden" r:id="rId12"/>
  </sheets>
  <definedNames>
    <definedName name="_xlnm._FilterDatabase" localSheetId="0" hidden="1">'ACM Performance Curves'!$B$15:$AO$15</definedName>
    <definedName name="dT" localSheetId="4">'Chiller Curves - Ref Only'!$F$98</definedName>
    <definedName name="dT">#REF!</definedName>
    <definedName name="EERref" localSheetId="4">#REF!</definedName>
    <definedName name="EIRFPLR" localSheetId="4">#REF!</definedName>
    <definedName name="EIRFPLR">#REF!</definedName>
    <definedName name="EIRFT" localSheetId="4">#REF!</definedName>
    <definedName name="EIRFT">#REF!</definedName>
    <definedName name="Pref" localSheetId="4">#REF!</definedName>
    <definedName name="Pref">#REF!</definedName>
    <definedName name="Qref" localSheetId="4">#REF!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4">#REF!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W26" i="1" l="1"/>
  <c r="BU26" i="1"/>
  <c r="BB26" i="1"/>
  <c r="BC26" i="1"/>
  <c r="BD26" i="1"/>
  <c r="AR26" i="1" s="1"/>
  <c r="BE26" i="1"/>
  <c r="BF26" i="1"/>
  <c r="BG26" i="1"/>
  <c r="BH26" i="1"/>
  <c r="BI26" i="1"/>
  <c r="BJ26" i="1"/>
  <c r="BM26" i="1"/>
  <c r="AU26" i="1"/>
  <c r="AV26" i="1"/>
  <c r="AW26" i="1"/>
  <c r="AX26" i="1"/>
  <c r="AY26" i="1"/>
  <c r="AZ26" i="1"/>
  <c r="BA26" i="1"/>
  <c r="AS26" i="1"/>
  <c r="AT26" i="1"/>
  <c r="AO26" i="1"/>
  <c r="AF26" i="1"/>
  <c r="N26" i="1"/>
  <c r="AL37" i="1"/>
  <c r="AK37" i="1"/>
  <c r="AJ37" i="1"/>
  <c r="AI37" i="1"/>
  <c r="AL66" i="1"/>
  <c r="AJ66" i="1"/>
  <c r="BW236" i="1"/>
  <c r="BU236" i="1"/>
  <c r="BM236" i="1"/>
  <c r="BJ236" i="1"/>
  <c r="BI236" i="1"/>
  <c r="BH236" i="1"/>
  <c r="BG236" i="1"/>
  <c r="BF236" i="1"/>
  <c r="BE236" i="1"/>
  <c r="BC236" i="1"/>
  <c r="BB236" i="1"/>
  <c r="BA236" i="1"/>
  <c r="AZ236" i="1"/>
  <c r="AY236" i="1"/>
  <c r="AX236" i="1"/>
  <c r="AV236" i="1"/>
  <c r="AW236" i="1" s="1"/>
  <c r="AT236" i="1"/>
  <c r="AU236" i="1" s="1"/>
  <c r="AS236" i="1"/>
  <c r="AR236" i="1"/>
  <c r="AQ236" i="1"/>
  <c r="AP236" i="1"/>
  <c r="N236" i="1"/>
  <c r="BT137" i="1"/>
  <c r="BS137" i="1"/>
  <c r="BR137" i="1"/>
  <c r="BQ137" i="1"/>
  <c r="BP137" i="1"/>
  <c r="BO137" i="1"/>
  <c r="BW136" i="1"/>
  <c r="BV136" i="1"/>
  <c r="BU136" i="1"/>
  <c r="BN136" i="1"/>
  <c r="BM136" i="1"/>
  <c r="AO136" i="1"/>
  <c r="AL136" i="1"/>
  <c r="AK136" i="1"/>
  <c r="AJ136" i="1"/>
  <c r="AI136" i="1"/>
  <c r="AH136" i="1"/>
  <c r="AG136" i="1"/>
  <c r="N136" i="1"/>
  <c r="BU37" i="1"/>
  <c r="BN37" i="1"/>
  <c r="BM37" i="1"/>
  <c r="AO37" i="1"/>
  <c r="N37" i="1"/>
  <c r="AG37" i="1"/>
  <c r="AO66" i="1"/>
  <c r="BM66" i="1"/>
  <c r="BN66" i="1"/>
  <c r="BU66" i="1"/>
  <c r="N66" i="1"/>
  <c r="AV205" i="1"/>
  <c r="BU204" i="1"/>
  <c r="BM204" i="1"/>
  <c r="BJ204" i="1"/>
  <c r="BI204" i="1"/>
  <c r="BH204" i="1"/>
  <c r="BR204" i="1" s="1"/>
  <c r="BW204" i="1" s="1"/>
  <c r="BG204" i="1"/>
  <c r="BF204" i="1"/>
  <c r="BE204" i="1"/>
  <c r="BC204" i="1"/>
  <c r="BB204" i="1"/>
  <c r="BA204" i="1"/>
  <c r="AZ204" i="1"/>
  <c r="AY204" i="1"/>
  <c r="AX204" i="1"/>
  <c r="AT204" i="1"/>
  <c r="AU204" i="1" s="1"/>
  <c r="AS204" i="1"/>
  <c r="N204" i="1"/>
  <c r="AV204" i="1" s="1"/>
  <c r="AW204" i="1" s="1"/>
  <c r="BU203" i="1"/>
  <c r="BM203" i="1"/>
  <c r="BJ203" i="1"/>
  <c r="BI203" i="1"/>
  <c r="BH203" i="1"/>
  <c r="BR203" i="1" s="1"/>
  <c r="BW203" i="1" s="1"/>
  <c r="BG203" i="1"/>
  <c r="BF203" i="1"/>
  <c r="BE203" i="1"/>
  <c r="BC203" i="1"/>
  <c r="BB203" i="1"/>
  <c r="BA203" i="1"/>
  <c r="AZ203" i="1"/>
  <c r="AY203" i="1"/>
  <c r="AX203" i="1"/>
  <c r="AT203" i="1"/>
  <c r="AU203" i="1" s="1"/>
  <c r="AS203" i="1"/>
  <c r="N203" i="1"/>
  <c r="AV203" i="1" s="1"/>
  <c r="AW203" i="1" s="1"/>
  <c r="BW202" i="1"/>
  <c r="BU202" i="1"/>
  <c r="BM202" i="1"/>
  <c r="BJ202" i="1"/>
  <c r="BI202" i="1"/>
  <c r="BH202" i="1"/>
  <c r="BG202" i="1"/>
  <c r="BF202" i="1"/>
  <c r="BE202" i="1"/>
  <c r="BC202" i="1"/>
  <c r="BB202" i="1"/>
  <c r="BA202" i="1"/>
  <c r="AZ202" i="1"/>
  <c r="AY202" i="1"/>
  <c r="AX202" i="1"/>
  <c r="AT202" i="1"/>
  <c r="AU202" i="1" s="1"/>
  <c r="AS202" i="1"/>
  <c r="N202" i="1"/>
  <c r="AV202" i="1" s="1"/>
  <c r="AW202" i="1" s="1"/>
  <c r="BW201" i="1"/>
  <c r="BU201" i="1"/>
  <c r="BM201" i="1"/>
  <c r="BJ201" i="1"/>
  <c r="BI201" i="1"/>
  <c r="BH201" i="1"/>
  <c r="BG201" i="1"/>
  <c r="BF201" i="1"/>
  <c r="BE201" i="1"/>
  <c r="BC201" i="1"/>
  <c r="BB201" i="1"/>
  <c r="BA201" i="1"/>
  <c r="AZ201" i="1"/>
  <c r="AY201" i="1"/>
  <c r="AX201" i="1"/>
  <c r="AT201" i="1"/>
  <c r="AU201" i="1" s="1"/>
  <c r="AS201" i="1"/>
  <c r="N201" i="1"/>
  <c r="AV201" i="1" s="1"/>
  <c r="AW201" i="1" s="1"/>
  <c r="BW200" i="1"/>
  <c r="BU200" i="1"/>
  <c r="BM200" i="1"/>
  <c r="BJ200" i="1"/>
  <c r="BI200" i="1"/>
  <c r="BH200" i="1"/>
  <c r="BG200" i="1"/>
  <c r="BF200" i="1"/>
  <c r="BE200" i="1"/>
  <c r="BC200" i="1"/>
  <c r="BB200" i="1"/>
  <c r="BA200" i="1"/>
  <c r="AZ200" i="1"/>
  <c r="AY200" i="1"/>
  <c r="AX200" i="1"/>
  <c r="AT200" i="1"/>
  <c r="AU200" i="1" s="1"/>
  <c r="AS200" i="1"/>
  <c r="N200" i="1"/>
  <c r="AV200" i="1" s="1"/>
  <c r="AW200" i="1" s="1"/>
  <c r="BW199" i="1"/>
  <c r="BU199" i="1"/>
  <c r="BM199" i="1"/>
  <c r="BJ199" i="1"/>
  <c r="BI199" i="1"/>
  <c r="BH199" i="1"/>
  <c r="BG199" i="1"/>
  <c r="BF199" i="1"/>
  <c r="BE199" i="1"/>
  <c r="BC199" i="1"/>
  <c r="BB199" i="1"/>
  <c r="BA199" i="1"/>
  <c r="AZ199" i="1"/>
  <c r="AY199" i="1"/>
  <c r="AX199" i="1"/>
  <c r="AT199" i="1"/>
  <c r="AU199" i="1" s="1"/>
  <c r="AS199" i="1"/>
  <c r="N199" i="1"/>
  <c r="AV199" i="1" s="1"/>
  <c r="AW199" i="1" s="1"/>
  <c r="AQ26" i="1" l="1"/>
  <c r="AP26" i="1" s="1"/>
  <c r="AH37" i="1"/>
  <c r="BF37" i="1" s="1"/>
  <c r="BJ136" i="1"/>
  <c r="BC136" i="1"/>
  <c r="BB136" i="1"/>
  <c r="BA136" i="1"/>
  <c r="AZ136" i="1"/>
  <c r="AY136" i="1"/>
  <c r="AX136" i="1"/>
  <c r="AR136" i="1"/>
  <c r="AP136" i="1"/>
  <c r="AV136" i="1"/>
  <c r="AW136" i="1" s="1"/>
  <c r="AT136" i="1"/>
  <c r="AU136" i="1" s="1"/>
  <c r="AS136" i="1"/>
  <c r="AQ136" i="1"/>
  <c r="BI136" i="1"/>
  <c r="BH136" i="1"/>
  <c r="BG136" i="1"/>
  <c r="BF136" i="1"/>
  <c r="BE136" i="1"/>
  <c r="BJ37" i="1"/>
  <c r="BH37" i="1"/>
  <c r="BI37" i="1"/>
  <c r="BG37" i="1"/>
  <c r="BE37" i="1"/>
  <c r="BB37" i="1"/>
  <c r="BA37" i="1"/>
  <c r="AZ37" i="1"/>
  <c r="AY37" i="1"/>
  <c r="AX37" i="1"/>
  <c r="AV37" i="1"/>
  <c r="AW37" i="1" s="1"/>
  <c r="AT37" i="1"/>
  <c r="AS37" i="1"/>
  <c r="BC37" i="1"/>
  <c r="AT66" i="1"/>
  <c r="AU66" i="1" s="1"/>
  <c r="AV66" i="1"/>
  <c r="AW66" i="1" s="1"/>
  <c r="AX66" i="1"/>
  <c r="AY66" i="1"/>
  <c r="AZ66" i="1"/>
  <c r="BA66" i="1"/>
  <c r="BB66" i="1"/>
  <c r="BC66" i="1"/>
  <c r="BH66" i="1"/>
  <c r="BJ66" i="1"/>
  <c r="AS66" i="1"/>
  <c r="AQ204" i="1"/>
  <c r="AQ203" i="1"/>
  <c r="AQ202" i="1"/>
  <c r="AQ201" i="1"/>
  <c r="AQ199" i="1"/>
  <c r="AQ200" i="1"/>
  <c r="AU37" i="1" l="1"/>
  <c r="AQ37" i="1" s="1"/>
  <c r="AQ66" i="1"/>
  <c r="I89" i="14"/>
  <c r="H89" i="14"/>
  <c r="I88" i="14"/>
  <c r="H88" i="14"/>
  <c r="I87" i="14"/>
  <c r="H87" i="14"/>
  <c r="I86" i="14"/>
  <c r="H86" i="14"/>
  <c r="I85" i="14"/>
  <c r="H85" i="14"/>
  <c r="I84" i="14"/>
  <c r="H84" i="14"/>
  <c r="I83" i="14"/>
  <c r="H83" i="14"/>
  <c r="I82" i="14"/>
  <c r="H82" i="14"/>
  <c r="I81" i="14"/>
  <c r="H81" i="14"/>
  <c r="F73" i="14"/>
  <c r="B73" i="14" s="1"/>
  <c r="C81" i="14" s="1"/>
  <c r="F72" i="14"/>
  <c r="C72" i="14" s="1"/>
  <c r="C82" i="14" s="1"/>
  <c r="D82" i="14" s="1"/>
  <c r="E82" i="14" s="1"/>
  <c r="F82" i="14" s="1"/>
  <c r="J82" i="14" s="1"/>
  <c r="K82" i="14" s="1"/>
  <c r="U67" i="14"/>
  <c r="T67" i="14"/>
  <c r="I67" i="14"/>
  <c r="H67" i="14"/>
  <c r="U66" i="14"/>
  <c r="T66" i="14"/>
  <c r="I66" i="14"/>
  <c r="H66" i="14"/>
  <c r="U65" i="14"/>
  <c r="T65" i="14"/>
  <c r="I65" i="14"/>
  <c r="H65" i="14"/>
  <c r="U64" i="14"/>
  <c r="T64" i="14"/>
  <c r="I64" i="14"/>
  <c r="H64" i="14"/>
  <c r="U63" i="14"/>
  <c r="T63" i="14"/>
  <c r="I63" i="14"/>
  <c r="H63" i="14"/>
  <c r="U62" i="14"/>
  <c r="T62" i="14"/>
  <c r="I62" i="14"/>
  <c r="H62" i="14"/>
  <c r="U61" i="14"/>
  <c r="T61" i="14"/>
  <c r="I61" i="14"/>
  <c r="H61" i="14"/>
  <c r="U60" i="14"/>
  <c r="T60" i="14"/>
  <c r="I60" i="14"/>
  <c r="H60" i="14"/>
  <c r="U59" i="14"/>
  <c r="T59" i="14"/>
  <c r="I59" i="14"/>
  <c r="H59" i="14"/>
  <c r="R51" i="14"/>
  <c r="O51" i="14"/>
  <c r="O59" i="14" s="1"/>
  <c r="F51" i="14"/>
  <c r="C51" i="14" s="1"/>
  <c r="C59" i="14" s="1"/>
  <c r="R50" i="14"/>
  <c r="O50" i="14" s="1"/>
  <c r="O60" i="14" s="1"/>
  <c r="P60" i="14" s="1"/>
  <c r="Q60" i="14" s="1"/>
  <c r="R60" i="14" s="1"/>
  <c r="F50" i="14"/>
  <c r="C50" i="14"/>
  <c r="C60" i="14" s="1"/>
  <c r="O38" i="14"/>
  <c r="BV88" i="1"/>
  <c r="BV94" i="1"/>
  <c r="BW94" i="1"/>
  <c r="R29" i="14"/>
  <c r="O29" i="14" s="1"/>
  <c r="O37" i="14" s="1"/>
  <c r="F29" i="14"/>
  <c r="C29" i="14" s="1"/>
  <c r="C37" i="14" s="1"/>
  <c r="F28" i="14"/>
  <c r="C28" i="14" s="1"/>
  <c r="C38" i="14" s="1"/>
  <c r="R6" i="14"/>
  <c r="O6" i="14" s="1"/>
  <c r="R28" i="14"/>
  <c r="O28" i="14" s="1"/>
  <c r="R7" i="14"/>
  <c r="N7" i="14" s="1"/>
  <c r="C87" i="14" l="1"/>
  <c r="D87" i="14" s="1"/>
  <c r="E87" i="14" s="1"/>
  <c r="F87" i="14" s="1"/>
  <c r="J87" i="14" s="1"/>
  <c r="K87" i="14" s="1"/>
  <c r="C83" i="14"/>
  <c r="D81" i="14"/>
  <c r="E81" i="14" s="1"/>
  <c r="F81" i="14" s="1"/>
  <c r="J81" i="14" s="1"/>
  <c r="K81" i="14" s="1"/>
  <c r="C84" i="14"/>
  <c r="D84" i="14" s="1"/>
  <c r="E84" i="14" s="1"/>
  <c r="F84" i="14" s="1"/>
  <c r="J84" i="14" s="1"/>
  <c r="K84" i="14" s="1"/>
  <c r="C85" i="14"/>
  <c r="D85" i="14" s="1"/>
  <c r="E85" i="14" s="1"/>
  <c r="F85" i="14" s="1"/>
  <c r="J85" i="14" s="1"/>
  <c r="K85" i="14" s="1"/>
  <c r="C88" i="14"/>
  <c r="D88" i="14" s="1"/>
  <c r="E88" i="14" s="1"/>
  <c r="F88" i="14" s="1"/>
  <c r="J88" i="14" s="1"/>
  <c r="K88" i="14" s="1"/>
  <c r="D60" i="14"/>
  <c r="E60" i="14" s="1"/>
  <c r="F60" i="14" s="1"/>
  <c r="C66" i="14"/>
  <c r="D66" i="14" s="1"/>
  <c r="E66" i="14" s="1"/>
  <c r="F66" i="14" s="1"/>
  <c r="C63" i="14"/>
  <c r="D63" i="14" s="1"/>
  <c r="E63" i="14" s="1"/>
  <c r="F63" i="14" s="1"/>
  <c r="D59" i="14"/>
  <c r="E59" i="14" s="1"/>
  <c r="F59" i="14" s="1"/>
  <c r="C65" i="14"/>
  <c r="D65" i="14" s="1"/>
  <c r="E65" i="14" s="1"/>
  <c r="F65" i="14" s="1"/>
  <c r="C62" i="14"/>
  <c r="D62" i="14" s="1"/>
  <c r="E62" i="14" s="1"/>
  <c r="F62" i="14" s="1"/>
  <c r="C61" i="14"/>
  <c r="P59" i="14"/>
  <c r="Q59" i="14" s="1"/>
  <c r="R59" i="14" s="1"/>
  <c r="O65" i="14"/>
  <c r="P65" i="14" s="1"/>
  <c r="Q65" i="14" s="1"/>
  <c r="R65" i="14" s="1"/>
  <c r="O62" i="14"/>
  <c r="P62" i="14" s="1"/>
  <c r="Q62" i="14" s="1"/>
  <c r="R62" i="14" s="1"/>
  <c r="O61" i="14"/>
  <c r="O63" i="14"/>
  <c r="P63" i="14" s="1"/>
  <c r="Q63" i="14" s="1"/>
  <c r="R63" i="14" s="1"/>
  <c r="O66" i="14"/>
  <c r="P66" i="14" s="1"/>
  <c r="Q66" i="14" s="1"/>
  <c r="R66" i="14" s="1"/>
  <c r="U45" i="14"/>
  <c r="T45" i="14"/>
  <c r="U44" i="14"/>
  <c r="T44" i="14"/>
  <c r="U43" i="14"/>
  <c r="T43" i="14"/>
  <c r="U42" i="14"/>
  <c r="T42" i="14"/>
  <c r="U41" i="14"/>
  <c r="T41" i="14"/>
  <c r="U40" i="14"/>
  <c r="T40" i="14"/>
  <c r="U39" i="14"/>
  <c r="T39" i="14"/>
  <c r="U38" i="14"/>
  <c r="T38" i="14"/>
  <c r="O41" i="14"/>
  <c r="P41" i="14" s="1"/>
  <c r="U37" i="14"/>
  <c r="T37" i="14"/>
  <c r="O39" i="14"/>
  <c r="P39" i="14" s="1"/>
  <c r="I45" i="14"/>
  <c r="H45" i="14"/>
  <c r="I44" i="14"/>
  <c r="H44" i="14"/>
  <c r="I43" i="14"/>
  <c r="H43" i="14"/>
  <c r="I42" i="14"/>
  <c r="H42" i="14"/>
  <c r="I41" i="14"/>
  <c r="H41" i="14"/>
  <c r="I40" i="14"/>
  <c r="H40" i="14"/>
  <c r="I39" i="14"/>
  <c r="H39" i="14"/>
  <c r="I38" i="14"/>
  <c r="H38" i="14"/>
  <c r="C44" i="14"/>
  <c r="D44" i="14" s="1"/>
  <c r="I37" i="14"/>
  <c r="H37" i="14"/>
  <c r="D37" i="14"/>
  <c r="U23" i="14"/>
  <c r="T23" i="14"/>
  <c r="U22" i="14"/>
  <c r="T22" i="14"/>
  <c r="U21" i="14"/>
  <c r="T21" i="14"/>
  <c r="U20" i="14"/>
  <c r="T20" i="14"/>
  <c r="U19" i="14"/>
  <c r="T19" i="14"/>
  <c r="U18" i="14"/>
  <c r="T18" i="14"/>
  <c r="U17" i="14"/>
  <c r="T17" i="14"/>
  <c r="U16" i="14"/>
  <c r="T16" i="14"/>
  <c r="O16" i="14"/>
  <c r="O19" i="14" s="1"/>
  <c r="U15" i="14"/>
  <c r="T15" i="14"/>
  <c r="C89" i="14" l="1"/>
  <c r="D89" i="14" s="1"/>
  <c r="E89" i="14" s="1"/>
  <c r="F89" i="14" s="1"/>
  <c r="J89" i="14" s="1"/>
  <c r="K89" i="14" s="1"/>
  <c r="C86" i="14"/>
  <c r="D86" i="14" s="1"/>
  <c r="E86" i="14" s="1"/>
  <c r="F86" i="14" s="1"/>
  <c r="J86" i="14" s="1"/>
  <c r="K86" i="14" s="1"/>
  <c r="D83" i="14"/>
  <c r="E83" i="14" s="1"/>
  <c r="F83" i="14" s="1"/>
  <c r="J83" i="14" s="1"/>
  <c r="K83" i="14" s="1"/>
  <c r="K90" i="14" s="1"/>
  <c r="P61" i="14"/>
  <c r="Q61" i="14" s="1"/>
  <c r="R61" i="14" s="1"/>
  <c r="O67" i="14"/>
  <c r="P67" i="14" s="1"/>
  <c r="Q67" i="14" s="1"/>
  <c r="R67" i="14" s="1"/>
  <c r="O64" i="14"/>
  <c r="P64" i="14" s="1"/>
  <c r="Q64" i="14" s="1"/>
  <c r="R64" i="14" s="1"/>
  <c r="J63" i="14"/>
  <c r="K63" i="14" s="1"/>
  <c r="D61" i="14"/>
  <c r="E61" i="14" s="1"/>
  <c r="F61" i="14" s="1"/>
  <c r="C67" i="14"/>
  <c r="D67" i="14" s="1"/>
  <c r="E67" i="14" s="1"/>
  <c r="F67" i="14" s="1"/>
  <c r="J67" i="14" s="1"/>
  <c r="K67" i="14" s="1"/>
  <c r="C64" i="14"/>
  <c r="D64" i="14" s="1"/>
  <c r="E64" i="14" s="1"/>
  <c r="F64" i="14" s="1"/>
  <c r="J64" i="14" s="1"/>
  <c r="K64" i="14" s="1"/>
  <c r="O15" i="14"/>
  <c r="P15" i="14" s="1"/>
  <c r="Q15" i="14" s="1"/>
  <c r="R15" i="14" s="1"/>
  <c r="V15" i="14" s="1"/>
  <c r="W15" i="14" s="1"/>
  <c r="D38" i="14"/>
  <c r="E38" i="14" s="1"/>
  <c r="F38" i="14" s="1"/>
  <c r="P16" i="14"/>
  <c r="Q16" i="14" s="1"/>
  <c r="R16" i="14" s="1"/>
  <c r="P19" i="14"/>
  <c r="Q19" i="14" s="1"/>
  <c r="R19" i="14" s="1"/>
  <c r="C41" i="14"/>
  <c r="E44" i="14"/>
  <c r="F44" i="14" s="1"/>
  <c r="P37" i="14"/>
  <c r="Q37" i="14" s="1"/>
  <c r="R37" i="14" s="1"/>
  <c r="V60" i="14" s="1"/>
  <c r="W60" i="14" s="1"/>
  <c r="P38" i="14"/>
  <c r="Q38" i="14" s="1"/>
  <c r="R38" i="14" s="1"/>
  <c r="Q41" i="14"/>
  <c r="R41" i="14" s="1"/>
  <c r="O42" i="14"/>
  <c r="O45" i="14"/>
  <c r="Q39" i="14"/>
  <c r="R39" i="14" s="1"/>
  <c r="O44" i="14"/>
  <c r="O43" i="14"/>
  <c r="O40" i="14"/>
  <c r="C43" i="14"/>
  <c r="E37" i="14"/>
  <c r="F37" i="14" s="1"/>
  <c r="J59" i="14" s="1"/>
  <c r="K59" i="14" s="1"/>
  <c r="C39" i="14"/>
  <c r="D39" i="14" s="1"/>
  <c r="C40" i="14"/>
  <c r="O22" i="14"/>
  <c r="AS54" i="15"/>
  <c r="AR54" i="15"/>
  <c r="AQ54" i="15"/>
  <c r="AP54" i="15"/>
  <c r="AO54" i="15"/>
  <c r="AN54" i="15"/>
  <c r="AW7" i="15"/>
  <c r="AW35" i="15"/>
  <c r="AW34" i="15"/>
  <c r="AW33" i="15"/>
  <c r="AW32" i="15"/>
  <c r="AW31" i="15"/>
  <c r="AW30" i="15"/>
  <c r="AA280" i="1"/>
  <c r="Z280" i="1"/>
  <c r="Y280" i="1"/>
  <c r="X280" i="1"/>
  <c r="W280" i="1"/>
  <c r="V280" i="1"/>
  <c r="AA278" i="1"/>
  <c r="Z278" i="1"/>
  <c r="Y278" i="1"/>
  <c r="X278" i="1"/>
  <c r="W278" i="1"/>
  <c r="V278" i="1"/>
  <c r="V64" i="14" l="1"/>
  <c r="W64" i="14" s="1"/>
  <c r="J61" i="14"/>
  <c r="K61" i="14" s="1"/>
  <c r="V63" i="14"/>
  <c r="W63" i="14" s="1"/>
  <c r="V65" i="14"/>
  <c r="W65" i="14" s="1"/>
  <c r="J62" i="14"/>
  <c r="K62" i="14" s="1"/>
  <c r="J66" i="14"/>
  <c r="K66" i="14" s="1"/>
  <c r="V66" i="14"/>
  <c r="W66" i="14" s="1"/>
  <c r="V62" i="14"/>
  <c r="W62" i="14" s="1"/>
  <c r="V67" i="14"/>
  <c r="W67" i="14" s="1"/>
  <c r="V59" i="14"/>
  <c r="W59" i="14" s="1"/>
  <c r="V61" i="14"/>
  <c r="W61" i="14" s="1"/>
  <c r="J65" i="14"/>
  <c r="K65" i="14" s="1"/>
  <c r="J60" i="14"/>
  <c r="K60" i="14" s="1"/>
  <c r="O17" i="14"/>
  <c r="P17" i="14" s="1"/>
  <c r="Q17" i="14" s="1"/>
  <c r="R17" i="14" s="1"/>
  <c r="V17" i="14" s="1"/>
  <c r="W17" i="14" s="1"/>
  <c r="O18" i="14"/>
  <c r="P18" i="14" s="1"/>
  <c r="Q18" i="14" s="1"/>
  <c r="R18" i="14" s="1"/>
  <c r="V18" i="14" s="1"/>
  <c r="W18" i="14" s="1"/>
  <c r="O21" i="14"/>
  <c r="P21" i="14" s="1"/>
  <c r="Q21" i="14" s="1"/>
  <c r="R21" i="14" s="1"/>
  <c r="V21" i="14" s="1"/>
  <c r="W21" i="14" s="1"/>
  <c r="V38" i="14"/>
  <c r="W38" i="14" s="1"/>
  <c r="V16" i="14"/>
  <c r="W16" i="14" s="1"/>
  <c r="V19" i="14"/>
  <c r="W19" i="14" s="1"/>
  <c r="D41" i="14"/>
  <c r="E41" i="14" s="1"/>
  <c r="F41" i="14" s="1"/>
  <c r="J41" i="14" s="1"/>
  <c r="K41" i="14" s="1"/>
  <c r="P22" i="14"/>
  <c r="Q22" i="14" s="1"/>
  <c r="R22" i="14" s="1"/>
  <c r="V22" i="14" s="1"/>
  <c r="W22" i="14" s="1"/>
  <c r="V37" i="14"/>
  <c r="W37" i="14" s="1"/>
  <c r="P42" i="14"/>
  <c r="Q42" i="14" s="1"/>
  <c r="R42" i="14" s="1"/>
  <c r="V42" i="14" s="1"/>
  <c r="W42" i="14" s="1"/>
  <c r="P40" i="14"/>
  <c r="Q40" i="14" s="1"/>
  <c r="R40" i="14" s="1"/>
  <c r="V40" i="14" s="1"/>
  <c r="W40" i="14" s="1"/>
  <c r="V41" i="14"/>
  <c r="W41" i="14" s="1"/>
  <c r="P43" i="14"/>
  <c r="Q43" i="14" s="1"/>
  <c r="R43" i="14" s="1"/>
  <c r="V43" i="14" s="1"/>
  <c r="W43" i="14" s="1"/>
  <c r="V39" i="14"/>
  <c r="W39" i="14" s="1"/>
  <c r="P45" i="14"/>
  <c r="Q45" i="14" s="1"/>
  <c r="R45" i="14" s="1"/>
  <c r="V45" i="14" s="1"/>
  <c r="W45" i="14" s="1"/>
  <c r="P44" i="14"/>
  <c r="Q44" i="14" s="1"/>
  <c r="R44" i="14" s="1"/>
  <c r="V44" i="14" s="1"/>
  <c r="W44" i="14" s="1"/>
  <c r="J38" i="14"/>
  <c r="K38" i="14" s="1"/>
  <c r="J37" i="14"/>
  <c r="K37" i="14" s="1"/>
  <c r="J44" i="14"/>
  <c r="K44" i="14" s="1"/>
  <c r="D40" i="14"/>
  <c r="E40" i="14" s="1"/>
  <c r="F40" i="14" s="1"/>
  <c r="J40" i="14" s="1"/>
  <c r="K40" i="14" s="1"/>
  <c r="D43" i="14"/>
  <c r="E43" i="14" s="1"/>
  <c r="F43" i="14" s="1"/>
  <c r="J43" i="14" s="1"/>
  <c r="K43" i="14" s="1"/>
  <c r="C45" i="14"/>
  <c r="E39" i="14"/>
  <c r="F39" i="14" s="1"/>
  <c r="J39" i="14" s="1"/>
  <c r="K39" i="14" s="1"/>
  <c r="C42" i="14"/>
  <c r="AR61" i="15"/>
  <c r="AS61" i="15"/>
  <c r="AO61" i="15"/>
  <c r="AP61" i="15"/>
  <c r="AQ61" i="15"/>
  <c r="AN61" i="15"/>
  <c r="AR60" i="15"/>
  <c r="AS60" i="15"/>
  <c r="AQ60" i="15"/>
  <c r="AO60" i="15"/>
  <c r="AP60" i="15"/>
  <c r="AN60" i="15"/>
  <c r="AN15" i="15"/>
  <c r="AR67" i="15"/>
  <c r="AS67" i="15" s="1"/>
  <c r="AD52" i="15"/>
  <c r="AD51" i="15"/>
  <c r="K68" i="14" l="1"/>
  <c r="W68" i="14"/>
  <c r="W46" i="14"/>
  <c r="O23" i="14"/>
  <c r="P23" i="14" s="1"/>
  <c r="Q23" i="14" s="1"/>
  <c r="R23" i="14" s="1"/>
  <c r="V23" i="14" s="1"/>
  <c r="W23" i="14" s="1"/>
  <c r="O20" i="14"/>
  <c r="P20" i="14" s="1"/>
  <c r="Q20" i="14" s="1"/>
  <c r="R20" i="14" s="1"/>
  <c r="V20" i="14" s="1"/>
  <c r="W20" i="14" s="1"/>
  <c r="D45" i="14"/>
  <c r="E45" i="14" s="1"/>
  <c r="F45" i="14" s="1"/>
  <c r="J45" i="14" s="1"/>
  <c r="K45" i="14" s="1"/>
  <c r="D42" i="14"/>
  <c r="E42" i="14" s="1"/>
  <c r="F42" i="14" s="1"/>
  <c r="J42" i="14" s="1"/>
  <c r="K42" i="14" s="1"/>
  <c r="AW38" i="15"/>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K46" i="14" l="1"/>
  <c r="W24" i="14"/>
  <c r="AH24" i="15"/>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3" i="14"/>
  <c r="H23" i="14"/>
  <c r="I22" i="14"/>
  <c r="H22" i="14"/>
  <c r="I21" i="14"/>
  <c r="H21" i="14"/>
  <c r="I20" i="14"/>
  <c r="H20" i="14"/>
  <c r="I19" i="14"/>
  <c r="H19" i="14"/>
  <c r="I18" i="14"/>
  <c r="H18" i="14"/>
  <c r="I17" i="14"/>
  <c r="H17" i="14"/>
  <c r="I16" i="14"/>
  <c r="H16" i="14"/>
  <c r="C16" i="14"/>
  <c r="C22" i="14" s="1"/>
  <c r="D22" i="14" s="1"/>
  <c r="E22" i="14" s="1"/>
  <c r="F22" i="14" s="1"/>
  <c r="I15" i="14"/>
  <c r="H15" i="14"/>
  <c r="F7" i="14"/>
  <c r="AS57" i="15" l="1"/>
  <c r="AR57" i="15"/>
  <c r="AQ57" i="15"/>
  <c r="AS37" i="15"/>
  <c r="AR37" i="15"/>
  <c r="AQ37" i="15"/>
  <c r="AO37" i="15"/>
  <c r="AP57" i="15"/>
  <c r="AN37" i="15"/>
  <c r="AP37" i="15"/>
  <c r="AO57" i="15"/>
  <c r="AN57" i="15"/>
  <c r="B7" i="14"/>
  <c r="C15" i="14" s="1"/>
  <c r="AP45" i="15"/>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AH21" i="15" s="1"/>
  <c r="L50" i="15"/>
  <c r="L52" i="15"/>
  <c r="K52" i="15" s="1"/>
  <c r="AE18" i="15" s="1"/>
  <c r="N45" i="15"/>
  <c r="L47" i="15"/>
  <c r="K47" i="15" s="1"/>
  <c r="AH15" i="15" s="1"/>
  <c r="L51" i="15"/>
  <c r="L53" i="15"/>
  <c r="N48" i="15"/>
  <c r="N46" i="15"/>
  <c r="L46" i="15"/>
  <c r="N41" i="15"/>
  <c r="L48" i="15"/>
  <c r="L41" i="15"/>
  <c r="L42" i="15"/>
  <c r="K42" i="15" s="1"/>
  <c r="L43" i="15"/>
  <c r="P46" i="15"/>
  <c r="M41" i="15"/>
  <c r="AP67" i="15"/>
  <c r="D16" i="14"/>
  <c r="E16" i="14" s="1"/>
  <c r="F16" i="14" s="1"/>
  <c r="C19" i="14"/>
  <c r="D19" i="14" s="1"/>
  <c r="E19" i="14" s="1"/>
  <c r="F19" i="14" s="1"/>
  <c r="BW286" i="1"/>
  <c r="BU286" i="1"/>
  <c r="BM286" i="1"/>
  <c r="BJ286" i="1"/>
  <c r="BI286" i="1"/>
  <c r="BH286" i="1"/>
  <c r="BG286" i="1"/>
  <c r="BF286" i="1"/>
  <c r="BE286" i="1"/>
  <c r="BC286" i="1"/>
  <c r="BB286" i="1"/>
  <c r="BA286" i="1"/>
  <c r="AZ286" i="1"/>
  <c r="AY286" i="1"/>
  <c r="AX286" i="1"/>
  <c r="AT286" i="1"/>
  <c r="AU286" i="1" s="1"/>
  <c r="AS286" i="1"/>
  <c r="N286" i="1"/>
  <c r="BW285" i="1"/>
  <c r="BU285" i="1"/>
  <c r="BM285" i="1"/>
  <c r="BJ285" i="1"/>
  <c r="BI285" i="1"/>
  <c r="BH285" i="1"/>
  <c r="BG285" i="1"/>
  <c r="BF285" i="1"/>
  <c r="BE285" i="1"/>
  <c r="BC285" i="1"/>
  <c r="BB285" i="1"/>
  <c r="BA285" i="1"/>
  <c r="AZ285" i="1"/>
  <c r="AY285" i="1"/>
  <c r="AX285" i="1"/>
  <c r="AT285" i="1"/>
  <c r="AU285" i="1" s="1"/>
  <c r="AS285" i="1"/>
  <c r="N285" i="1"/>
  <c r="BW284" i="1"/>
  <c r="BU284" i="1"/>
  <c r="BN284" i="1"/>
  <c r="BM284" i="1"/>
  <c r="BJ284" i="1"/>
  <c r="BI284" i="1"/>
  <c r="BH284" i="1"/>
  <c r="BG284" i="1"/>
  <c r="BF284" i="1"/>
  <c r="BE284" i="1"/>
  <c r="BC284" i="1"/>
  <c r="BB284" i="1"/>
  <c r="BA284" i="1"/>
  <c r="AZ284" i="1"/>
  <c r="AY284" i="1"/>
  <c r="AX284" i="1"/>
  <c r="AT284" i="1"/>
  <c r="AU284" i="1" s="1"/>
  <c r="AS284" i="1"/>
  <c r="N284" i="1"/>
  <c r="BW283" i="1"/>
  <c r="BU283" i="1"/>
  <c r="BM283" i="1"/>
  <c r="BJ283" i="1"/>
  <c r="BI283" i="1"/>
  <c r="BH283" i="1"/>
  <c r="BG283" i="1"/>
  <c r="BF283" i="1"/>
  <c r="BE283" i="1"/>
  <c r="BC283" i="1"/>
  <c r="BB283" i="1"/>
  <c r="BA283" i="1"/>
  <c r="AZ283" i="1"/>
  <c r="AY283" i="1"/>
  <c r="AX283" i="1"/>
  <c r="AT283" i="1"/>
  <c r="AU283" i="1" s="1"/>
  <c r="AS283" i="1"/>
  <c r="N283" i="1"/>
  <c r="BW282" i="1"/>
  <c r="BU282" i="1"/>
  <c r="BN282" i="1"/>
  <c r="BM282" i="1"/>
  <c r="BJ282" i="1"/>
  <c r="BI282" i="1"/>
  <c r="BH282" i="1"/>
  <c r="BG282" i="1"/>
  <c r="BF282" i="1"/>
  <c r="BE282" i="1"/>
  <c r="BC282" i="1"/>
  <c r="BB282" i="1"/>
  <c r="BA282" i="1"/>
  <c r="AZ282" i="1"/>
  <c r="AY282" i="1"/>
  <c r="AX282" i="1"/>
  <c r="AT282" i="1"/>
  <c r="AU282" i="1" s="1"/>
  <c r="AS282" i="1"/>
  <c r="N282" i="1"/>
  <c r="BW281" i="1"/>
  <c r="BU281" i="1"/>
  <c r="BN281" i="1"/>
  <c r="BM281" i="1"/>
  <c r="BJ281" i="1"/>
  <c r="BI281" i="1"/>
  <c r="BH281" i="1"/>
  <c r="BG281" i="1"/>
  <c r="BF281" i="1"/>
  <c r="BE281" i="1"/>
  <c r="BC281" i="1"/>
  <c r="BB281" i="1"/>
  <c r="BA281" i="1"/>
  <c r="AZ281" i="1"/>
  <c r="AY281" i="1"/>
  <c r="AX281" i="1"/>
  <c r="AT281" i="1"/>
  <c r="AU281" i="1" s="1"/>
  <c r="AS281" i="1"/>
  <c r="N281" i="1"/>
  <c r="BW280" i="1"/>
  <c r="BU280" i="1"/>
  <c r="BN280" i="1"/>
  <c r="BM280" i="1"/>
  <c r="BJ280" i="1"/>
  <c r="BI280" i="1"/>
  <c r="BH280" i="1"/>
  <c r="BG280" i="1"/>
  <c r="BF280" i="1"/>
  <c r="BE280" i="1"/>
  <c r="BC280" i="1"/>
  <c r="BB280" i="1"/>
  <c r="BA280" i="1"/>
  <c r="AZ280" i="1"/>
  <c r="AY280" i="1"/>
  <c r="AX280" i="1"/>
  <c r="AT280" i="1"/>
  <c r="AU280" i="1" s="1"/>
  <c r="AS280" i="1"/>
  <c r="N280" i="1"/>
  <c r="BW279" i="1"/>
  <c r="BU279" i="1"/>
  <c r="BM279" i="1"/>
  <c r="BJ279" i="1"/>
  <c r="BI279" i="1"/>
  <c r="BH279" i="1"/>
  <c r="BG279" i="1"/>
  <c r="BF279" i="1"/>
  <c r="BE279" i="1"/>
  <c r="BC279" i="1"/>
  <c r="BB279" i="1"/>
  <c r="BA279" i="1"/>
  <c r="AZ279" i="1"/>
  <c r="AY279" i="1"/>
  <c r="AX279" i="1"/>
  <c r="AT279" i="1"/>
  <c r="AU279" i="1" s="1"/>
  <c r="AS279" i="1"/>
  <c r="N279" i="1"/>
  <c r="BW278" i="1"/>
  <c r="BU278" i="1"/>
  <c r="BN278" i="1"/>
  <c r="BM278" i="1"/>
  <c r="BJ278" i="1"/>
  <c r="BI278" i="1"/>
  <c r="BH278" i="1"/>
  <c r="BG278" i="1"/>
  <c r="BF278" i="1"/>
  <c r="BE278" i="1"/>
  <c r="BC278" i="1"/>
  <c r="BB278" i="1"/>
  <c r="BA278" i="1"/>
  <c r="AZ278" i="1"/>
  <c r="AY278" i="1"/>
  <c r="AX278" i="1"/>
  <c r="AT278" i="1"/>
  <c r="AU278" i="1" s="1"/>
  <c r="AS278" i="1"/>
  <c r="N278" i="1"/>
  <c r="BW277" i="1"/>
  <c r="BU277" i="1"/>
  <c r="BN277" i="1"/>
  <c r="BM277" i="1"/>
  <c r="BJ277" i="1"/>
  <c r="BI277" i="1"/>
  <c r="BH277" i="1"/>
  <c r="BG277" i="1"/>
  <c r="BF277" i="1"/>
  <c r="BE277" i="1"/>
  <c r="BC277" i="1"/>
  <c r="BB277" i="1"/>
  <c r="BA277" i="1"/>
  <c r="AZ277" i="1"/>
  <c r="AY277" i="1"/>
  <c r="AX277" i="1"/>
  <c r="AT277" i="1"/>
  <c r="AU277" i="1" s="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U275" i="1" s="1"/>
  <c r="AS275" i="1"/>
  <c r="N275" i="1"/>
  <c r="BW274" i="1"/>
  <c r="BU274" i="1"/>
  <c r="BN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M272" i="1"/>
  <c r="BJ272" i="1"/>
  <c r="BI272" i="1"/>
  <c r="BH272" i="1"/>
  <c r="BG272" i="1"/>
  <c r="BF272" i="1"/>
  <c r="BE272" i="1"/>
  <c r="BC272" i="1"/>
  <c r="BB272" i="1"/>
  <c r="BA272" i="1"/>
  <c r="AZ272" i="1"/>
  <c r="AY272" i="1"/>
  <c r="AX272" i="1"/>
  <c r="AT272" i="1"/>
  <c r="AU272" i="1" s="1"/>
  <c r="AS272" i="1"/>
  <c r="N272" i="1"/>
  <c r="BW271" i="1"/>
  <c r="BU271" i="1"/>
  <c r="BN271" i="1"/>
  <c r="BM271" i="1"/>
  <c r="BJ271" i="1"/>
  <c r="BI271" i="1"/>
  <c r="BH271" i="1"/>
  <c r="BG271" i="1"/>
  <c r="BF271" i="1"/>
  <c r="BE271" i="1"/>
  <c r="BC271" i="1"/>
  <c r="BB271" i="1"/>
  <c r="BA271" i="1"/>
  <c r="AZ271" i="1"/>
  <c r="AY271" i="1"/>
  <c r="AX271" i="1"/>
  <c r="AT271" i="1"/>
  <c r="AU271" i="1" s="1"/>
  <c r="AS271" i="1"/>
  <c r="N271" i="1"/>
  <c r="BW270" i="1"/>
  <c r="BU270" i="1"/>
  <c r="BN270" i="1"/>
  <c r="BM270" i="1"/>
  <c r="BJ270" i="1"/>
  <c r="BI270" i="1"/>
  <c r="BH270" i="1"/>
  <c r="BG270" i="1"/>
  <c r="BF270" i="1"/>
  <c r="BE270" i="1"/>
  <c r="BA270" i="1"/>
  <c r="AZ270" i="1"/>
  <c r="AY270" i="1"/>
  <c r="AX270" i="1"/>
  <c r="AT270" i="1"/>
  <c r="AU270" i="1" s="1"/>
  <c r="AS270" i="1"/>
  <c r="N270" i="1"/>
  <c r="BW269" i="1"/>
  <c r="BU269" i="1"/>
  <c r="BM269" i="1"/>
  <c r="BJ269" i="1"/>
  <c r="BI269" i="1"/>
  <c r="BH269" i="1"/>
  <c r="BG269" i="1"/>
  <c r="BF269" i="1"/>
  <c r="BE269" i="1"/>
  <c r="BC269" i="1"/>
  <c r="BB269" i="1"/>
  <c r="BA269" i="1"/>
  <c r="AZ269" i="1"/>
  <c r="AY269" i="1"/>
  <c r="AX269" i="1"/>
  <c r="AT269" i="1"/>
  <c r="AU269" i="1" s="1"/>
  <c r="AS269" i="1"/>
  <c r="N269" i="1"/>
  <c r="BW268" i="1"/>
  <c r="BU268" i="1"/>
  <c r="BN268" i="1"/>
  <c r="BM268" i="1"/>
  <c r="BJ268" i="1"/>
  <c r="BI268" i="1"/>
  <c r="BH268" i="1"/>
  <c r="BG268" i="1"/>
  <c r="BF268" i="1"/>
  <c r="BE268" i="1"/>
  <c r="BC268" i="1"/>
  <c r="BB268" i="1"/>
  <c r="BA268" i="1"/>
  <c r="AZ268" i="1"/>
  <c r="AY268" i="1"/>
  <c r="AX268" i="1"/>
  <c r="AT268" i="1"/>
  <c r="AU268" i="1" s="1"/>
  <c r="AS268" i="1"/>
  <c r="N268" i="1"/>
  <c r="BW267" i="1"/>
  <c r="BU267" i="1"/>
  <c r="BM267" i="1"/>
  <c r="BJ267" i="1"/>
  <c r="BI267" i="1"/>
  <c r="BH267" i="1"/>
  <c r="BG267" i="1"/>
  <c r="BF267" i="1"/>
  <c r="BE267" i="1"/>
  <c r="BC267" i="1"/>
  <c r="BB267" i="1"/>
  <c r="BA267" i="1"/>
  <c r="AZ267" i="1"/>
  <c r="AY267" i="1"/>
  <c r="AX267" i="1"/>
  <c r="AT267" i="1"/>
  <c r="AU267" i="1" s="1"/>
  <c r="AS267" i="1"/>
  <c r="N267" i="1"/>
  <c r="BW266" i="1"/>
  <c r="BU266" i="1"/>
  <c r="BN266" i="1"/>
  <c r="BM266" i="1"/>
  <c r="BJ266" i="1"/>
  <c r="BI266" i="1"/>
  <c r="BH266" i="1"/>
  <c r="BG266" i="1"/>
  <c r="BF266" i="1"/>
  <c r="BE266" i="1"/>
  <c r="BC266" i="1"/>
  <c r="BB266" i="1"/>
  <c r="BA266" i="1"/>
  <c r="AZ266" i="1"/>
  <c r="AY266" i="1"/>
  <c r="AX266" i="1"/>
  <c r="AT266" i="1"/>
  <c r="AU266" i="1" s="1"/>
  <c r="AS266" i="1"/>
  <c r="N266" i="1"/>
  <c r="BW265" i="1"/>
  <c r="BU265" i="1"/>
  <c r="BN265" i="1"/>
  <c r="BM265" i="1"/>
  <c r="BJ265" i="1"/>
  <c r="BI265" i="1"/>
  <c r="BH265" i="1"/>
  <c r="BG265" i="1"/>
  <c r="BF265" i="1"/>
  <c r="BE265" i="1"/>
  <c r="BC265" i="1"/>
  <c r="BB265" i="1"/>
  <c r="BA265" i="1"/>
  <c r="AZ265" i="1"/>
  <c r="AY265" i="1"/>
  <c r="AX265" i="1"/>
  <c r="AT265" i="1"/>
  <c r="AS265" i="1"/>
  <c r="N265" i="1"/>
  <c r="BW264" i="1"/>
  <c r="BU264" i="1"/>
  <c r="BM264" i="1"/>
  <c r="BJ264" i="1"/>
  <c r="BI264" i="1"/>
  <c r="BH264" i="1"/>
  <c r="BG264" i="1"/>
  <c r="BF264" i="1"/>
  <c r="BE264" i="1"/>
  <c r="BC264" i="1"/>
  <c r="BB264" i="1"/>
  <c r="BA264" i="1"/>
  <c r="AZ264" i="1"/>
  <c r="AY264" i="1"/>
  <c r="AX264" i="1"/>
  <c r="AT264" i="1"/>
  <c r="AU264" i="1" s="1"/>
  <c r="AS264" i="1"/>
  <c r="N264" i="1"/>
  <c r="BW263" i="1"/>
  <c r="BU263" i="1"/>
  <c r="BN263" i="1"/>
  <c r="BM263" i="1"/>
  <c r="BJ263" i="1"/>
  <c r="BI263" i="1"/>
  <c r="BH263" i="1"/>
  <c r="BG263" i="1"/>
  <c r="BF263" i="1"/>
  <c r="BE263" i="1"/>
  <c r="BC263" i="1"/>
  <c r="BB263" i="1"/>
  <c r="BA263" i="1"/>
  <c r="AZ263" i="1"/>
  <c r="AY263" i="1"/>
  <c r="AX263" i="1"/>
  <c r="AT263" i="1"/>
  <c r="AS263" i="1"/>
  <c r="N263" i="1"/>
  <c r="BW262" i="1"/>
  <c r="BU262" i="1"/>
  <c r="BM262" i="1"/>
  <c r="BJ262" i="1"/>
  <c r="BI262" i="1"/>
  <c r="BH262" i="1"/>
  <c r="BG262" i="1"/>
  <c r="BF262" i="1"/>
  <c r="BE262" i="1"/>
  <c r="BC262" i="1"/>
  <c r="BB262" i="1"/>
  <c r="BA262" i="1"/>
  <c r="AZ262" i="1"/>
  <c r="AY262" i="1"/>
  <c r="AX262" i="1"/>
  <c r="AT262" i="1"/>
  <c r="AU262" i="1" s="1"/>
  <c r="AS262" i="1"/>
  <c r="N262" i="1"/>
  <c r="BW261" i="1"/>
  <c r="BU261" i="1"/>
  <c r="BN261" i="1"/>
  <c r="BM261" i="1"/>
  <c r="BJ261" i="1"/>
  <c r="BI261" i="1"/>
  <c r="BH261" i="1"/>
  <c r="BG261" i="1"/>
  <c r="BF261" i="1"/>
  <c r="BE261" i="1"/>
  <c r="BC261" i="1"/>
  <c r="BB261" i="1"/>
  <c r="BA261" i="1"/>
  <c r="AZ261" i="1"/>
  <c r="AY261" i="1"/>
  <c r="AX261" i="1"/>
  <c r="AT261" i="1"/>
  <c r="AU261" i="1" s="1"/>
  <c r="AS261" i="1"/>
  <c r="N261" i="1"/>
  <c r="C17" i="14" l="1"/>
  <c r="C20" i="14" s="1"/>
  <c r="D20" i="14" s="1"/>
  <c r="E20" i="14" s="1"/>
  <c r="F20" i="14" s="1"/>
  <c r="D15" i="14"/>
  <c r="E15" i="14" s="1"/>
  <c r="F15" i="14" s="1"/>
  <c r="J15" i="14" s="1"/>
  <c r="K15" i="14" s="1"/>
  <c r="C18" i="14"/>
  <c r="D18" i="14" s="1"/>
  <c r="E18" i="14" s="1"/>
  <c r="F18" i="14" s="1"/>
  <c r="C21" i="14"/>
  <c r="D21" i="14" s="1"/>
  <c r="E21" i="14" s="1"/>
  <c r="F21" i="14" s="1"/>
  <c r="AE52" i="15"/>
  <c r="AQ47" i="15"/>
  <c r="AR47" i="15" s="1"/>
  <c r="AS47" i="15" s="1"/>
  <c r="AE51" i="15"/>
  <c r="AN47" i="15"/>
  <c r="AO47" i="15" s="1"/>
  <c r="AP47" i="15" s="1"/>
  <c r="AV281" i="1"/>
  <c r="C26" i="15"/>
  <c r="C61" i="15" s="1"/>
  <c r="AV263" i="1"/>
  <c r="AW263" i="1" s="1"/>
  <c r="C8" i="15"/>
  <c r="C43" i="15" s="1"/>
  <c r="AV266" i="1"/>
  <c r="C11" i="15"/>
  <c r="C46" i="15" s="1"/>
  <c r="AV269" i="1"/>
  <c r="C14" i="15"/>
  <c r="C49" i="15" s="1"/>
  <c r="AV273" i="1"/>
  <c r="AW273" i="1" s="1"/>
  <c r="AQ273" i="1" s="1"/>
  <c r="C18" i="15"/>
  <c r="C53" i="15" s="1"/>
  <c r="AV276" i="1"/>
  <c r="AW276" i="1" s="1"/>
  <c r="C21" i="15"/>
  <c r="C56" i="15" s="1"/>
  <c r="AV279" i="1"/>
  <c r="AW279" i="1" s="1"/>
  <c r="C24" i="15"/>
  <c r="C59" i="15" s="1"/>
  <c r="AV282" i="1"/>
  <c r="AW282" i="1" s="1"/>
  <c r="C27" i="15"/>
  <c r="C62" i="15" s="1"/>
  <c r="AV270" i="1"/>
  <c r="AQ270" i="1" s="1"/>
  <c r="C15" i="15"/>
  <c r="C50" i="15" s="1"/>
  <c r="AV264" i="1"/>
  <c r="AW264" i="1" s="1"/>
  <c r="C9" i="15"/>
  <c r="C44" i="15" s="1"/>
  <c r="AV267" i="1"/>
  <c r="C12" i="15"/>
  <c r="C47" i="15" s="1"/>
  <c r="AV271" i="1"/>
  <c r="AW271" i="1" s="1"/>
  <c r="C16" i="15"/>
  <c r="C51" i="15" s="1"/>
  <c r="AV274" i="1"/>
  <c r="AW274" i="1" s="1"/>
  <c r="C19" i="15"/>
  <c r="C54" i="15" s="1"/>
  <c r="AV277" i="1"/>
  <c r="AW277" i="1" s="1"/>
  <c r="C22" i="15"/>
  <c r="C57" i="15" s="1"/>
  <c r="AV280" i="1"/>
  <c r="AW280" i="1" s="1"/>
  <c r="C25" i="15"/>
  <c r="C60" i="15" s="1"/>
  <c r="AV262" i="1"/>
  <c r="AW262" i="1" s="1"/>
  <c r="C7" i="15"/>
  <c r="C42" i="15" s="1"/>
  <c r="AV278" i="1"/>
  <c r="AW278" i="1" s="1"/>
  <c r="C23" i="15"/>
  <c r="C58" i="15" s="1"/>
  <c r="AV261" i="1"/>
  <c r="AW261" i="1" s="1"/>
  <c r="C6" i="15"/>
  <c r="C41" i="15" s="1"/>
  <c r="AV283" i="1"/>
  <c r="AW283" i="1" s="1"/>
  <c r="C28" i="15"/>
  <c r="C63" i="15" s="1"/>
  <c r="AV272" i="1"/>
  <c r="C17" i="15"/>
  <c r="C52" i="15" s="1"/>
  <c r="AV275" i="1"/>
  <c r="AW275" i="1" s="1"/>
  <c r="C20" i="15"/>
  <c r="C55" i="15" s="1"/>
  <c r="AV284" i="1"/>
  <c r="AW284" i="1" s="1"/>
  <c r="C29" i="15"/>
  <c r="C64" i="15" s="1"/>
  <c r="AV265" i="1"/>
  <c r="AW265" i="1" s="1"/>
  <c r="C10" i="15"/>
  <c r="C45" i="15" s="1"/>
  <c r="AV268" i="1"/>
  <c r="AW268" i="1" s="1"/>
  <c r="C13" i="15"/>
  <c r="C48" i="15" s="1"/>
  <c r="T72" i="15"/>
  <c r="V71" i="15"/>
  <c r="T30" i="15"/>
  <c r="V29" i="15"/>
  <c r="K69" i="15"/>
  <c r="AH26" i="15" s="1"/>
  <c r="AH36" i="15" s="1"/>
  <c r="K67" i="15"/>
  <c r="AG25" i="15" s="1"/>
  <c r="AG35" i="15" s="1"/>
  <c r="AP53" i="15" s="1"/>
  <c r="AP55" i="15" s="1"/>
  <c r="K53" i="15"/>
  <c r="K58" i="15"/>
  <c r="K64" i="15"/>
  <c r="K50" i="15"/>
  <c r="K45" i="15"/>
  <c r="K57" i="15"/>
  <c r="K60" i="15"/>
  <c r="K51" i="15"/>
  <c r="K43" i="15"/>
  <c r="K48" i="15"/>
  <c r="AJ21" i="15"/>
  <c r="AI21" i="15"/>
  <c r="AG18" i="15"/>
  <c r="AF18" i="15"/>
  <c r="AJ15" i="15"/>
  <c r="AI15" i="15"/>
  <c r="AG12" i="15"/>
  <c r="AF12" i="15"/>
  <c r="AE12" i="15"/>
  <c r="K46" i="15"/>
  <c r="AV285" i="1"/>
  <c r="AW285" i="1" s="1"/>
  <c r="C30" i="15"/>
  <c r="C65" i="15" s="1"/>
  <c r="AV286" i="1"/>
  <c r="AW286" i="1" s="1"/>
  <c r="AQ286" i="1" s="1"/>
  <c r="C31" i="15"/>
  <c r="C66" i="15" s="1"/>
  <c r="K41" i="15"/>
  <c r="AR270" i="1"/>
  <c r="AU265" i="1"/>
  <c r="AU263" i="1"/>
  <c r="BM234" i="1"/>
  <c r="BJ234" i="1"/>
  <c r="BI234" i="1"/>
  <c r="BH234" i="1"/>
  <c r="BG234" i="1"/>
  <c r="BF234" i="1"/>
  <c r="BE234" i="1"/>
  <c r="BC234" i="1"/>
  <c r="BB234" i="1"/>
  <c r="BA234" i="1"/>
  <c r="AZ234" i="1"/>
  <c r="AY234" i="1"/>
  <c r="AX234" i="1"/>
  <c r="AT234" i="1"/>
  <c r="AU234" i="1" s="1"/>
  <c r="AS234" i="1"/>
  <c r="N234" i="1"/>
  <c r="AV234" i="1" s="1"/>
  <c r="AW234" i="1" s="1"/>
  <c r="BM233" i="1"/>
  <c r="BJ233" i="1"/>
  <c r="BI233" i="1"/>
  <c r="BH233" i="1"/>
  <c r="BG233" i="1"/>
  <c r="BF233" i="1"/>
  <c r="BE233" i="1"/>
  <c r="BC233" i="1"/>
  <c r="BB233" i="1"/>
  <c r="BA233" i="1"/>
  <c r="AZ233" i="1"/>
  <c r="AY233" i="1"/>
  <c r="AX233" i="1"/>
  <c r="AT233" i="1"/>
  <c r="AS233" i="1"/>
  <c r="N233" i="1"/>
  <c r="AV233" i="1" s="1"/>
  <c r="AW233" i="1" s="1"/>
  <c r="BM232" i="1"/>
  <c r="BJ232" i="1"/>
  <c r="BI232" i="1"/>
  <c r="BH232" i="1"/>
  <c r="BG232" i="1"/>
  <c r="BF232" i="1"/>
  <c r="BE232" i="1"/>
  <c r="BC232" i="1"/>
  <c r="BB232" i="1"/>
  <c r="BA232" i="1"/>
  <c r="AZ232" i="1"/>
  <c r="AY232" i="1"/>
  <c r="AX232" i="1"/>
  <c r="AT232" i="1"/>
  <c r="AU232" i="1" s="1"/>
  <c r="AS232" i="1"/>
  <c r="N232" i="1"/>
  <c r="AV232" i="1" s="1"/>
  <c r="AW232" i="1" s="1"/>
  <c r="BM231" i="1"/>
  <c r="BJ231" i="1"/>
  <c r="BI231" i="1"/>
  <c r="BH231" i="1"/>
  <c r="BG231" i="1"/>
  <c r="BF231" i="1"/>
  <c r="BE231" i="1"/>
  <c r="BC231" i="1"/>
  <c r="BB231" i="1"/>
  <c r="BA231" i="1"/>
  <c r="AZ231" i="1"/>
  <c r="AY231" i="1"/>
  <c r="AX231" i="1"/>
  <c r="AT231" i="1"/>
  <c r="AU231" i="1" s="1"/>
  <c r="AS231" i="1"/>
  <c r="N231" i="1"/>
  <c r="AV231" i="1" s="1"/>
  <c r="AW231" i="1" s="1"/>
  <c r="BT230" i="1"/>
  <c r="BS230" i="1"/>
  <c r="BR230" i="1"/>
  <c r="BQ230" i="1"/>
  <c r="BN230" i="1"/>
  <c r="BM230" i="1"/>
  <c r="BJ230" i="1"/>
  <c r="BI230" i="1"/>
  <c r="BH230" i="1"/>
  <c r="BG230" i="1"/>
  <c r="BF230" i="1"/>
  <c r="BE230" i="1"/>
  <c r="BC230" i="1"/>
  <c r="BB230" i="1"/>
  <c r="BA230" i="1"/>
  <c r="AZ230" i="1"/>
  <c r="AY230" i="1"/>
  <c r="AX230" i="1"/>
  <c r="AT230" i="1"/>
  <c r="AS230" i="1"/>
  <c r="N230" i="1"/>
  <c r="AV230" i="1" s="1"/>
  <c r="AW230" i="1" s="1"/>
  <c r="BW229" i="1"/>
  <c r="BQ229" i="1"/>
  <c r="BV229" i="1" s="1"/>
  <c r="BJ229" i="1"/>
  <c r="BI229" i="1"/>
  <c r="BH229" i="1"/>
  <c r="BG229" i="1"/>
  <c r="BF229" i="1"/>
  <c r="BE229" i="1"/>
  <c r="BC229" i="1"/>
  <c r="BB229" i="1"/>
  <c r="BA229" i="1"/>
  <c r="AZ229" i="1"/>
  <c r="AY229" i="1"/>
  <c r="AX229" i="1"/>
  <c r="AT229" i="1"/>
  <c r="AS229" i="1"/>
  <c r="N229" i="1"/>
  <c r="AV229" i="1" s="1"/>
  <c r="AW229" i="1" s="1"/>
  <c r="BR228" i="1"/>
  <c r="BW228" i="1" s="1"/>
  <c r="BQ228" i="1"/>
  <c r="BV228" i="1" s="1"/>
  <c r="BM228" i="1"/>
  <c r="BJ228" i="1"/>
  <c r="BI228" i="1"/>
  <c r="BH228" i="1"/>
  <c r="BG228" i="1"/>
  <c r="BF228" i="1"/>
  <c r="BE228" i="1"/>
  <c r="BC228" i="1"/>
  <c r="BB228" i="1"/>
  <c r="BA228" i="1"/>
  <c r="AZ228" i="1"/>
  <c r="AY228" i="1"/>
  <c r="AX228" i="1"/>
  <c r="AT228" i="1"/>
  <c r="AU228" i="1" s="1"/>
  <c r="AS228" i="1"/>
  <c r="N228" i="1"/>
  <c r="AV228" i="1" s="1"/>
  <c r="AW228" i="1" s="1"/>
  <c r="BR227" i="1"/>
  <c r="BW227" i="1" s="1"/>
  <c r="BQ227" i="1"/>
  <c r="BV227" i="1" s="1"/>
  <c r="BM227" i="1"/>
  <c r="BJ227" i="1"/>
  <c r="BI227" i="1"/>
  <c r="BH227" i="1"/>
  <c r="BG227" i="1"/>
  <c r="BF227" i="1"/>
  <c r="BE227" i="1"/>
  <c r="BC227" i="1"/>
  <c r="BB227" i="1"/>
  <c r="BA227" i="1"/>
  <c r="AZ227" i="1"/>
  <c r="AY227" i="1"/>
  <c r="AX227" i="1"/>
  <c r="AT227" i="1"/>
  <c r="AU227" i="1" s="1"/>
  <c r="AS227" i="1"/>
  <c r="N227" i="1"/>
  <c r="AV227" i="1" s="1"/>
  <c r="AW227" i="1" s="1"/>
  <c r="BT226" i="1"/>
  <c r="BS226" i="1"/>
  <c r="BR226" i="1"/>
  <c r="BQ226" i="1"/>
  <c r="BN226" i="1"/>
  <c r="BM226" i="1"/>
  <c r="BJ226" i="1"/>
  <c r="BI226" i="1"/>
  <c r="BH226" i="1"/>
  <c r="BG226" i="1"/>
  <c r="BF226" i="1"/>
  <c r="BE226" i="1"/>
  <c r="BC226" i="1"/>
  <c r="BB226" i="1"/>
  <c r="BA226" i="1"/>
  <c r="AZ226" i="1"/>
  <c r="AY226" i="1"/>
  <c r="AX226" i="1"/>
  <c r="AT226" i="1"/>
  <c r="AU226" i="1" s="1"/>
  <c r="AS226" i="1"/>
  <c r="N226" i="1"/>
  <c r="AV226" i="1" s="1"/>
  <c r="AW226" i="1" s="1"/>
  <c r="BR225" i="1"/>
  <c r="BW225" i="1" s="1"/>
  <c r="BQ225" i="1"/>
  <c r="BV225" i="1" s="1"/>
  <c r="BM225" i="1"/>
  <c r="BJ225" i="1"/>
  <c r="BI225" i="1"/>
  <c r="BH225" i="1"/>
  <c r="BG225" i="1"/>
  <c r="BF225" i="1"/>
  <c r="BE225" i="1"/>
  <c r="BC225" i="1"/>
  <c r="BB225" i="1"/>
  <c r="BA225" i="1"/>
  <c r="AZ225" i="1"/>
  <c r="AY225" i="1"/>
  <c r="AX225" i="1"/>
  <c r="AT225" i="1"/>
  <c r="AU225" i="1" s="1"/>
  <c r="AS225" i="1"/>
  <c r="N225" i="1"/>
  <c r="AV225" i="1" s="1"/>
  <c r="AW225" i="1" s="1"/>
  <c r="BT224" i="1"/>
  <c r="BS224" i="1"/>
  <c r="BR224" i="1"/>
  <c r="BQ224" i="1"/>
  <c r="BN224" i="1"/>
  <c r="BM224" i="1"/>
  <c r="BJ224" i="1"/>
  <c r="BI224" i="1"/>
  <c r="BH224" i="1"/>
  <c r="BG224" i="1"/>
  <c r="BF224" i="1"/>
  <c r="BE224" i="1"/>
  <c r="BC224" i="1"/>
  <c r="BB224" i="1"/>
  <c r="BA224" i="1"/>
  <c r="AZ224" i="1"/>
  <c r="AY224" i="1"/>
  <c r="AX224" i="1"/>
  <c r="AT224" i="1"/>
  <c r="AS224" i="1"/>
  <c r="N224" i="1"/>
  <c r="AV224" i="1" s="1"/>
  <c r="AW224" i="1" s="1"/>
  <c r="BT223" i="1"/>
  <c r="BS223" i="1"/>
  <c r="BR223" i="1"/>
  <c r="BQ223" i="1"/>
  <c r="BN223" i="1"/>
  <c r="BM223" i="1"/>
  <c r="BJ223" i="1"/>
  <c r="BI223" i="1"/>
  <c r="BH223" i="1"/>
  <c r="BG223" i="1"/>
  <c r="BF223" i="1"/>
  <c r="BE223" i="1"/>
  <c r="BC223" i="1"/>
  <c r="BB223" i="1"/>
  <c r="BA223" i="1"/>
  <c r="AZ223" i="1"/>
  <c r="AY223" i="1"/>
  <c r="AX223" i="1"/>
  <c r="AT223" i="1"/>
  <c r="AU223" i="1" s="1"/>
  <c r="AS223" i="1"/>
  <c r="N223" i="1"/>
  <c r="AV223" i="1" s="1"/>
  <c r="AW223" i="1" s="1"/>
  <c r="BW222" i="1"/>
  <c r="BQ222" i="1"/>
  <c r="BV222" i="1" s="1"/>
  <c r="BM222" i="1"/>
  <c r="BJ222" i="1"/>
  <c r="BI222" i="1"/>
  <c r="BH222" i="1"/>
  <c r="BG222" i="1"/>
  <c r="BF222" i="1"/>
  <c r="BE222" i="1"/>
  <c r="BC222" i="1"/>
  <c r="BB222" i="1"/>
  <c r="BA222" i="1"/>
  <c r="AZ222" i="1"/>
  <c r="AY222" i="1"/>
  <c r="AX222" i="1"/>
  <c r="AT222" i="1"/>
  <c r="AU222" i="1" s="1"/>
  <c r="AS222" i="1"/>
  <c r="N222" i="1"/>
  <c r="AV222" i="1" s="1"/>
  <c r="BR221" i="1"/>
  <c r="BW221" i="1" s="1"/>
  <c r="BQ221" i="1"/>
  <c r="BV221" i="1" s="1"/>
  <c r="BM221" i="1"/>
  <c r="BJ221" i="1"/>
  <c r="BI221" i="1"/>
  <c r="BH221" i="1"/>
  <c r="BG221" i="1"/>
  <c r="BF221" i="1"/>
  <c r="BE221" i="1"/>
  <c r="BC221" i="1"/>
  <c r="BB221" i="1"/>
  <c r="BA221" i="1"/>
  <c r="AZ221" i="1"/>
  <c r="AY221" i="1"/>
  <c r="AX221" i="1"/>
  <c r="AT221" i="1"/>
  <c r="AS221" i="1"/>
  <c r="N221" i="1"/>
  <c r="AV221" i="1" s="1"/>
  <c r="AW221" i="1" s="1"/>
  <c r="BR220" i="1"/>
  <c r="BW220" i="1" s="1"/>
  <c r="BQ220" i="1"/>
  <c r="BV220" i="1" s="1"/>
  <c r="BM220" i="1"/>
  <c r="BJ220" i="1"/>
  <c r="BI220" i="1"/>
  <c r="BH220" i="1"/>
  <c r="BG220" i="1"/>
  <c r="BF220" i="1"/>
  <c r="BE220" i="1"/>
  <c r="BC220" i="1"/>
  <c r="BB220" i="1"/>
  <c r="BA220" i="1"/>
  <c r="AZ220" i="1"/>
  <c r="AY220" i="1"/>
  <c r="AX220" i="1"/>
  <c r="AT220" i="1"/>
  <c r="AU220" i="1" s="1"/>
  <c r="AS220" i="1"/>
  <c r="N220" i="1"/>
  <c r="AV220" i="1" s="1"/>
  <c r="AW220" i="1" s="1"/>
  <c r="BT219" i="1"/>
  <c r="BS219" i="1"/>
  <c r="BR219" i="1"/>
  <c r="BQ219" i="1"/>
  <c r="BN219" i="1"/>
  <c r="BM219" i="1"/>
  <c r="BJ219" i="1"/>
  <c r="BI219" i="1"/>
  <c r="BH219" i="1"/>
  <c r="BG219" i="1"/>
  <c r="BF219" i="1"/>
  <c r="BE219" i="1"/>
  <c r="BC219" i="1"/>
  <c r="BB219" i="1"/>
  <c r="BA219" i="1"/>
  <c r="AZ219" i="1"/>
  <c r="AY219" i="1"/>
  <c r="AX219" i="1"/>
  <c r="AT219" i="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S217" i="1"/>
  <c r="N217" i="1"/>
  <c r="AV217" i="1" s="1"/>
  <c r="AW217" i="1" s="1"/>
  <c r="BT216" i="1"/>
  <c r="BS216" i="1"/>
  <c r="BR216" i="1"/>
  <c r="BQ216" i="1"/>
  <c r="BN216" i="1"/>
  <c r="BM216" i="1"/>
  <c r="BJ216" i="1"/>
  <c r="BI216" i="1"/>
  <c r="BH216" i="1"/>
  <c r="BG216" i="1"/>
  <c r="BF216" i="1"/>
  <c r="BE216" i="1"/>
  <c r="BC216" i="1"/>
  <c r="BB216" i="1"/>
  <c r="BA216" i="1"/>
  <c r="AZ216" i="1"/>
  <c r="AY216" i="1"/>
  <c r="AX216" i="1"/>
  <c r="AT216" i="1"/>
  <c r="AU216" i="1" s="1"/>
  <c r="AS216" i="1"/>
  <c r="N216" i="1"/>
  <c r="AV216" i="1" s="1"/>
  <c r="AW216" i="1" s="1"/>
  <c r="BR215" i="1"/>
  <c r="BW215" i="1" s="1"/>
  <c r="BQ215" i="1"/>
  <c r="BV215" i="1" s="1"/>
  <c r="BM215" i="1"/>
  <c r="BJ215" i="1"/>
  <c r="BI215" i="1"/>
  <c r="BH215" i="1"/>
  <c r="BG215" i="1"/>
  <c r="BF215" i="1"/>
  <c r="BE215" i="1"/>
  <c r="BC215" i="1"/>
  <c r="BB215" i="1"/>
  <c r="BA215" i="1"/>
  <c r="AZ215" i="1"/>
  <c r="AY215" i="1"/>
  <c r="AX215" i="1"/>
  <c r="AT215" i="1"/>
  <c r="AU215" i="1" s="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R213" i="1"/>
  <c r="BW213" i="1" s="1"/>
  <c r="BQ213" i="1"/>
  <c r="BV213" i="1" s="1"/>
  <c r="BM213" i="1"/>
  <c r="BJ213" i="1"/>
  <c r="BI213" i="1"/>
  <c r="BH213" i="1"/>
  <c r="BG213" i="1"/>
  <c r="BF213" i="1"/>
  <c r="BE213" i="1"/>
  <c r="BC213" i="1"/>
  <c r="BB213" i="1"/>
  <c r="BA213" i="1"/>
  <c r="AZ213" i="1"/>
  <c r="AY213" i="1"/>
  <c r="AX213" i="1"/>
  <c r="AT213" i="1"/>
  <c r="AU213" i="1" s="1"/>
  <c r="AS213" i="1"/>
  <c r="N213" i="1"/>
  <c r="AV213" i="1" s="1"/>
  <c r="AW213" i="1" s="1"/>
  <c r="BT212" i="1"/>
  <c r="BS212" i="1"/>
  <c r="BR212" i="1"/>
  <c r="BQ212" i="1"/>
  <c r="BN212" i="1"/>
  <c r="BM212" i="1"/>
  <c r="BJ212" i="1"/>
  <c r="BI212" i="1"/>
  <c r="BH212" i="1"/>
  <c r="BG212" i="1"/>
  <c r="BF212" i="1"/>
  <c r="BE212" i="1"/>
  <c r="BC212" i="1"/>
  <c r="BB212" i="1"/>
  <c r="BA212" i="1"/>
  <c r="AZ212" i="1"/>
  <c r="AY212" i="1"/>
  <c r="AX212" i="1"/>
  <c r="AT212" i="1"/>
  <c r="AU212" i="1" s="1"/>
  <c r="AS212" i="1"/>
  <c r="N212" i="1"/>
  <c r="AV212" i="1" s="1"/>
  <c r="AW212" i="1" s="1"/>
  <c r="BT211" i="1"/>
  <c r="BS211" i="1"/>
  <c r="BR211" i="1"/>
  <c r="BQ211" i="1"/>
  <c r="BN211" i="1"/>
  <c r="BM211" i="1"/>
  <c r="BJ211" i="1"/>
  <c r="BI211" i="1"/>
  <c r="BH211" i="1"/>
  <c r="BG211" i="1"/>
  <c r="BF211" i="1"/>
  <c r="BE211" i="1"/>
  <c r="BC211" i="1"/>
  <c r="BB211" i="1"/>
  <c r="BA211" i="1"/>
  <c r="AZ211" i="1"/>
  <c r="AY211" i="1"/>
  <c r="AX211" i="1"/>
  <c r="AT211" i="1"/>
  <c r="AS211" i="1"/>
  <c r="N211" i="1"/>
  <c r="AV211" i="1" s="1"/>
  <c r="AW211" i="1" s="1"/>
  <c r="BR210" i="1"/>
  <c r="BW210" i="1" s="1"/>
  <c r="BQ210" i="1"/>
  <c r="BV210" i="1" s="1"/>
  <c r="BM210" i="1"/>
  <c r="BJ210" i="1"/>
  <c r="BI210" i="1"/>
  <c r="BH210" i="1"/>
  <c r="BG210" i="1"/>
  <c r="BF210" i="1"/>
  <c r="BE210" i="1"/>
  <c r="BC210" i="1"/>
  <c r="BB210" i="1"/>
  <c r="BA210" i="1"/>
  <c r="AZ210" i="1"/>
  <c r="AY210" i="1"/>
  <c r="AX210" i="1"/>
  <c r="AT210" i="1"/>
  <c r="AS210" i="1"/>
  <c r="N210" i="1"/>
  <c r="AV210" i="1" s="1"/>
  <c r="AW210" i="1" s="1"/>
  <c r="BT209" i="1"/>
  <c r="BS209" i="1"/>
  <c r="BR209" i="1"/>
  <c r="BQ209" i="1"/>
  <c r="BN209" i="1"/>
  <c r="BM209" i="1"/>
  <c r="BJ209" i="1"/>
  <c r="BI209" i="1"/>
  <c r="BH209" i="1"/>
  <c r="BG209" i="1"/>
  <c r="BF209" i="1"/>
  <c r="BE209" i="1"/>
  <c r="BC209" i="1"/>
  <c r="BB209" i="1"/>
  <c r="BA209" i="1"/>
  <c r="AZ209" i="1"/>
  <c r="AY209" i="1"/>
  <c r="AX209" i="1"/>
  <c r="AT209" i="1"/>
  <c r="AU209" i="1" s="1"/>
  <c r="AS209" i="1"/>
  <c r="N209" i="1"/>
  <c r="AV209" i="1" s="1"/>
  <c r="AW209" i="1" s="1"/>
  <c r="BR208" i="1"/>
  <c r="BW208" i="1" s="1"/>
  <c r="BQ208" i="1"/>
  <c r="BV208" i="1" s="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AW272" i="1" l="1"/>
  <c r="AQ272" i="1" s="1"/>
  <c r="AW281" i="1"/>
  <c r="AQ281" i="1" s="1"/>
  <c r="AW266" i="1"/>
  <c r="AQ266" i="1" s="1"/>
  <c r="AW269" i="1"/>
  <c r="AQ269" i="1" s="1"/>
  <c r="AW267" i="1"/>
  <c r="AQ267" i="1" s="1"/>
  <c r="AQ274" i="1"/>
  <c r="AQ268" i="1"/>
  <c r="AQ262" i="1"/>
  <c r="AQ282" i="1"/>
  <c r="AQ278" i="1"/>
  <c r="AQ264" i="1"/>
  <c r="AQ277" i="1"/>
  <c r="AQ261" i="1"/>
  <c r="AQ263" i="1"/>
  <c r="AQ276" i="1"/>
  <c r="AQ284" i="1"/>
  <c r="AQ280" i="1"/>
  <c r="AQ283" i="1"/>
  <c r="AQ275" i="1"/>
  <c r="J22" i="14"/>
  <c r="K22" i="14" s="1"/>
  <c r="J16" i="14"/>
  <c r="K16" i="14" s="1"/>
  <c r="C23" i="14"/>
  <c r="D23" i="14" s="1"/>
  <c r="E23" i="14" s="1"/>
  <c r="F23" i="14" s="1"/>
  <c r="J23" i="14" s="1"/>
  <c r="K23" i="14" s="1"/>
  <c r="J19" i="14"/>
  <c r="K19" i="14" s="1"/>
  <c r="D17" i="14"/>
  <c r="E17" i="14" s="1"/>
  <c r="F17" i="14" s="1"/>
  <c r="J17" i="14" s="1"/>
  <c r="K17" i="14" s="1"/>
  <c r="J21" i="14"/>
  <c r="K21" i="14" s="1"/>
  <c r="J20" i="14"/>
  <c r="K20" i="14" s="1"/>
  <c r="J18" i="14"/>
  <c r="K18" i="14" s="1"/>
  <c r="AQ33" i="15"/>
  <c r="AQ34" i="15" s="1"/>
  <c r="AQ35" i="15" s="1"/>
  <c r="AQ53" i="15"/>
  <c r="AQ55" i="15" s="1"/>
  <c r="AP73" i="15"/>
  <c r="AP75" i="15" s="1"/>
  <c r="AP33" i="15"/>
  <c r="AP34" i="15" s="1"/>
  <c r="AP35" i="15" s="1"/>
  <c r="AH20" i="15"/>
  <c r="AQ279" i="1"/>
  <c r="AQ271" i="1"/>
  <c r="AQ265" i="1"/>
  <c r="AP270" i="1"/>
  <c r="T73" i="15"/>
  <c r="V72" i="15"/>
  <c r="T31" i="15"/>
  <c r="V30" i="15"/>
  <c r="AI22" i="15"/>
  <c r="AG13" i="15"/>
  <c r="AG29" i="15" s="1"/>
  <c r="AE19" i="15"/>
  <c r="AE31" i="15" s="1"/>
  <c r="AN58" i="15" s="1"/>
  <c r="AE17" i="15"/>
  <c r="AQ73" i="15"/>
  <c r="AQ75" i="15" s="1"/>
  <c r="AE56" i="15"/>
  <c r="AE55" i="15"/>
  <c r="AG19" i="15"/>
  <c r="AG31" i="15" s="1"/>
  <c r="AP58" i="15" s="1"/>
  <c r="AI26" i="15"/>
  <c r="AI36" i="15" s="1"/>
  <c r="AR53" i="15" s="1"/>
  <c r="AR55" i="15" s="1"/>
  <c r="AJ26" i="15"/>
  <c r="AJ36" i="15" s="1"/>
  <c r="AS53" i="15" s="1"/>
  <c r="AS55" i="15" s="1"/>
  <c r="AE25" i="15"/>
  <c r="AF25" i="15"/>
  <c r="AF35" i="15" s="1"/>
  <c r="AO53" i="15" s="1"/>
  <c r="AO55" i="15" s="1"/>
  <c r="AO56" i="15" s="1"/>
  <c r="AF19" i="15"/>
  <c r="AF31" i="15" s="1"/>
  <c r="AO58"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85" i="1"/>
  <c r="BV211" i="1"/>
  <c r="BV217" i="1"/>
  <c r="BW219" i="1"/>
  <c r="AR234" i="1"/>
  <c r="BW212" i="1"/>
  <c r="BV209" i="1"/>
  <c r="BW211" i="1"/>
  <c r="BW230" i="1"/>
  <c r="AR218" i="1"/>
  <c r="BV223" i="1"/>
  <c r="AR222" i="1"/>
  <c r="BW223" i="1"/>
  <c r="AQ234" i="1"/>
  <c r="AQ215" i="1"/>
  <c r="BV230" i="1"/>
  <c r="AR208" i="1"/>
  <c r="BV214" i="1"/>
  <c r="BV226" i="1"/>
  <c r="AQ232" i="1"/>
  <c r="BV212" i="1"/>
  <c r="AQ223" i="1"/>
  <c r="AR221" i="1"/>
  <c r="BW224" i="1"/>
  <c r="AR227" i="1"/>
  <c r="AR224" i="1"/>
  <c r="BV224" i="1"/>
  <c r="AR229" i="1"/>
  <c r="BW209" i="1"/>
  <c r="AR212" i="1"/>
  <c r="BW217" i="1"/>
  <c r="AR226" i="1"/>
  <c r="AR230" i="1"/>
  <c r="AR232" i="1"/>
  <c r="AQ209" i="1"/>
  <c r="AQ214" i="1"/>
  <c r="AR214" i="1"/>
  <c r="AR220" i="1"/>
  <c r="AR209" i="1"/>
  <c r="AR213" i="1"/>
  <c r="BW214" i="1"/>
  <c r="BV216" i="1"/>
  <c r="BV219" i="1"/>
  <c r="AR223" i="1"/>
  <c r="AQ228" i="1"/>
  <c r="AR228" i="1"/>
  <c r="BW207" i="1"/>
  <c r="AR207" i="1"/>
  <c r="BV207" i="1"/>
  <c r="AR210" i="1"/>
  <c r="AR211" i="1"/>
  <c r="AR215" i="1"/>
  <c r="AR216" i="1"/>
  <c r="BW216" i="1"/>
  <c r="AR217" i="1"/>
  <c r="AR219" i="1"/>
  <c r="AR225" i="1"/>
  <c r="BW226" i="1"/>
  <c r="AR231" i="1"/>
  <c r="AR233" i="1"/>
  <c r="AQ212" i="1"/>
  <c r="AQ218" i="1"/>
  <c r="AP218" i="1" s="1"/>
  <c r="AQ226" i="1"/>
  <c r="AP226" i="1" s="1"/>
  <c r="AU210" i="1"/>
  <c r="AQ210" i="1" s="1"/>
  <c r="AU221" i="1"/>
  <c r="AQ221" i="1" s="1"/>
  <c r="AU224" i="1"/>
  <c r="AQ224" i="1" s="1"/>
  <c r="AQ227" i="1"/>
  <c r="AU229" i="1"/>
  <c r="AQ229" i="1" s="1"/>
  <c r="AP229" i="1" s="1"/>
  <c r="AU230" i="1"/>
  <c r="AQ230" i="1" s="1"/>
  <c r="AQ207" i="1"/>
  <c r="AP207" i="1" s="1"/>
  <c r="AU208" i="1"/>
  <c r="AQ208" i="1" s="1"/>
  <c r="AQ216" i="1"/>
  <c r="AU219" i="1"/>
  <c r="AQ219" i="1" s="1"/>
  <c r="AQ225" i="1"/>
  <c r="AQ231" i="1"/>
  <c r="AU233" i="1"/>
  <c r="AQ233" i="1" s="1"/>
  <c r="AQ213" i="1"/>
  <c r="AP213" i="1" s="1"/>
  <c r="AU211" i="1"/>
  <c r="AQ211" i="1" s="1"/>
  <c r="AU217" i="1"/>
  <c r="AQ217" i="1" s="1"/>
  <c r="AP217" i="1" s="1"/>
  <c r="AQ220" i="1"/>
  <c r="AW222" i="1"/>
  <c r="AQ222" i="1" s="1"/>
  <c r="BW244" i="1"/>
  <c r="BU244" i="1"/>
  <c r="BN244" i="1"/>
  <c r="BM244" i="1"/>
  <c r="BJ244" i="1"/>
  <c r="BI244" i="1"/>
  <c r="BH244" i="1"/>
  <c r="BG244" i="1"/>
  <c r="BF244" i="1"/>
  <c r="BE244" i="1"/>
  <c r="BA244" i="1"/>
  <c r="AZ244" i="1"/>
  <c r="AY244" i="1"/>
  <c r="AX244" i="1"/>
  <c r="AT244" i="1"/>
  <c r="AU244" i="1" s="1"/>
  <c r="AS244" i="1"/>
  <c r="N244" i="1"/>
  <c r="AV244" i="1" s="1"/>
  <c r="BW243" i="1"/>
  <c r="BU243" i="1"/>
  <c r="BM243" i="1"/>
  <c r="BJ243" i="1"/>
  <c r="BI243" i="1"/>
  <c r="BH243" i="1"/>
  <c r="BG243" i="1"/>
  <c r="BF243" i="1"/>
  <c r="BE243" i="1"/>
  <c r="BC243" i="1"/>
  <c r="BB243" i="1"/>
  <c r="BA243" i="1"/>
  <c r="AZ243" i="1"/>
  <c r="AY243" i="1"/>
  <c r="AX243" i="1"/>
  <c r="AT243" i="1"/>
  <c r="AU243" i="1" s="1"/>
  <c r="AS243" i="1"/>
  <c r="N243" i="1"/>
  <c r="AV243" i="1" s="1"/>
  <c r="AW243" i="1" s="1"/>
  <c r="BW242" i="1"/>
  <c r="BU242" i="1"/>
  <c r="BN242" i="1"/>
  <c r="BM242" i="1"/>
  <c r="BJ242" i="1"/>
  <c r="BI242" i="1"/>
  <c r="BH242" i="1"/>
  <c r="BG242" i="1"/>
  <c r="BF242" i="1"/>
  <c r="BE242" i="1"/>
  <c r="BC242" i="1"/>
  <c r="BB242" i="1"/>
  <c r="BA242" i="1"/>
  <c r="AZ242" i="1"/>
  <c r="AY242" i="1"/>
  <c r="AX242" i="1"/>
  <c r="AT242" i="1"/>
  <c r="AU242" i="1" s="1"/>
  <c r="AS242" i="1"/>
  <c r="N242" i="1"/>
  <c r="AV242" i="1" s="1"/>
  <c r="AW242" i="1" s="1"/>
  <c r="BW241" i="1"/>
  <c r="BU241" i="1"/>
  <c r="BM241" i="1"/>
  <c r="BJ241" i="1"/>
  <c r="BI241" i="1"/>
  <c r="BH241" i="1"/>
  <c r="BG241" i="1"/>
  <c r="BF241" i="1"/>
  <c r="BE241" i="1"/>
  <c r="BC241" i="1"/>
  <c r="BB241" i="1"/>
  <c r="BA241" i="1"/>
  <c r="AZ241" i="1"/>
  <c r="AY241" i="1"/>
  <c r="AX241" i="1"/>
  <c r="AT241" i="1"/>
  <c r="AU241" i="1" s="1"/>
  <c r="AS241" i="1"/>
  <c r="N241" i="1"/>
  <c r="AV241" i="1" s="1"/>
  <c r="AW241" i="1" s="1"/>
  <c r="BW240" i="1"/>
  <c r="BU240" i="1"/>
  <c r="BN240" i="1"/>
  <c r="BM240" i="1"/>
  <c r="BJ240" i="1"/>
  <c r="BI240" i="1"/>
  <c r="BH240" i="1"/>
  <c r="BG240" i="1"/>
  <c r="BF240" i="1"/>
  <c r="BE240" i="1"/>
  <c r="BC240" i="1"/>
  <c r="BB240" i="1"/>
  <c r="BA240" i="1"/>
  <c r="AZ240" i="1"/>
  <c r="AY240" i="1"/>
  <c r="AX240" i="1"/>
  <c r="AT240" i="1"/>
  <c r="AS240" i="1"/>
  <c r="N240" i="1"/>
  <c r="AV240" i="1" s="1"/>
  <c r="AW240" i="1" s="1"/>
  <c r="BW239" i="1"/>
  <c r="BU239" i="1"/>
  <c r="BN239" i="1"/>
  <c r="BM239" i="1"/>
  <c r="BJ239" i="1"/>
  <c r="BI239" i="1"/>
  <c r="BH239" i="1"/>
  <c r="BG239" i="1"/>
  <c r="BF239" i="1"/>
  <c r="BE239" i="1"/>
  <c r="BC239" i="1"/>
  <c r="BB239" i="1"/>
  <c r="BA239" i="1"/>
  <c r="AZ239" i="1"/>
  <c r="AY239" i="1"/>
  <c r="AX239" i="1"/>
  <c r="AT239" i="1"/>
  <c r="AU239" i="1" s="1"/>
  <c r="AS239" i="1"/>
  <c r="N239" i="1"/>
  <c r="AV239" i="1" s="1"/>
  <c r="AW239" i="1" s="1"/>
  <c r="BW238" i="1"/>
  <c r="BU238" i="1"/>
  <c r="BM238" i="1"/>
  <c r="BJ238" i="1"/>
  <c r="BI238" i="1"/>
  <c r="BH238" i="1"/>
  <c r="BG238" i="1"/>
  <c r="BF238" i="1"/>
  <c r="BE238" i="1"/>
  <c r="BC238" i="1"/>
  <c r="BB238" i="1"/>
  <c r="BA238" i="1"/>
  <c r="AZ238" i="1"/>
  <c r="AY238" i="1"/>
  <c r="AX238" i="1"/>
  <c r="AT238" i="1"/>
  <c r="AU238" i="1" s="1"/>
  <c r="AS238" i="1"/>
  <c r="N238" i="1"/>
  <c r="AV238" i="1" s="1"/>
  <c r="AW238" i="1" s="1"/>
  <c r="BW237" i="1"/>
  <c r="BU237" i="1"/>
  <c r="BN237" i="1"/>
  <c r="BM237" i="1"/>
  <c r="BJ237" i="1"/>
  <c r="BI237" i="1"/>
  <c r="BH237" i="1"/>
  <c r="BG237" i="1"/>
  <c r="BF237" i="1"/>
  <c r="BE237" i="1"/>
  <c r="BC237" i="1"/>
  <c r="BB237" i="1"/>
  <c r="BA237" i="1"/>
  <c r="AZ237" i="1"/>
  <c r="AY237" i="1"/>
  <c r="AX237" i="1"/>
  <c r="AT237" i="1"/>
  <c r="AU237" i="1" s="1"/>
  <c r="AS237" i="1"/>
  <c r="N237" i="1"/>
  <c r="AV237" i="1" s="1"/>
  <c r="AW237" i="1" s="1"/>
  <c r="BW235" i="1"/>
  <c r="BU235" i="1"/>
  <c r="BN235" i="1"/>
  <c r="BM235" i="1"/>
  <c r="BJ235" i="1"/>
  <c r="BI235" i="1"/>
  <c r="BH235" i="1"/>
  <c r="BG235" i="1"/>
  <c r="BF235" i="1"/>
  <c r="BE235" i="1"/>
  <c r="BC235" i="1"/>
  <c r="BB235" i="1"/>
  <c r="BA235" i="1"/>
  <c r="AZ235" i="1"/>
  <c r="AY235" i="1"/>
  <c r="AX235" i="1"/>
  <c r="AV235" i="1"/>
  <c r="AW235" i="1" s="1"/>
  <c r="AT235" i="1"/>
  <c r="AS235" i="1"/>
  <c r="N235" i="1"/>
  <c r="AP56" i="15" l="1"/>
  <c r="AW15" i="15" s="1"/>
  <c r="AI32" i="15"/>
  <c r="AR58" i="15" s="1"/>
  <c r="AP62" i="15"/>
  <c r="AW26" i="15" s="1"/>
  <c r="AP59" i="15"/>
  <c r="AW20" i="15" s="1"/>
  <c r="AO62" i="15"/>
  <c r="AW25" i="15" s="1"/>
  <c r="AO59" i="15"/>
  <c r="AW19" i="15" s="1"/>
  <c r="AN62" i="15"/>
  <c r="AW24" i="15" s="1"/>
  <c r="AN59" i="15"/>
  <c r="AW18" i="15" s="1"/>
  <c r="K24" i="14"/>
  <c r="AQ62" i="15"/>
  <c r="AW27" i="15" s="1"/>
  <c r="AQ59" i="15"/>
  <c r="AW21" i="15" s="1"/>
  <c r="AQ42" i="15"/>
  <c r="AQ43" i="15" s="1"/>
  <c r="AR56" i="15"/>
  <c r="AW16" i="15" s="1"/>
  <c r="AQ56" i="15"/>
  <c r="AS56" i="15"/>
  <c r="AW17" i="15" s="1"/>
  <c r="AJ32" i="15"/>
  <c r="AP89" i="15"/>
  <c r="AO82" i="15"/>
  <c r="AO39" i="15"/>
  <c r="AO73" i="15"/>
  <c r="AO33" i="15"/>
  <c r="AO34" i="15" s="1"/>
  <c r="AO35" i="15" s="1"/>
  <c r="AS73" i="15"/>
  <c r="AS75" i="15" s="1"/>
  <c r="AS33" i="15"/>
  <c r="AS34" i="15" s="1"/>
  <c r="AS35" i="15" s="1"/>
  <c r="AR73" i="15"/>
  <c r="AR89" i="15" s="1"/>
  <c r="AR33" i="15"/>
  <c r="AR34" i="15" s="1"/>
  <c r="AR35" i="15" s="1"/>
  <c r="AN82" i="15"/>
  <c r="AN39" i="15"/>
  <c r="AP82" i="15"/>
  <c r="AP39" i="15"/>
  <c r="AP38" i="15"/>
  <c r="AP36" i="15"/>
  <c r="AP42" i="15"/>
  <c r="AP43" i="15" s="1"/>
  <c r="AQ82" i="15"/>
  <c r="AQ39" i="15"/>
  <c r="AI30" i="15"/>
  <c r="AE43" i="15" s="1"/>
  <c r="AH30" i="15"/>
  <c r="AE42" i="15" s="1"/>
  <c r="T74" i="15"/>
  <c r="V73" i="15"/>
  <c r="T32" i="15"/>
  <c r="V31" i="15"/>
  <c r="AE35" i="15"/>
  <c r="AN53" i="15" s="1"/>
  <c r="AN55" i="15" s="1"/>
  <c r="AN56" i="15" s="1"/>
  <c r="AW14" i="15" s="1"/>
  <c r="AQ89" i="15"/>
  <c r="AE54" i="15"/>
  <c r="AE58" i="15"/>
  <c r="AE57" i="15"/>
  <c r="AE45" i="15"/>
  <c r="AE47" i="15"/>
  <c r="AE48" i="15"/>
  <c r="AE46" i="15"/>
  <c r="AE39" i="15"/>
  <c r="AN68" i="15"/>
  <c r="AN70" i="15" s="1"/>
  <c r="AE40" i="15"/>
  <c r="AO68" i="15"/>
  <c r="AO70" i="15" s="1"/>
  <c r="AO86" i="15" s="1"/>
  <c r="AE41" i="15"/>
  <c r="AP68" i="15"/>
  <c r="AP70" i="15" s="1"/>
  <c r="AP86" i="15" s="1"/>
  <c r="AE44" i="15"/>
  <c r="AS68" i="15"/>
  <c r="AS70" i="15" s="1"/>
  <c r="AS86" i="15" s="1"/>
  <c r="AP234" i="1"/>
  <c r="AP219" i="1"/>
  <c r="AP222" i="1"/>
  <c r="AP215" i="1"/>
  <c r="AP221" i="1"/>
  <c r="AP220" i="1"/>
  <c r="AP210" i="1"/>
  <c r="AP208" i="1"/>
  <c r="AP230" i="1"/>
  <c r="AP212" i="1"/>
  <c r="AP227" i="1"/>
  <c r="AP223" i="1"/>
  <c r="AP225" i="1"/>
  <c r="AP209" i="1"/>
  <c r="AP232" i="1"/>
  <c r="AP214" i="1"/>
  <c r="AP216" i="1"/>
  <c r="AP211" i="1"/>
  <c r="AP233" i="1"/>
  <c r="AP231" i="1"/>
  <c r="AP224" i="1"/>
  <c r="AP228" i="1"/>
  <c r="AQ244" i="1"/>
  <c r="AQ239" i="1"/>
  <c r="AQ243" i="1"/>
  <c r="AQ238" i="1"/>
  <c r="AQ242" i="1"/>
  <c r="AR244" i="1"/>
  <c r="AQ241" i="1"/>
  <c r="AQ237" i="1"/>
  <c r="AU235" i="1"/>
  <c r="AQ235" i="1" s="1"/>
  <c r="AU240" i="1"/>
  <c r="AQ240" i="1" s="1"/>
  <c r="K21" i="12"/>
  <c r="J21" i="12"/>
  <c r="I21" i="12"/>
  <c r="H21" i="12"/>
  <c r="G21" i="12"/>
  <c r="F21" i="12"/>
  <c r="AO75" i="15" l="1"/>
  <c r="AO89" i="15"/>
  <c r="AR62" i="15"/>
  <c r="AW28" i="15" s="1"/>
  <c r="AR59" i="15"/>
  <c r="AW22" i="15" s="1"/>
  <c r="AR39" i="15"/>
  <c r="AE49" i="15"/>
  <c r="AR82" i="15"/>
  <c r="AS82" i="15"/>
  <c r="AS58" i="15"/>
  <c r="AS39" i="15"/>
  <c r="AE50" i="15"/>
  <c r="AS89" i="15"/>
  <c r="AR38" i="15"/>
  <c r="AR36" i="15"/>
  <c r="AR42" i="15"/>
  <c r="AR43" i="15" s="1"/>
  <c r="AO42" i="15"/>
  <c r="AO43" i="15" s="1"/>
  <c r="AO38" i="15"/>
  <c r="AO36" i="15"/>
  <c r="AW12" i="15" s="1"/>
  <c r="AR68" i="15"/>
  <c r="AR70" i="15" s="1"/>
  <c r="AR86" i="15" s="1"/>
  <c r="AR87" i="15" s="1"/>
  <c r="AR90" i="15" s="1"/>
  <c r="AR75" i="15"/>
  <c r="AP46" i="15"/>
  <c r="AP44" i="15"/>
  <c r="AN73" i="15"/>
  <c r="AN89" i="15" s="1"/>
  <c r="AN33" i="15"/>
  <c r="AN34" i="15" s="1"/>
  <c r="AN35" i="15" s="1"/>
  <c r="AS38" i="15"/>
  <c r="AS42" i="15"/>
  <c r="AS43" i="15" s="1"/>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72" i="15"/>
  <c r="AS87" i="15"/>
  <c r="AS72" i="15"/>
  <c r="AS76" i="15" s="1"/>
  <c r="AP244" i="1"/>
  <c r="AR48" i="15" l="1"/>
  <c r="AO76" i="15"/>
  <c r="AS90" i="15"/>
  <c r="AO90" i="15"/>
  <c r="AS48" i="15"/>
  <c r="AS62" i="15"/>
  <c r="AW29" i="15" s="1"/>
  <c r="AS59" i="15"/>
  <c r="AW23" i="15" s="1"/>
  <c r="AQ72" i="15"/>
  <c r="AQ76" i="15" s="1"/>
  <c r="AQ77" i="15" s="1"/>
  <c r="AQ78" i="15" s="1"/>
  <c r="AS40" i="15"/>
  <c r="AS41" i="15" s="1"/>
  <c r="AN38" i="15"/>
  <c r="AN36" i="15"/>
  <c r="AN42" i="15"/>
  <c r="AN43" i="15" s="1"/>
  <c r="AO48" i="15"/>
  <c r="AO40" i="15"/>
  <c r="AO41" i="15" s="1"/>
  <c r="AN75" i="15"/>
  <c r="AN76" i="15" s="1"/>
  <c r="AN77" i="15" s="1"/>
  <c r="AN78" i="15" s="1"/>
  <c r="AO46" i="15"/>
  <c r="AO44" i="15"/>
  <c r="AS46" i="15"/>
  <c r="AS44" i="15"/>
  <c r="AR44" i="15"/>
  <c r="AR46" i="15"/>
  <c r="AP49" i="15"/>
  <c r="AR72" i="15"/>
  <c r="AR76" i="15" s="1"/>
  <c r="AR79" i="15" s="1"/>
  <c r="AR80" i="15" s="1"/>
  <c r="AR81" i="15" s="1"/>
  <c r="AR40" i="15"/>
  <c r="AR41" i="15" s="1"/>
  <c r="AQ46" i="15"/>
  <c r="AQ44" i="15"/>
  <c r="AQ40" i="15"/>
  <c r="AQ41" i="15" s="1"/>
  <c r="AN90" i="15"/>
  <c r="AN93" i="15" s="1"/>
  <c r="AN94" i="15" s="1"/>
  <c r="AN95" i="15" s="1"/>
  <c r="AN96" i="15" s="1"/>
  <c r="AN97" i="15" s="1"/>
  <c r="AR91" i="15"/>
  <c r="AR92" i="15" s="1"/>
  <c r="AR93" i="15"/>
  <c r="AR94" i="15" s="1"/>
  <c r="AR95" i="15" s="1"/>
  <c r="AR96" i="15" s="1"/>
  <c r="AP79" i="15"/>
  <c r="AP80" i="15" s="1"/>
  <c r="AP81" i="15" s="1"/>
  <c r="AP77" i="15"/>
  <c r="AP78" i="15" s="1"/>
  <c r="AS79" i="15"/>
  <c r="AS80" i="15" s="1"/>
  <c r="AS81" i="15" s="1"/>
  <c r="AS77" i="15"/>
  <c r="AS78" i="15" s="1"/>
  <c r="AQ93" i="15"/>
  <c r="AQ94" i="15" s="1"/>
  <c r="AQ95" i="15" s="1"/>
  <c r="AQ96" i="15" s="1"/>
  <c r="AQ91" i="15"/>
  <c r="AQ92" i="15" s="1"/>
  <c r="AP93" i="15"/>
  <c r="AP94" i="15" s="1"/>
  <c r="AP95" i="15" s="1"/>
  <c r="AP91" i="15"/>
  <c r="AP92" i="15" s="1"/>
  <c r="BM260" i="1"/>
  <c r="BM259" i="1"/>
  <c r="BN258" i="1"/>
  <c r="BM258" i="1"/>
  <c r="BM257" i="1"/>
  <c r="BN256" i="1"/>
  <c r="BM256" i="1"/>
  <c r="BN255" i="1"/>
  <c r="BM255" i="1"/>
  <c r="BN254" i="1"/>
  <c r="BM254" i="1"/>
  <c r="BM253" i="1"/>
  <c r="BN252" i="1"/>
  <c r="BM252" i="1"/>
  <c r="BN251" i="1"/>
  <c r="BM251" i="1"/>
  <c r="BM250" i="1"/>
  <c r="BN249" i="1"/>
  <c r="BM249" i="1"/>
  <c r="BN248" i="1"/>
  <c r="BM248" i="1"/>
  <c r="BN247" i="1"/>
  <c r="BM247" i="1"/>
  <c r="BM246" i="1"/>
  <c r="BN245" i="1"/>
  <c r="BM245" i="1"/>
  <c r="BM198" i="1"/>
  <c r="BM186" i="1"/>
  <c r="BN185" i="1"/>
  <c r="BM185" i="1"/>
  <c r="BN184" i="1"/>
  <c r="BM184" i="1"/>
  <c r="BN183" i="1"/>
  <c r="BM183" i="1"/>
  <c r="BM182" i="1"/>
  <c r="BM181" i="1"/>
  <c r="BN180" i="1"/>
  <c r="BM180" i="1"/>
  <c r="BM179" i="1"/>
  <c r="BM178" i="1"/>
  <c r="BN177" i="1"/>
  <c r="BM177" i="1"/>
  <c r="BM176" i="1"/>
  <c r="BM175" i="1"/>
  <c r="BM174" i="1"/>
  <c r="BM173" i="1"/>
  <c r="BM172" i="1"/>
  <c r="BM171" i="1"/>
  <c r="BM170" i="1"/>
  <c r="BN169" i="1"/>
  <c r="BM169" i="1"/>
  <c r="BN168" i="1"/>
  <c r="BM168" i="1"/>
  <c r="BN167" i="1"/>
  <c r="BM167" i="1"/>
  <c r="BM166" i="1"/>
  <c r="BM165" i="1"/>
  <c r="BM164" i="1"/>
  <c r="BN163" i="1"/>
  <c r="BM163" i="1"/>
  <c r="BN162" i="1"/>
  <c r="BM162" i="1"/>
  <c r="BN161" i="1"/>
  <c r="BM161" i="1"/>
  <c r="BN160" i="1"/>
  <c r="BM160" i="1"/>
  <c r="BN159" i="1"/>
  <c r="BM159" i="1"/>
  <c r="BN158" i="1"/>
  <c r="BM158" i="1"/>
  <c r="BN157" i="1"/>
  <c r="BM157" i="1"/>
  <c r="BN156" i="1"/>
  <c r="BM156" i="1"/>
  <c r="BM155" i="1"/>
  <c r="BM154" i="1"/>
  <c r="BM153" i="1"/>
  <c r="BM152" i="1"/>
  <c r="BM151" i="1"/>
  <c r="BM150" i="1"/>
  <c r="AO79" i="15" l="1"/>
  <c r="AO80" i="15" s="1"/>
  <c r="AO81" i="15" s="1"/>
  <c r="AO83" i="15" s="1"/>
  <c r="AO84" i="15" s="1"/>
  <c r="AO77" i="15"/>
  <c r="AO78" i="15" s="1"/>
  <c r="AS93" i="15"/>
  <c r="AS94" i="15" s="1"/>
  <c r="AS95" i="15" s="1"/>
  <c r="AS96" i="15" s="1"/>
  <c r="AS97" i="15" s="1"/>
  <c r="AS91" i="15"/>
  <c r="AS92" i="15" s="1"/>
  <c r="AO93" i="15"/>
  <c r="AO94" i="15" s="1"/>
  <c r="AO95" i="15" s="1"/>
  <c r="AO96" i="15" s="1"/>
  <c r="AO97" i="15" s="1"/>
  <c r="AO91" i="15"/>
  <c r="AO92" i="15" s="1"/>
  <c r="AR77" i="15"/>
  <c r="AR78" i="15" s="1"/>
  <c r="AQ79" i="15"/>
  <c r="AQ80" i="15" s="1"/>
  <c r="AQ81" i="15" s="1"/>
  <c r="AQ83" i="15" s="1"/>
  <c r="AQ84" i="15" s="1"/>
  <c r="AQ85" i="15" s="1"/>
  <c r="AO49" i="15"/>
  <c r="AR49" i="15"/>
  <c r="AS49" i="15"/>
  <c r="AN79" i="15"/>
  <c r="AN80" i="15" s="1"/>
  <c r="AN81" i="15" s="1"/>
  <c r="AN83" i="15" s="1"/>
  <c r="AN84" i="15" s="1"/>
  <c r="AN85" i="15" s="1"/>
  <c r="AN44" i="15"/>
  <c r="AN46" i="15"/>
  <c r="AN40" i="15"/>
  <c r="AN48" i="15"/>
  <c r="AN91" i="15"/>
  <c r="AN92" i="15" s="1"/>
  <c r="AN98" i="15" s="1"/>
  <c r="AQ49" i="15"/>
  <c r="AR83" i="15"/>
  <c r="AR84" i="15" s="1"/>
  <c r="AS83" i="15"/>
  <c r="AS84" i="15" s="1"/>
  <c r="AS85" i="15" s="1"/>
  <c r="AR97" i="15"/>
  <c r="AQ97" i="15"/>
  <c r="AQ98" i="15" s="1"/>
  <c r="AP83" i="15"/>
  <c r="AP84" i="15" s="1"/>
  <c r="AP85" i="15" s="1"/>
  <c r="AP96" i="15"/>
  <c r="AP97" i="15" s="1"/>
  <c r="AP98" i="15" s="1"/>
  <c r="BW258" i="1"/>
  <c r="BU258" i="1"/>
  <c r="BJ258" i="1"/>
  <c r="BI258" i="1"/>
  <c r="BH258" i="1"/>
  <c r="BG258" i="1"/>
  <c r="BF258" i="1"/>
  <c r="BE258" i="1"/>
  <c r="BC258" i="1"/>
  <c r="BB258" i="1"/>
  <c r="BA258" i="1"/>
  <c r="AZ258" i="1"/>
  <c r="AY258" i="1"/>
  <c r="AX258" i="1"/>
  <c r="AT258" i="1"/>
  <c r="AU258" i="1" s="1"/>
  <c r="AS258" i="1"/>
  <c r="N258" i="1"/>
  <c r="AV258" i="1" s="1"/>
  <c r="AW258" i="1" s="1"/>
  <c r="AO85" i="15" l="1"/>
  <c r="AO98" i="15"/>
  <c r="AS98" i="15"/>
  <c r="AR85" i="15"/>
  <c r="AN41" i="15"/>
  <c r="AN49" i="15"/>
  <c r="AR98" i="15"/>
  <c r="AQ258" i="1"/>
  <c r="BW166" i="1" l="1"/>
  <c r="BU166" i="1"/>
  <c r="AO166" i="1"/>
  <c r="BE166" i="1" s="1"/>
  <c r="N186" i="1"/>
  <c r="BW185" i="1"/>
  <c r="BU185" i="1"/>
  <c r="BD185" i="1"/>
  <c r="AO185" i="1"/>
  <c r="BE185" i="1" s="1"/>
  <c r="N185" i="1"/>
  <c r="N166" i="1"/>
  <c r="BF185" i="1" l="1"/>
  <c r="AY185" i="1"/>
  <c r="BG185" i="1"/>
  <c r="AP185" i="1"/>
  <c r="AQ185" i="1"/>
  <c r="AV185" i="1"/>
  <c r="AW185" i="1" s="1"/>
  <c r="AX185" i="1"/>
  <c r="AV166" i="1"/>
  <c r="AW166" i="1" s="1"/>
  <c r="AX166" i="1"/>
  <c r="BF166" i="1"/>
  <c r="AY166" i="1"/>
  <c r="BG166" i="1"/>
  <c r="AZ166" i="1"/>
  <c r="BH166" i="1"/>
  <c r="AS166" i="1"/>
  <c r="BA166" i="1"/>
  <c r="BI166" i="1"/>
  <c r="AT166" i="1"/>
  <c r="AU166" i="1" s="1"/>
  <c r="BB166" i="1"/>
  <c r="BJ166" i="1"/>
  <c r="BC166" i="1"/>
  <c r="AR185" i="1"/>
  <c r="AZ185" i="1"/>
  <c r="BH185" i="1"/>
  <c r="AS185" i="1"/>
  <c r="BA185" i="1"/>
  <c r="BI185" i="1"/>
  <c r="AT185" i="1"/>
  <c r="AU185" i="1" s="1"/>
  <c r="BB185" i="1"/>
  <c r="BJ185" i="1"/>
  <c r="BC185" i="1"/>
  <c r="AQ166" i="1" l="1"/>
  <c r="BW186" i="1" l="1"/>
  <c r="BU186" i="1"/>
  <c r="BD186" i="1"/>
  <c r="BW184" i="1"/>
  <c r="BU184" i="1"/>
  <c r="BD184" i="1"/>
  <c r="BW183" i="1"/>
  <c r="BU183" i="1"/>
  <c r="BD183" i="1"/>
  <c r="BW182" i="1"/>
  <c r="BU182" i="1"/>
  <c r="BD182" i="1"/>
  <c r="BW181" i="1"/>
  <c r="BU181" i="1"/>
  <c r="BD181" i="1"/>
  <c r="BW180" i="1"/>
  <c r="BU180" i="1"/>
  <c r="BD180" i="1"/>
  <c r="BW179" i="1"/>
  <c r="BU179" i="1"/>
  <c r="BW178" i="1"/>
  <c r="BU178" i="1"/>
  <c r="BW177" i="1"/>
  <c r="BU177" i="1"/>
  <c r="BD177" i="1"/>
  <c r="BW176" i="1"/>
  <c r="BU176" i="1"/>
  <c r="BD176" i="1"/>
  <c r="BW175" i="1"/>
  <c r="BU175" i="1"/>
  <c r="BD175" i="1"/>
  <c r="BW174" i="1"/>
  <c r="BU174" i="1"/>
  <c r="BD174" i="1"/>
  <c r="BW173" i="1"/>
  <c r="BU173" i="1"/>
  <c r="BD173" i="1"/>
  <c r="BW172" i="1"/>
  <c r="BU172" i="1"/>
  <c r="BD172" i="1"/>
  <c r="BW171" i="1"/>
  <c r="BU171" i="1"/>
  <c r="BW170" i="1"/>
  <c r="BU170" i="1"/>
  <c r="BD170" i="1"/>
  <c r="BW169" i="1"/>
  <c r="BU169" i="1"/>
  <c r="BD169" i="1"/>
  <c r="BW168" i="1"/>
  <c r="BU168" i="1"/>
  <c r="BD168" i="1"/>
  <c r="BW167" i="1"/>
  <c r="BU167" i="1"/>
  <c r="BD167" i="1"/>
  <c r="BW165" i="1"/>
  <c r="BU165" i="1"/>
  <c r="BW164" i="1"/>
  <c r="BU164" i="1"/>
  <c r="BW163" i="1"/>
  <c r="BU163" i="1"/>
  <c r="BD163" i="1"/>
  <c r="AO186" i="1"/>
  <c r="BE186" i="1" s="1"/>
  <c r="AO184" i="1"/>
  <c r="BJ184" i="1" s="1"/>
  <c r="AO183" i="1"/>
  <c r="BH183" i="1" s="1"/>
  <c r="AO182" i="1"/>
  <c r="BE182" i="1" s="1"/>
  <c r="AO181" i="1"/>
  <c r="AT181" i="1" s="1"/>
  <c r="AU181" i="1" s="1"/>
  <c r="AO180" i="1"/>
  <c r="BI180" i="1" s="1"/>
  <c r="AO179" i="1"/>
  <c r="BG179" i="1" s="1"/>
  <c r="AO178" i="1"/>
  <c r="BJ178" i="1" s="1"/>
  <c r="AO177" i="1"/>
  <c r="BF177" i="1" s="1"/>
  <c r="AO176" i="1"/>
  <c r="BE176" i="1" s="1"/>
  <c r="AO175" i="1"/>
  <c r="BC175" i="1" s="1"/>
  <c r="AO174" i="1"/>
  <c r="BJ174" i="1" s="1"/>
  <c r="AO173" i="1"/>
  <c r="BG173" i="1" s="1"/>
  <c r="AO172" i="1"/>
  <c r="BE172" i="1" s="1"/>
  <c r="AO171" i="1"/>
  <c r="BJ171" i="1" s="1"/>
  <c r="AO170" i="1"/>
  <c r="BE170" i="1" s="1"/>
  <c r="N179" i="1"/>
  <c r="N178" i="1"/>
  <c r="N171" i="1"/>
  <c r="AO165" i="1"/>
  <c r="BF165" i="1" s="1"/>
  <c r="AO164" i="1"/>
  <c r="AT164" i="1" s="1"/>
  <c r="AU164" i="1" s="1"/>
  <c r="N165" i="1"/>
  <c r="N164" i="1"/>
  <c r="AT174" i="1" l="1"/>
  <c r="AU174" i="1" s="1"/>
  <c r="AT171" i="1"/>
  <c r="AU171" i="1" s="1"/>
  <c r="BF171" i="1"/>
  <c r="BC165" i="1"/>
  <c r="AQ173" i="1"/>
  <c r="BE165" i="1"/>
  <c r="AX174" i="1"/>
  <c r="AV165" i="1"/>
  <c r="AW165" i="1" s="1"/>
  <c r="AS174" i="1"/>
  <c r="BJ164" i="1"/>
  <c r="AS179" i="1"/>
  <c r="AV178" i="1"/>
  <c r="AW178" i="1" s="1"/>
  <c r="AT179" i="1"/>
  <c r="AU179" i="1" s="1"/>
  <c r="BG171" i="1"/>
  <c r="BG165" i="1"/>
  <c r="AZ173" i="1"/>
  <c r="AQ182" i="1"/>
  <c r="BH165" i="1"/>
  <c r="AY182" i="1"/>
  <c r="AS165" i="1"/>
  <c r="BJ165" i="1"/>
  <c r="BC174" i="1"/>
  <c r="AZ179" i="1"/>
  <c r="BA182" i="1"/>
  <c r="AY165" i="1"/>
  <c r="BH173" i="1"/>
  <c r="AX178" i="1"/>
  <c r="BC179" i="1"/>
  <c r="BB182" i="1"/>
  <c r="BA183" i="1"/>
  <c r="AZ165" i="1"/>
  <c r="AY178" i="1"/>
  <c r="BE181" i="1"/>
  <c r="BB164" i="1"/>
  <c r="BB165" i="1"/>
  <c r="BF182" i="1"/>
  <c r="AP170" i="1"/>
  <c r="BB170" i="1"/>
  <c r="AT184" i="1"/>
  <c r="AU184" i="1" s="1"/>
  <c r="BG186" i="1"/>
  <c r="AP174" i="1"/>
  <c r="AS171" i="1"/>
  <c r="AY174" i="1"/>
  <c r="AV175" i="1"/>
  <c r="AW175" i="1" s="1"/>
  <c r="AT177" i="1"/>
  <c r="AU177" i="1" s="1"/>
  <c r="BJ177" i="1"/>
  <c r="BF178" i="1"/>
  <c r="BA179" i="1"/>
  <c r="AQ183" i="1"/>
  <c r="AX184" i="1"/>
  <c r="BI186" i="1"/>
  <c r="AY170" i="1"/>
  <c r="AR176" i="1"/>
  <c r="BA170" i="1"/>
  <c r="BF186" i="1"/>
  <c r="AX176" i="1"/>
  <c r="AQ177" i="1"/>
  <c r="BG177" i="1"/>
  <c r="BF176" i="1"/>
  <c r="AY177" i="1"/>
  <c r="BG178" i="1"/>
  <c r="BC184" i="1"/>
  <c r="AX186" i="1"/>
  <c r="BJ186" i="1"/>
  <c r="AR170" i="1"/>
  <c r="BG170" i="1"/>
  <c r="AX171" i="1"/>
  <c r="BI176" i="1"/>
  <c r="AZ177" i="1"/>
  <c r="BH179" i="1"/>
  <c r="AS182" i="1"/>
  <c r="BG182" i="1"/>
  <c r="AY186" i="1"/>
  <c r="BF170" i="1"/>
  <c r="AS170" i="1"/>
  <c r="BI170" i="1"/>
  <c r="AY171" i="1"/>
  <c r="BF174" i="1"/>
  <c r="BB177" i="1"/>
  <c r="BI179" i="1"/>
  <c r="AV181" i="1"/>
  <c r="AW181" i="1" s="1"/>
  <c r="AT182" i="1"/>
  <c r="AU182" i="1" s="1"/>
  <c r="BI182" i="1"/>
  <c r="BI183" i="1"/>
  <c r="BF184" i="1"/>
  <c r="BA186" i="1"/>
  <c r="BA176" i="1"/>
  <c r="AR177" i="1"/>
  <c r="BH177" i="1"/>
  <c r="BC178" i="1"/>
  <c r="AX170" i="1"/>
  <c r="BJ170" i="1"/>
  <c r="BC171" i="1"/>
  <c r="BG174" i="1"/>
  <c r="BC177" i="1"/>
  <c r="AT178" i="1"/>
  <c r="AU178" i="1" s="1"/>
  <c r="AX182" i="1"/>
  <c r="BJ182" i="1"/>
  <c r="BB186" i="1"/>
  <c r="AY172" i="1"/>
  <c r="BG172" i="1"/>
  <c r="AR173" i="1"/>
  <c r="BA173" i="1"/>
  <c r="BI173" i="1"/>
  <c r="BE175" i="1"/>
  <c r="AY176" i="1"/>
  <c r="BG176" i="1"/>
  <c r="AT180" i="1"/>
  <c r="AU180" i="1" s="1"/>
  <c r="BC180" i="1"/>
  <c r="AX181" i="1"/>
  <c r="BF181" i="1"/>
  <c r="AR183" i="1"/>
  <c r="BB183" i="1"/>
  <c r="BJ183" i="1"/>
  <c r="AV184" i="1"/>
  <c r="AW184" i="1" s="1"/>
  <c r="AP172" i="1"/>
  <c r="AP182" i="1"/>
  <c r="AS164" i="1"/>
  <c r="BA165" i="1"/>
  <c r="BI165" i="1"/>
  <c r="AQ170" i="1"/>
  <c r="AZ170" i="1"/>
  <c r="BH170" i="1"/>
  <c r="AV171" i="1"/>
  <c r="AW171" i="1" s="1"/>
  <c r="BE171" i="1"/>
  <c r="AZ172" i="1"/>
  <c r="BH172" i="1"/>
  <c r="AS173" i="1"/>
  <c r="BB173" i="1"/>
  <c r="BJ173" i="1"/>
  <c r="AV174" i="1"/>
  <c r="AW174" i="1" s="1"/>
  <c r="BE174" i="1"/>
  <c r="AX175" i="1"/>
  <c r="BF175" i="1"/>
  <c r="AQ176" i="1"/>
  <c r="AZ176" i="1"/>
  <c r="BH176" i="1"/>
  <c r="AS177" i="1"/>
  <c r="BA177" i="1"/>
  <c r="BI177" i="1"/>
  <c r="BE178" i="1"/>
  <c r="BB179" i="1"/>
  <c r="BJ179" i="1"/>
  <c r="AY181" i="1"/>
  <c r="BG181" i="1"/>
  <c r="AR182" i="1"/>
  <c r="AZ182" i="1"/>
  <c r="BH182" i="1"/>
  <c r="AS183" i="1"/>
  <c r="BC183" i="1"/>
  <c r="BE184" i="1"/>
  <c r="AZ186" i="1"/>
  <c r="BH186" i="1"/>
  <c r="AP181" i="1"/>
  <c r="BC164" i="1"/>
  <c r="AQ172" i="1"/>
  <c r="BA172" i="1"/>
  <c r="AT173" i="1"/>
  <c r="AU173" i="1" s="1"/>
  <c r="AQ175" i="1"/>
  <c r="AY175" i="1"/>
  <c r="BG175" i="1"/>
  <c r="AV180" i="1"/>
  <c r="AW180" i="1" s="1"/>
  <c r="BE180" i="1"/>
  <c r="AP184" i="1"/>
  <c r="BF164" i="1"/>
  <c r="AX180" i="1"/>
  <c r="AQ181" i="1"/>
  <c r="BI181" i="1"/>
  <c r="AV183" i="1"/>
  <c r="AW183" i="1" s="1"/>
  <c r="BE183" i="1"/>
  <c r="AY184" i="1"/>
  <c r="BG184" i="1"/>
  <c r="AP175" i="1"/>
  <c r="AV164" i="1"/>
  <c r="AW164" i="1" s="1"/>
  <c r="BG164" i="1"/>
  <c r="AT165" i="1"/>
  <c r="AU165" i="1" s="1"/>
  <c r="AT170" i="1"/>
  <c r="AU170" i="1" s="1"/>
  <c r="BC170" i="1"/>
  <c r="AZ171" i="1"/>
  <c r="BH171" i="1"/>
  <c r="AS172" i="1"/>
  <c r="BC172" i="1"/>
  <c r="AV173" i="1"/>
  <c r="AW173" i="1" s="1"/>
  <c r="BE173" i="1"/>
  <c r="AZ174" i="1"/>
  <c r="BH174" i="1"/>
  <c r="AS175" i="1"/>
  <c r="BA175" i="1"/>
  <c r="BI175" i="1"/>
  <c r="AT176" i="1"/>
  <c r="AU176" i="1" s="1"/>
  <c r="BC176" i="1"/>
  <c r="AV177" i="1"/>
  <c r="AW177" i="1" s="1"/>
  <c r="AZ178" i="1"/>
  <c r="BH178" i="1"/>
  <c r="AV179" i="1"/>
  <c r="AW179" i="1" s="1"/>
  <c r="BE179" i="1"/>
  <c r="AY180" i="1"/>
  <c r="BG180" i="1"/>
  <c r="AR181" i="1"/>
  <c r="BB181" i="1"/>
  <c r="BJ181" i="1"/>
  <c r="BC182" i="1"/>
  <c r="AX183" i="1"/>
  <c r="BF183" i="1"/>
  <c r="AQ184" i="1"/>
  <c r="AZ184" i="1"/>
  <c r="BH184" i="1"/>
  <c r="AS186" i="1"/>
  <c r="BC186" i="1"/>
  <c r="AP180" i="1"/>
  <c r="AX172" i="1"/>
  <c r="BF172" i="1"/>
  <c r="BJ180" i="1"/>
  <c r="AP173" i="1"/>
  <c r="BH181" i="1"/>
  <c r="BA181" i="1"/>
  <c r="AV170" i="1"/>
  <c r="AW170" i="1" s="1"/>
  <c r="BA171" i="1"/>
  <c r="BI171" i="1"/>
  <c r="AT172" i="1"/>
  <c r="AU172" i="1" s="1"/>
  <c r="AX173" i="1"/>
  <c r="BF173" i="1"/>
  <c r="AQ174" i="1"/>
  <c r="BA174" i="1"/>
  <c r="BI174" i="1"/>
  <c r="AT175" i="1"/>
  <c r="AU175" i="1" s="1"/>
  <c r="BB175" i="1"/>
  <c r="BJ175" i="1"/>
  <c r="BE177" i="1"/>
  <c r="BA178" i="1"/>
  <c r="BI178" i="1"/>
  <c r="AX179" i="1"/>
  <c r="BF179" i="1"/>
  <c r="AQ180" i="1"/>
  <c r="AZ180" i="1"/>
  <c r="BH180" i="1"/>
  <c r="AS181" i="1"/>
  <c r="BC181" i="1"/>
  <c r="AV182" i="1"/>
  <c r="AW182" i="1" s="1"/>
  <c r="AY183" i="1"/>
  <c r="BG183" i="1"/>
  <c r="AR184" i="1"/>
  <c r="BA184" i="1"/>
  <c r="BI184" i="1"/>
  <c r="AT186" i="1"/>
  <c r="AU186" i="1" s="1"/>
  <c r="AS180" i="1"/>
  <c r="BB180" i="1"/>
  <c r="AX164" i="1"/>
  <c r="AY164" i="1"/>
  <c r="AP183" i="1"/>
  <c r="BE164" i="1"/>
  <c r="BI172" i="1"/>
  <c r="BC173" i="1"/>
  <c r="AZ181" i="1"/>
  <c r="AT183" i="1"/>
  <c r="AU183" i="1" s="1"/>
  <c r="AR172" i="1"/>
  <c r="BB172" i="1"/>
  <c r="BJ172" i="1"/>
  <c r="AR175" i="1"/>
  <c r="AZ175" i="1"/>
  <c r="BH175" i="1"/>
  <c r="AS176" i="1"/>
  <c r="BB176" i="1"/>
  <c r="BJ176" i="1"/>
  <c r="BF180" i="1"/>
  <c r="AP176" i="1"/>
  <c r="AZ164" i="1"/>
  <c r="BH164" i="1"/>
  <c r="AP177" i="1"/>
  <c r="BA164" i="1"/>
  <c r="BI164" i="1"/>
  <c r="AX165" i="1"/>
  <c r="BB171" i="1"/>
  <c r="AV172" i="1"/>
  <c r="AW172" i="1" s="1"/>
  <c r="AY173" i="1"/>
  <c r="AR174" i="1"/>
  <c r="BB174" i="1"/>
  <c r="AV176" i="1"/>
  <c r="AW176" i="1" s="1"/>
  <c r="AX177" i="1"/>
  <c r="AS178" i="1"/>
  <c r="BB178" i="1"/>
  <c r="AY179" i="1"/>
  <c r="AR180" i="1"/>
  <c r="BA180" i="1"/>
  <c r="AZ183" i="1"/>
  <c r="AS184" i="1"/>
  <c r="BB184" i="1"/>
  <c r="AV186" i="1"/>
  <c r="AW186" i="1" s="1"/>
  <c r="N44" i="1"/>
  <c r="C33" i="15" s="1"/>
  <c r="C68" i="15" s="1"/>
  <c r="N43" i="1"/>
  <c r="C32" i="15" s="1"/>
  <c r="C67" i="15" s="1"/>
  <c r="BM43" i="1"/>
  <c r="BN43" i="1"/>
  <c r="BU43" i="1"/>
  <c r="BM44" i="1"/>
  <c r="BN44" i="1"/>
  <c r="BU44" i="1"/>
  <c r="BM86" i="1"/>
  <c r="BN86" i="1"/>
  <c r="BM87" i="1"/>
  <c r="BN87" i="1"/>
  <c r="N86" i="1"/>
  <c r="C34" i="15" s="1"/>
  <c r="C69" i="15" s="1"/>
  <c r="N87" i="1"/>
  <c r="C35" i="15" s="1"/>
  <c r="C70" i="15" s="1"/>
  <c r="AO87" i="1"/>
  <c r="BE87" i="1" s="1"/>
  <c r="AO86" i="1"/>
  <c r="AS86" i="1" s="1"/>
  <c r="AO44" i="1"/>
  <c r="AS44" i="1" s="1"/>
  <c r="AO43" i="1"/>
  <c r="AS43" i="1" s="1"/>
  <c r="AR186" i="1" l="1"/>
  <c r="AQ171" i="1"/>
  <c r="AQ178" i="1"/>
  <c r="AQ164" i="1"/>
  <c r="AQ165" i="1"/>
  <c r="AQ186" i="1"/>
  <c r="AQ179" i="1"/>
  <c r="BB86" i="1"/>
  <c r="AZ44" i="1"/>
  <c r="AZ86" i="1"/>
  <c r="AX44" i="1"/>
  <c r="BI44" i="1"/>
  <c r="BA44" i="1"/>
  <c r="BI43" i="1"/>
  <c r="BH43" i="1"/>
  <c r="AY44" i="1"/>
  <c r="BJ86" i="1"/>
  <c r="AT43" i="1"/>
  <c r="AU43" i="1" s="1"/>
  <c r="AZ43" i="1"/>
  <c r="BH44" i="1"/>
  <c r="BH86" i="1"/>
  <c r="BC86" i="1"/>
  <c r="BJ43" i="1"/>
  <c r="BF44" i="1"/>
  <c r="BC43" i="1"/>
  <c r="AT86" i="1"/>
  <c r="AU86" i="1" s="1"/>
  <c r="BE44" i="1"/>
  <c r="BB43" i="1"/>
  <c r="BA43" i="1"/>
  <c r="BE43" i="1"/>
  <c r="AV43" i="1"/>
  <c r="AW43" i="1" s="1"/>
  <c r="BG44" i="1"/>
  <c r="AV44" i="1"/>
  <c r="AW44" i="1" s="1"/>
  <c r="BG87" i="1"/>
  <c r="AY87" i="1"/>
  <c r="AV87" i="1"/>
  <c r="AW87" i="1" s="1"/>
  <c r="BJ87" i="1"/>
  <c r="BB87" i="1"/>
  <c r="AT87" i="1"/>
  <c r="AU87" i="1" s="1"/>
  <c r="BF86" i="1"/>
  <c r="AX86" i="1"/>
  <c r="BC44" i="1"/>
  <c r="AT44" i="1"/>
  <c r="AU44" i="1" s="1"/>
  <c r="BG43" i="1"/>
  <c r="AY43" i="1"/>
  <c r="AX87" i="1"/>
  <c r="BC87" i="1"/>
  <c r="BG86" i="1"/>
  <c r="AY86" i="1"/>
  <c r="BI87" i="1"/>
  <c r="BA87" i="1"/>
  <c r="AS87" i="1"/>
  <c r="BE86" i="1"/>
  <c r="BJ44" i="1"/>
  <c r="BB44" i="1"/>
  <c r="BF43" i="1"/>
  <c r="AX43" i="1"/>
  <c r="BH87" i="1"/>
  <c r="AZ87" i="1"/>
  <c r="AV86" i="1"/>
  <c r="BF87" i="1"/>
  <c r="BI86" i="1"/>
  <c r="BA86" i="1"/>
  <c r="N259" i="1"/>
  <c r="N260" i="1"/>
  <c r="BU245" i="1"/>
  <c r="BW245" i="1"/>
  <c r="BU246" i="1"/>
  <c r="BW246" i="1"/>
  <c r="BU247" i="1"/>
  <c r="BW247" i="1"/>
  <c r="BU248" i="1"/>
  <c r="BW248" i="1"/>
  <c r="BU249" i="1"/>
  <c r="BW249" i="1"/>
  <c r="BU250" i="1"/>
  <c r="BW250" i="1"/>
  <c r="BU251" i="1"/>
  <c r="BW251" i="1"/>
  <c r="BU252" i="1"/>
  <c r="BW252" i="1"/>
  <c r="BU253" i="1"/>
  <c r="BW253" i="1"/>
  <c r="BU254" i="1"/>
  <c r="BW254" i="1"/>
  <c r="BU255" i="1"/>
  <c r="BW255" i="1"/>
  <c r="BU256" i="1"/>
  <c r="BW256" i="1"/>
  <c r="BU257" i="1"/>
  <c r="BW257" i="1"/>
  <c r="BU259" i="1"/>
  <c r="BW259" i="1"/>
  <c r="BU260" i="1"/>
  <c r="BW260" i="1"/>
  <c r="AX248" i="1"/>
  <c r="AY248" i="1"/>
  <c r="AZ248" i="1"/>
  <c r="BA248" i="1"/>
  <c r="BB248" i="1"/>
  <c r="BC248" i="1"/>
  <c r="AX249" i="1"/>
  <c r="AY249" i="1"/>
  <c r="AZ249" i="1"/>
  <c r="BA249" i="1"/>
  <c r="BB249" i="1"/>
  <c r="BC249" i="1"/>
  <c r="AX250" i="1"/>
  <c r="AY250" i="1"/>
  <c r="AZ250" i="1"/>
  <c r="BA250" i="1"/>
  <c r="BB250" i="1"/>
  <c r="BC250" i="1"/>
  <c r="AX255" i="1"/>
  <c r="AY255" i="1"/>
  <c r="AZ255" i="1"/>
  <c r="BA255" i="1"/>
  <c r="BB255" i="1"/>
  <c r="BC255" i="1"/>
  <c r="AX256" i="1"/>
  <c r="AY256" i="1"/>
  <c r="AZ256" i="1"/>
  <c r="BA256" i="1"/>
  <c r="BB256" i="1"/>
  <c r="BC256" i="1"/>
  <c r="AP186" i="1" l="1"/>
  <c r="AQ43" i="1"/>
  <c r="AQ87" i="1"/>
  <c r="AQ44" i="1"/>
  <c r="AW86" i="1"/>
  <c r="AQ86" i="1" s="1"/>
  <c r="N251" i="1"/>
  <c r="N252" i="1"/>
  <c r="N253" i="1"/>
  <c r="N254" i="1"/>
  <c r="N255" i="1"/>
  <c r="N256" i="1"/>
  <c r="N257" i="1"/>
  <c r="BH260" i="1"/>
  <c r="AT260" i="1"/>
  <c r="AU260" i="1" s="1"/>
  <c r="BE260" i="1"/>
  <c r="BG259" i="1"/>
  <c r="BE256" i="1"/>
  <c r="BF255" i="1"/>
  <c r="BG250" i="1"/>
  <c r="N250" i="1"/>
  <c r="N249" i="1"/>
  <c r="AV249" i="1" s="1"/>
  <c r="AW249" i="1" s="1"/>
  <c r="N248" i="1"/>
  <c r="N247" i="1"/>
  <c r="N246" i="1"/>
  <c r="N245" i="1"/>
  <c r="BI257" i="1" l="1"/>
  <c r="BA257" i="1"/>
  <c r="BB257" i="1"/>
  <c r="BC257" i="1"/>
  <c r="AX257" i="1"/>
  <c r="AY257" i="1"/>
  <c r="AZ257" i="1"/>
  <c r="BG251" i="1"/>
  <c r="AX251" i="1"/>
  <c r="AY251" i="1"/>
  <c r="AZ251" i="1"/>
  <c r="BC251" i="1"/>
  <c r="BA251" i="1"/>
  <c r="BB251" i="1"/>
  <c r="BE253" i="1"/>
  <c r="BB253" i="1"/>
  <c r="BC253" i="1"/>
  <c r="AX253" i="1"/>
  <c r="AY253" i="1"/>
  <c r="AZ253" i="1"/>
  <c r="BA253" i="1"/>
  <c r="BE252" i="1"/>
  <c r="AZ252" i="1"/>
  <c r="BA252" i="1"/>
  <c r="BB252" i="1"/>
  <c r="BC252" i="1"/>
  <c r="AX252" i="1"/>
  <c r="AY252" i="1"/>
  <c r="BG254" i="1"/>
  <c r="AX254" i="1"/>
  <c r="BA254" i="1"/>
  <c r="BB254" i="1"/>
  <c r="BC254" i="1"/>
  <c r="AY254" i="1"/>
  <c r="AZ254" i="1"/>
  <c r="BE245" i="1"/>
  <c r="BB245" i="1"/>
  <c r="BC245" i="1"/>
  <c r="AX245" i="1"/>
  <c r="AY245" i="1"/>
  <c r="AZ245" i="1"/>
  <c r="BA245" i="1"/>
  <c r="BG247" i="1"/>
  <c r="AX247" i="1"/>
  <c r="AY247" i="1"/>
  <c r="AZ247" i="1"/>
  <c r="BA247" i="1"/>
  <c r="BB247" i="1"/>
  <c r="BC247" i="1"/>
  <c r="BF246" i="1"/>
  <c r="AX246" i="1"/>
  <c r="AY246" i="1"/>
  <c r="AZ246" i="1"/>
  <c r="BA246" i="1"/>
  <c r="BB246" i="1"/>
  <c r="BC246" i="1"/>
  <c r="AV250" i="1"/>
  <c r="AW250" i="1" s="1"/>
  <c r="BJ249" i="1"/>
  <c r="AX260" i="1"/>
  <c r="AS260" i="1"/>
  <c r="BE254" i="1"/>
  <c r="BF260" i="1"/>
  <c r="AT251" i="1"/>
  <c r="AU251" i="1" s="1"/>
  <c r="BF250" i="1"/>
  <c r="AZ260" i="1"/>
  <c r="BH250" i="1"/>
  <c r="BI251" i="1"/>
  <c r="BJ260" i="1"/>
  <c r="AS245" i="1"/>
  <c r="AT249" i="1"/>
  <c r="AU249" i="1" s="1"/>
  <c r="AS251" i="1"/>
  <c r="AV260" i="1"/>
  <c r="AW260" i="1" s="1"/>
  <c r="BG245" i="1"/>
  <c r="AT252" i="1"/>
  <c r="AU252" i="1" s="1"/>
  <c r="AV252" i="1"/>
  <c r="AW252" i="1" s="1"/>
  <c r="BH245" i="1"/>
  <c r="AV257" i="1"/>
  <c r="AW257" i="1" s="1"/>
  <c r="BG260" i="1"/>
  <c r="BI245" i="1"/>
  <c r="BF252" i="1"/>
  <c r="BJ251" i="1"/>
  <c r="BG252" i="1"/>
  <c r="AV248" i="1"/>
  <c r="AW248" i="1" s="1"/>
  <c r="AS253" i="1"/>
  <c r="BG253" i="1"/>
  <c r="BH259" i="1"/>
  <c r="BI250" i="1"/>
  <c r="BH252" i="1"/>
  <c r="BH253" i="1"/>
  <c r="AS259" i="1"/>
  <c r="BI259" i="1"/>
  <c r="BJ250" i="1"/>
  <c r="BI252" i="1"/>
  <c r="BI253" i="1"/>
  <c r="AT259" i="1"/>
  <c r="AU259" i="1" s="1"/>
  <c r="BJ259" i="1"/>
  <c r="BJ252" i="1"/>
  <c r="BJ257" i="1"/>
  <c r="AZ259" i="1"/>
  <c r="AY260" i="1"/>
  <c r="BI260" i="1"/>
  <c r="BF253" i="1"/>
  <c r="BA259" i="1"/>
  <c r="AS250" i="1"/>
  <c r="AT257" i="1"/>
  <c r="AU257" i="1" s="1"/>
  <c r="BB259" i="1"/>
  <c r="BA260" i="1"/>
  <c r="BF245" i="1"/>
  <c r="AT250" i="1"/>
  <c r="AU250" i="1" s="1"/>
  <c r="BH251" i="1"/>
  <c r="AS252" i="1"/>
  <c r="BC259" i="1"/>
  <c r="BB260" i="1"/>
  <c r="BJ255" i="1"/>
  <c r="AT255" i="1"/>
  <c r="AU255" i="1" s="1"/>
  <c r="BI255" i="1"/>
  <c r="AS255" i="1"/>
  <c r="BH255" i="1"/>
  <c r="BG255" i="1"/>
  <c r="AV246" i="1"/>
  <c r="AW246" i="1" s="1"/>
  <c r="BJ246" i="1"/>
  <c r="AT246" i="1"/>
  <c r="BI246" i="1"/>
  <c r="AS246" i="1"/>
  <c r="BI247" i="1"/>
  <c r="BJ247" i="1"/>
  <c r="AT247" i="1"/>
  <c r="AS247" i="1"/>
  <c r="BH247" i="1"/>
  <c r="BE247" i="1"/>
  <c r="AV255" i="1"/>
  <c r="AW255" i="1" s="1"/>
  <c r="BE246" i="1"/>
  <c r="BF247" i="1"/>
  <c r="AV254" i="1"/>
  <c r="AW254" i="1" s="1"/>
  <c r="BJ254" i="1"/>
  <c r="AT254" i="1"/>
  <c r="AU254" i="1" s="1"/>
  <c r="BI254" i="1"/>
  <c r="AS254" i="1"/>
  <c r="BH254" i="1"/>
  <c r="BF254" i="1"/>
  <c r="BJ256" i="1"/>
  <c r="AT256" i="1"/>
  <c r="AU256" i="1" s="1"/>
  <c r="BI256" i="1"/>
  <c r="AS256" i="1"/>
  <c r="BH256" i="1"/>
  <c r="BG256" i="1"/>
  <c r="BF256" i="1"/>
  <c r="BJ248" i="1"/>
  <c r="AT248" i="1"/>
  <c r="AU248" i="1" s="1"/>
  <c r="BH248" i="1"/>
  <c r="BI248" i="1"/>
  <c r="AS248" i="1"/>
  <c r="BG248" i="1"/>
  <c r="BF248" i="1"/>
  <c r="BG246" i="1"/>
  <c r="AV247" i="1"/>
  <c r="AW247" i="1" s="1"/>
  <c r="BI249" i="1"/>
  <c r="AS249" i="1"/>
  <c r="BG249" i="1"/>
  <c r="BH249" i="1"/>
  <c r="BF249" i="1"/>
  <c r="BE249" i="1"/>
  <c r="AV256" i="1"/>
  <c r="AW256" i="1" s="1"/>
  <c r="BE248" i="1"/>
  <c r="BH246" i="1"/>
  <c r="BE255" i="1"/>
  <c r="BE257" i="1"/>
  <c r="AT245" i="1"/>
  <c r="BJ245" i="1"/>
  <c r="BE250" i="1"/>
  <c r="AV251" i="1"/>
  <c r="AW251" i="1" s="1"/>
  <c r="AT253" i="1"/>
  <c r="BJ253" i="1"/>
  <c r="BF257" i="1"/>
  <c r="AV259" i="1"/>
  <c r="AW259" i="1" s="1"/>
  <c r="BC260" i="1"/>
  <c r="BE251" i="1"/>
  <c r="BG257" i="1"/>
  <c r="BE259" i="1"/>
  <c r="AV245" i="1"/>
  <c r="AW245" i="1" s="1"/>
  <c r="BF251" i="1"/>
  <c r="AV253" i="1"/>
  <c r="AW253" i="1" s="1"/>
  <c r="BH257" i="1"/>
  <c r="AX259" i="1"/>
  <c r="BF259" i="1"/>
  <c r="AS257" i="1"/>
  <c r="AY259" i="1"/>
  <c r="BW23" i="1"/>
  <c r="BU23" i="1"/>
  <c r="BM23" i="1"/>
  <c r="AO23" i="1"/>
  <c r="BE23" i="1" s="1"/>
  <c r="AF23" i="1"/>
  <c r="AH23" i="1" s="1"/>
  <c r="N23" i="1"/>
  <c r="AV23" i="1" l="1"/>
  <c r="AW23" i="1" s="1"/>
  <c r="AQ250" i="1"/>
  <c r="AQ252" i="1"/>
  <c r="AQ248" i="1"/>
  <c r="AQ257" i="1"/>
  <c r="AQ259" i="1"/>
  <c r="AQ260" i="1"/>
  <c r="AQ254" i="1"/>
  <c r="AQ249" i="1"/>
  <c r="AQ255" i="1"/>
  <c r="AQ251" i="1"/>
  <c r="AU253" i="1"/>
  <c r="AQ253" i="1" s="1"/>
  <c r="AU247" i="1"/>
  <c r="AQ247" i="1" s="1"/>
  <c r="AU246" i="1"/>
  <c r="AQ246" i="1" s="1"/>
  <c r="AQ256" i="1"/>
  <c r="AU245" i="1"/>
  <c r="AQ245"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101" i="1" l="1"/>
  <c r="AH101" i="1" s="1"/>
  <c r="BU101" i="1"/>
  <c r="AJ101" i="1"/>
  <c r="BM101" i="1"/>
  <c r="AO101" i="1"/>
  <c r="BG101" i="1" s="1"/>
  <c r="N101" i="1"/>
  <c r="BH101" i="1" l="1"/>
  <c r="BA101" i="1"/>
  <c r="BE101" i="1"/>
  <c r="BI101" i="1"/>
  <c r="AY101" i="1"/>
  <c r="AV101" i="1"/>
  <c r="AW101" i="1" s="1"/>
  <c r="AZ101" i="1"/>
  <c r="AS101" i="1"/>
  <c r="AT101" i="1"/>
  <c r="AU101" i="1" s="1"/>
  <c r="AX101" i="1"/>
  <c r="BB101" i="1"/>
  <c r="BF101" i="1"/>
  <c r="BJ101" i="1"/>
  <c r="BC101" i="1"/>
  <c r="BV81" i="1"/>
  <c r="AQ101" i="1" l="1"/>
  <c r="CB59" i="1"/>
  <c r="CB60" i="1"/>
  <c r="CB61" i="1"/>
  <c r="CB62" i="1"/>
  <c r="CB63" i="1"/>
  <c r="CB58" i="1"/>
  <c r="BW103" i="1" l="1"/>
  <c r="CE103" i="1" s="1"/>
  <c r="BT103" i="1"/>
  <c r="BV103" i="1" s="1"/>
  <c r="CD103" i="1" s="1"/>
  <c r="BJ196" i="1" l="1"/>
  <c r="BI196" i="1"/>
  <c r="BH196" i="1"/>
  <c r="BG196" i="1"/>
  <c r="BF196" i="1"/>
  <c r="BE196" i="1"/>
  <c r="BJ195" i="1"/>
  <c r="BI195" i="1"/>
  <c r="BH195" i="1"/>
  <c r="BG195" i="1"/>
  <c r="BF195" i="1"/>
  <c r="BE195" i="1"/>
  <c r="BJ194" i="1"/>
  <c r="BI194" i="1"/>
  <c r="BH194" i="1"/>
  <c r="BG194" i="1"/>
  <c r="BF194" i="1"/>
  <c r="BE194" i="1"/>
  <c r="BJ193" i="1"/>
  <c r="BI193" i="1"/>
  <c r="BH193" i="1"/>
  <c r="BG193" i="1"/>
  <c r="BF193" i="1"/>
  <c r="BE193" i="1"/>
  <c r="BJ190" i="1"/>
  <c r="BI190" i="1"/>
  <c r="BH190" i="1"/>
  <c r="BG190" i="1"/>
  <c r="BF190" i="1"/>
  <c r="BE190" i="1"/>
  <c r="BJ124" i="1"/>
  <c r="BI124" i="1"/>
  <c r="BH124" i="1"/>
  <c r="BG124" i="1"/>
  <c r="BF124" i="1"/>
  <c r="BE124" i="1"/>
  <c r="BJ120" i="1"/>
  <c r="BI120" i="1"/>
  <c r="BH120" i="1"/>
  <c r="BG120" i="1"/>
  <c r="BF120" i="1"/>
  <c r="BE120" i="1"/>
  <c r="BJ112" i="1"/>
  <c r="BI112" i="1"/>
  <c r="BH112" i="1"/>
  <c r="BG112" i="1"/>
  <c r="BF112" i="1"/>
  <c r="BE112" i="1"/>
  <c r="BJ98" i="1"/>
  <c r="BI98" i="1"/>
  <c r="BH98" i="1"/>
  <c r="BG98" i="1"/>
  <c r="BF98" i="1"/>
  <c r="BE98" i="1"/>
  <c r="BJ97" i="1"/>
  <c r="BI97" i="1"/>
  <c r="BH97" i="1"/>
  <c r="BG97" i="1"/>
  <c r="BF97" i="1"/>
  <c r="BE97" i="1"/>
  <c r="BJ93" i="1"/>
  <c r="BI93" i="1"/>
  <c r="BH93" i="1"/>
  <c r="BG93" i="1"/>
  <c r="BF93" i="1"/>
  <c r="BE93" i="1"/>
  <c r="BJ92" i="1"/>
  <c r="BI92" i="1"/>
  <c r="BH92" i="1"/>
  <c r="BG92" i="1"/>
  <c r="BF92" i="1"/>
  <c r="BE92" i="1"/>
  <c r="BJ85" i="1"/>
  <c r="BI85" i="1"/>
  <c r="BH85" i="1"/>
  <c r="BG85" i="1"/>
  <c r="BF85" i="1"/>
  <c r="BE85" i="1"/>
  <c r="BJ75" i="1"/>
  <c r="BI75" i="1"/>
  <c r="BH75" i="1"/>
  <c r="BG75" i="1"/>
  <c r="BF75" i="1"/>
  <c r="BE75" i="1"/>
  <c r="BJ74" i="1"/>
  <c r="BI74" i="1"/>
  <c r="BH74" i="1"/>
  <c r="BG74" i="1"/>
  <c r="BF74" i="1"/>
  <c r="BE74" i="1"/>
  <c r="BJ73" i="1"/>
  <c r="BI73" i="1"/>
  <c r="BH73" i="1"/>
  <c r="BG73" i="1"/>
  <c r="BF73" i="1"/>
  <c r="BE73" i="1"/>
  <c r="BJ72" i="1"/>
  <c r="BI72" i="1"/>
  <c r="BH72" i="1"/>
  <c r="BG72" i="1"/>
  <c r="BF72" i="1"/>
  <c r="BE72" i="1"/>
  <c r="BJ69" i="1"/>
  <c r="BI69" i="1"/>
  <c r="BH69" i="1"/>
  <c r="BG69" i="1"/>
  <c r="BF69" i="1"/>
  <c r="BE69" i="1"/>
  <c r="BJ52" i="1"/>
  <c r="BI52" i="1"/>
  <c r="BH52" i="1"/>
  <c r="BG52" i="1"/>
  <c r="BF52" i="1"/>
  <c r="BE52" i="1"/>
  <c r="BJ51" i="1"/>
  <c r="BI51" i="1"/>
  <c r="BH51" i="1"/>
  <c r="BG51" i="1"/>
  <c r="BF51" i="1"/>
  <c r="BE51" i="1"/>
  <c r="BJ50" i="1"/>
  <c r="BI50" i="1"/>
  <c r="BH50" i="1"/>
  <c r="BG50" i="1"/>
  <c r="BF50" i="1"/>
  <c r="BE50" i="1"/>
  <c r="BJ48" i="1"/>
  <c r="BI48" i="1"/>
  <c r="BH48" i="1"/>
  <c r="BG48" i="1"/>
  <c r="BF48" i="1"/>
  <c r="BE48" i="1"/>
  <c r="BJ47" i="1"/>
  <c r="BI47" i="1"/>
  <c r="BH47" i="1"/>
  <c r="BG47" i="1"/>
  <c r="BF47" i="1"/>
  <c r="BE47" i="1"/>
  <c r="BJ46" i="1"/>
  <c r="BI46" i="1"/>
  <c r="BH46" i="1"/>
  <c r="BG46" i="1"/>
  <c r="BF46" i="1"/>
  <c r="BE46" i="1"/>
  <c r="BJ45" i="1"/>
  <c r="BI45" i="1"/>
  <c r="BH45" i="1"/>
  <c r="BG45" i="1"/>
  <c r="BF45" i="1"/>
  <c r="BE45" i="1"/>
  <c r="BJ40" i="1"/>
  <c r="BI40" i="1"/>
  <c r="BH40" i="1"/>
  <c r="BG40" i="1"/>
  <c r="BF40" i="1"/>
  <c r="BE40" i="1"/>
  <c r="BJ29" i="1"/>
  <c r="BI29" i="1"/>
  <c r="BH29" i="1"/>
  <c r="BG29" i="1"/>
  <c r="BF29" i="1"/>
  <c r="BE29" i="1"/>
  <c r="BJ28" i="1"/>
  <c r="BI28" i="1"/>
  <c r="BH28" i="1"/>
  <c r="BG28" i="1"/>
  <c r="BF28" i="1"/>
  <c r="BE28" i="1"/>
  <c r="AR45" i="1"/>
  <c r="AR46" i="1"/>
  <c r="AR47" i="1"/>
  <c r="AR48" i="1"/>
  <c r="AR50" i="1"/>
  <c r="AR51" i="1"/>
  <c r="AR52" i="1"/>
  <c r="AG40" i="1"/>
  <c r="AH40" i="1"/>
  <c r="AI40" i="1"/>
  <c r="AJ40" i="1"/>
  <c r="AK40" i="1"/>
  <c r="AL40" i="1"/>
  <c r="AG41" i="1"/>
  <c r="AH41" i="1"/>
  <c r="AI41" i="1"/>
  <c r="AJ41" i="1"/>
  <c r="AK41" i="1"/>
  <c r="AL41" i="1"/>
  <c r="AG42" i="1"/>
  <c r="AH42" i="1"/>
  <c r="AI42" i="1"/>
  <c r="AJ42" i="1"/>
  <c r="AK42" i="1"/>
  <c r="AL42" i="1"/>
  <c r="AG45" i="1"/>
  <c r="AH45" i="1"/>
  <c r="AI45" i="1"/>
  <c r="AJ45" i="1"/>
  <c r="AK45" i="1"/>
  <c r="AL45" i="1"/>
  <c r="AG46" i="1"/>
  <c r="AH46" i="1"/>
  <c r="AI46" i="1"/>
  <c r="AJ46" i="1"/>
  <c r="AK46" i="1"/>
  <c r="AL46" i="1"/>
  <c r="AG47" i="1"/>
  <c r="AH47" i="1"/>
  <c r="AI47" i="1"/>
  <c r="AJ47" i="1"/>
  <c r="AK47" i="1"/>
  <c r="AL47" i="1"/>
  <c r="AG48" i="1"/>
  <c r="AH48" i="1"/>
  <c r="AI48" i="1"/>
  <c r="AJ48" i="1"/>
  <c r="AK48" i="1"/>
  <c r="AL48" i="1"/>
  <c r="AR28" i="1"/>
  <c r="AR29" i="1"/>
  <c r="AR40" i="1"/>
  <c r="BM29" i="1"/>
  <c r="BU29" i="1"/>
  <c r="BW29" i="1"/>
  <c r="BW89" i="1"/>
  <c r="AH89" i="1" s="1"/>
  <c r="BV89" i="1"/>
  <c r="AG89" i="1" s="1"/>
  <c r="BW68" i="1"/>
  <c r="AH68" i="1" s="1"/>
  <c r="BV68" i="1"/>
  <c r="AG68" i="1" s="1"/>
  <c r="BW67" i="1"/>
  <c r="AH67" i="1" s="1"/>
  <c r="BV67" i="1"/>
  <c r="AG67" i="1" s="1"/>
  <c r="BW64" i="1"/>
  <c r="AH64" i="1" s="1"/>
  <c r="BV64" i="1"/>
  <c r="AG64" i="1" s="1"/>
  <c r="BW57" i="1"/>
  <c r="AH57" i="1" s="1"/>
  <c r="BV57" i="1"/>
  <c r="AG57" i="1" s="1"/>
  <c r="BW55" i="1"/>
  <c r="AH55" i="1" s="1"/>
  <c r="BV55" i="1"/>
  <c r="AG55" i="1" s="1"/>
  <c r="BW49" i="1"/>
  <c r="AH49" i="1" s="1"/>
  <c r="BV49" i="1"/>
  <c r="AG49" i="1" s="1"/>
  <c r="BW39" i="1"/>
  <c r="AH39" i="1" s="1"/>
  <c r="BV39" i="1"/>
  <c r="AG39" i="1" s="1"/>
  <c r="BW38" i="1"/>
  <c r="AH38" i="1" s="1"/>
  <c r="BV38" i="1"/>
  <c r="AG38" i="1" s="1"/>
  <c r="BW35" i="1"/>
  <c r="AH35" i="1" s="1"/>
  <c r="BV35" i="1"/>
  <c r="AG35" i="1" s="1"/>
  <c r="BV33" i="1"/>
  <c r="AG33" i="1" s="1"/>
  <c r="BW33" i="1"/>
  <c r="AH33" i="1" s="1"/>
  <c r="AH112" i="1"/>
  <c r="AG112" i="1"/>
  <c r="AH111" i="1"/>
  <c r="AG111" i="1"/>
  <c r="BW117" i="1"/>
  <c r="AH117" i="1" s="1"/>
  <c r="BV117" i="1"/>
  <c r="AG117" i="1" s="1"/>
  <c r="BW115" i="1"/>
  <c r="AH115" i="1" s="1"/>
  <c r="BV115" i="1"/>
  <c r="AG115" i="1" s="1"/>
  <c r="BW113" i="1"/>
  <c r="AH113" i="1" s="1"/>
  <c r="BV113" i="1"/>
  <c r="AG113" i="1" s="1"/>
  <c r="BW109" i="1"/>
  <c r="AH109" i="1" s="1"/>
  <c r="BV109" i="1"/>
  <c r="AG109" i="1" s="1"/>
  <c r="BW107" i="1"/>
  <c r="AH107" i="1" s="1"/>
  <c r="BV107" i="1"/>
  <c r="AG107" i="1" s="1"/>
  <c r="BW105" i="1"/>
  <c r="AH105" i="1" s="1"/>
  <c r="BV105" i="1"/>
  <c r="AG105" i="1" s="1"/>
  <c r="BS161" i="1"/>
  <c r="BV161" i="1" s="1"/>
  <c r="AG161" i="1" s="1"/>
  <c r="BS160" i="1"/>
  <c r="AK160" i="1" s="1"/>
  <c r="BS159" i="1"/>
  <c r="AK159" i="1" s="1"/>
  <c r="BS158" i="1"/>
  <c r="BV158" i="1" s="1"/>
  <c r="AG158" i="1" s="1"/>
  <c r="BS157" i="1"/>
  <c r="BV157" i="1" s="1"/>
  <c r="AG157" i="1" s="1"/>
  <c r="BS156" i="1"/>
  <c r="BV156" i="1" s="1"/>
  <c r="AG156" i="1" s="1"/>
  <c r="BT161" i="1"/>
  <c r="BW161" i="1" s="1"/>
  <c r="AH161" i="1" s="1"/>
  <c r="BT160" i="1"/>
  <c r="BW160" i="1" s="1"/>
  <c r="AH160" i="1" s="1"/>
  <c r="BT159" i="1"/>
  <c r="AL159" i="1" s="1"/>
  <c r="BT158" i="1"/>
  <c r="AL158" i="1" s="1"/>
  <c r="BT157" i="1"/>
  <c r="AL157" i="1" s="1"/>
  <c r="BT156" i="1"/>
  <c r="AL156" i="1" s="1"/>
  <c r="BW134" i="1"/>
  <c r="AH134" i="1" s="1"/>
  <c r="BV134" i="1"/>
  <c r="AG134" i="1" s="1"/>
  <c r="BW132" i="1"/>
  <c r="AH132" i="1" s="1"/>
  <c r="BV132" i="1"/>
  <c r="AG132" i="1" s="1"/>
  <c r="BW130" i="1"/>
  <c r="AH130" i="1" s="1"/>
  <c r="BV130" i="1"/>
  <c r="AG130" i="1" s="1"/>
  <c r="BW128" i="1"/>
  <c r="AH128" i="1" s="1"/>
  <c r="BV128" i="1"/>
  <c r="AG128" i="1" s="1"/>
  <c r="BW148" i="1"/>
  <c r="AH148" i="1" s="1"/>
  <c r="BV148" i="1"/>
  <c r="AG148" i="1" s="1"/>
  <c r="BW146" i="1"/>
  <c r="AH146" i="1" s="1"/>
  <c r="BV146" i="1"/>
  <c r="AG146" i="1" s="1"/>
  <c r="BW144" i="1"/>
  <c r="AH144" i="1" s="1"/>
  <c r="BV144" i="1"/>
  <c r="AG144" i="1" s="1"/>
  <c r="BW142" i="1"/>
  <c r="AH142" i="1" s="1"/>
  <c r="BV142" i="1"/>
  <c r="AG142" i="1" s="1"/>
  <c r="BW140" i="1"/>
  <c r="AH140" i="1" s="1"/>
  <c r="BV140" i="1"/>
  <c r="AG140" i="1" s="1"/>
  <c r="BV138" i="1"/>
  <c r="AG138" i="1" s="1"/>
  <c r="BW138" i="1"/>
  <c r="AH138" i="1" s="1"/>
  <c r="BW126" i="1"/>
  <c r="AH126" i="1" s="1"/>
  <c r="BV126" i="1"/>
  <c r="AG126" i="1" s="1"/>
  <c r="AL137" i="1"/>
  <c r="AJ137" i="1"/>
  <c r="AK137" i="1"/>
  <c r="AI137" i="1"/>
  <c r="BT135" i="1"/>
  <c r="AL135" i="1" s="1"/>
  <c r="BR135" i="1"/>
  <c r="AJ135" i="1" s="1"/>
  <c r="BS135" i="1"/>
  <c r="AK135" i="1" s="1"/>
  <c r="BQ135" i="1"/>
  <c r="AI135" i="1" s="1"/>
  <c r="BP135" i="1"/>
  <c r="BO135" i="1"/>
  <c r="BT133" i="1"/>
  <c r="AL133" i="1" s="1"/>
  <c r="BR133" i="1"/>
  <c r="BS133" i="1"/>
  <c r="AK133" i="1" s="1"/>
  <c r="BQ133" i="1"/>
  <c r="AI133" i="1" s="1"/>
  <c r="BP133" i="1"/>
  <c r="BO133" i="1"/>
  <c r="BT131" i="1"/>
  <c r="AL131" i="1" s="1"/>
  <c r="BR131" i="1"/>
  <c r="AJ131" i="1" s="1"/>
  <c r="BS131" i="1"/>
  <c r="BQ131" i="1"/>
  <c r="AI131" i="1" s="1"/>
  <c r="BP131" i="1"/>
  <c r="BO131" i="1"/>
  <c r="BT129" i="1"/>
  <c r="AL129" i="1" s="1"/>
  <c r="BR129" i="1"/>
  <c r="AJ129" i="1" s="1"/>
  <c r="BS129" i="1"/>
  <c r="AK129" i="1" s="1"/>
  <c r="BQ129" i="1"/>
  <c r="AI129" i="1" s="1"/>
  <c r="BP129" i="1"/>
  <c r="BO129" i="1"/>
  <c r="BT127" i="1"/>
  <c r="AL127" i="1" s="1"/>
  <c r="BR127" i="1"/>
  <c r="AJ127" i="1" s="1"/>
  <c r="BS127" i="1"/>
  <c r="AK127" i="1" s="1"/>
  <c r="BQ127" i="1"/>
  <c r="AI127" i="1" s="1"/>
  <c r="BP127" i="1"/>
  <c r="BO127" i="1"/>
  <c r="BT149" i="1"/>
  <c r="AL149" i="1" s="1"/>
  <c r="BR149" i="1"/>
  <c r="AJ149" i="1" s="1"/>
  <c r="BS149" i="1"/>
  <c r="BQ149" i="1"/>
  <c r="BP149" i="1"/>
  <c r="BO149" i="1"/>
  <c r="BT147" i="1"/>
  <c r="AL147" i="1" s="1"/>
  <c r="BR147" i="1"/>
  <c r="BS147" i="1"/>
  <c r="AK147" i="1" s="1"/>
  <c r="BQ147" i="1"/>
  <c r="BP147" i="1"/>
  <c r="BO147" i="1"/>
  <c r="BT145" i="1"/>
  <c r="AL145" i="1" s="1"/>
  <c r="BR145" i="1"/>
  <c r="BS145" i="1"/>
  <c r="AK145" i="1" s="1"/>
  <c r="BQ145" i="1"/>
  <c r="AI145" i="1" s="1"/>
  <c r="BP145" i="1"/>
  <c r="BO145" i="1"/>
  <c r="BT143" i="1"/>
  <c r="AL143" i="1" s="1"/>
  <c r="BR143" i="1"/>
  <c r="BS143" i="1"/>
  <c r="AK143" i="1" s="1"/>
  <c r="BQ143" i="1"/>
  <c r="AI143" i="1" s="1"/>
  <c r="BP143" i="1"/>
  <c r="BO143" i="1"/>
  <c r="BT141" i="1"/>
  <c r="AL141" i="1" s="1"/>
  <c r="BR141" i="1"/>
  <c r="AJ141" i="1" s="1"/>
  <c r="BS141" i="1"/>
  <c r="AK141" i="1" s="1"/>
  <c r="BQ141" i="1"/>
  <c r="AI141" i="1" s="1"/>
  <c r="BP141" i="1"/>
  <c r="BO141" i="1"/>
  <c r="BT139" i="1"/>
  <c r="AL139" i="1" s="1"/>
  <c r="BR139" i="1"/>
  <c r="BS139" i="1"/>
  <c r="AK139" i="1" s="1"/>
  <c r="BQ139" i="1"/>
  <c r="AI139" i="1" s="1"/>
  <c r="BP139" i="1"/>
  <c r="BO139" i="1"/>
  <c r="AL140" i="1"/>
  <c r="BU140" i="1"/>
  <c r="BT118" i="1"/>
  <c r="BR118" i="1"/>
  <c r="BS118" i="1"/>
  <c r="AK118" i="1" s="1"/>
  <c r="BQ118" i="1"/>
  <c r="AI118" i="1" s="1"/>
  <c r="BP118" i="1"/>
  <c r="BO118" i="1"/>
  <c r="BT116" i="1"/>
  <c r="AL116" i="1" s="1"/>
  <c r="BR116" i="1"/>
  <c r="AJ116" i="1" s="1"/>
  <c r="BS116" i="1"/>
  <c r="AK116" i="1" s="1"/>
  <c r="BQ116" i="1"/>
  <c r="BP116" i="1"/>
  <c r="BO116" i="1"/>
  <c r="BT114" i="1"/>
  <c r="AL114" i="1" s="1"/>
  <c r="BR114" i="1"/>
  <c r="AJ114" i="1" s="1"/>
  <c r="BS114" i="1"/>
  <c r="BQ114" i="1"/>
  <c r="BP114" i="1"/>
  <c r="BO114" i="1"/>
  <c r="BT110" i="1"/>
  <c r="AL110" i="1" s="1"/>
  <c r="BR110" i="1"/>
  <c r="AJ110" i="1" s="1"/>
  <c r="BS110" i="1"/>
  <c r="BQ110" i="1"/>
  <c r="AI110" i="1" s="1"/>
  <c r="BP110" i="1"/>
  <c r="BO110" i="1"/>
  <c r="BT108" i="1"/>
  <c r="AL108" i="1" s="1"/>
  <c r="BR108" i="1"/>
  <c r="AJ108" i="1" s="1"/>
  <c r="BS108" i="1"/>
  <c r="AK108" i="1" s="1"/>
  <c r="BQ108" i="1"/>
  <c r="BP108" i="1"/>
  <c r="BO108" i="1"/>
  <c r="BT106" i="1"/>
  <c r="AL106" i="1" s="1"/>
  <c r="BR106" i="1"/>
  <c r="AJ106" i="1" s="1"/>
  <c r="BS106" i="1"/>
  <c r="BQ106" i="1"/>
  <c r="BP106" i="1"/>
  <c r="BO106" i="1"/>
  <c r="BR90" i="1"/>
  <c r="BQ90" i="1"/>
  <c r="AI90" i="1" s="1"/>
  <c r="BO90" i="1"/>
  <c r="BU90" i="1" s="1"/>
  <c r="BR83" i="1"/>
  <c r="BQ83" i="1"/>
  <c r="AI83" i="1" s="1"/>
  <c r="BO83" i="1"/>
  <c r="BU83" i="1" s="1"/>
  <c r="BO65" i="1"/>
  <c r="BO34" i="1"/>
  <c r="BO36" i="1"/>
  <c r="BO56" i="1"/>
  <c r="BO59" i="1"/>
  <c r="BO60" i="1" s="1"/>
  <c r="BT65" i="1"/>
  <c r="BR65" i="1"/>
  <c r="BS65" i="1"/>
  <c r="BS66" i="1" s="1"/>
  <c r="AK66" i="1" s="1"/>
  <c r="BI66" i="1" s="1"/>
  <c r="BQ65" i="1"/>
  <c r="BQ66" i="1" s="1"/>
  <c r="AI66" i="1" s="1"/>
  <c r="BG66" i="1" s="1"/>
  <c r="BP65" i="1"/>
  <c r="BT58" i="1"/>
  <c r="BT59" i="1" s="1"/>
  <c r="BR58" i="1"/>
  <c r="BR59" i="1" s="1"/>
  <c r="BS58" i="1"/>
  <c r="BS59" i="1" s="1"/>
  <c r="BQ58" i="1"/>
  <c r="BP58" i="1"/>
  <c r="BP59" i="1" s="1"/>
  <c r="BP60" i="1" s="1"/>
  <c r="BP61" i="1" s="1"/>
  <c r="BP62" i="1" s="1"/>
  <c r="BP63" i="1" s="1"/>
  <c r="BT56" i="1"/>
  <c r="AL56" i="1" s="1"/>
  <c r="BR56" i="1"/>
  <c r="AJ56" i="1" s="1"/>
  <c r="BS56" i="1"/>
  <c r="AK56" i="1" s="1"/>
  <c r="BQ56" i="1"/>
  <c r="BP56" i="1"/>
  <c r="BT36" i="1"/>
  <c r="BR36" i="1"/>
  <c r="BS36" i="1"/>
  <c r="BQ36" i="1"/>
  <c r="BP36" i="1"/>
  <c r="BQ34" i="1"/>
  <c r="BS34" i="1"/>
  <c r="AK34" i="1" s="1"/>
  <c r="BR34" i="1"/>
  <c r="BT34" i="1"/>
  <c r="AL34" i="1" s="1"/>
  <c r="BP34" i="1"/>
  <c r="AG150" i="1"/>
  <c r="AI150" i="1"/>
  <c r="AJ150" i="1"/>
  <c r="AK150" i="1"/>
  <c r="AL150" i="1"/>
  <c r="AG151" i="1"/>
  <c r="AI151" i="1"/>
  <c r="AJ151" i="1"/>
  <c r="AK151" i="1"/>
  <c r="AL151" i="1"/>
  <c r="AG152" i="1"/>
  <c r="AI152" i="1"/>
  <c r="AJ152" i="1"/>
  <c r="AK152" i="1"/>
  <c r="AL152" i="1"/>
  <c r="AG153" i="1"/>
  <c r="AI153" i="1"/>
  <c r="AJ153" i="1"/>
  <c r="AK153" i="1"/>
  <c r="AL153" i="1"/>
  <c r="AG154" i="1"/>
  <c r="AI154" i="1"/>
  <c r="AJ154" i="1"/>
  <c r="AK154" i="1"/>
  <c r="AL154" i="1"/>
  <c r="AG155" i="1"/>
  <c r="AI155" i="1"/>
  <c r="AJ155" i="1"/>
  <c r="AK155" i="1"/>
  <c r="AL155" i="1"/>
  <c r="AI156" i="1"/>
  <c r="AJ156" i="1"/>
  <c r="AI157" i="1"/>
  <c r="AJ157" i="1"/>
  <c r="AI158" i="1"/>
  <c r="AJ158" i="1"/>
  <c r="AI159" i="1"/>
  <c r="AJ159" i="1"/>
  <c r="AI160" i="1"/>
  <c r="AJ160" i="1"/>
  <c r="AI161" i="1"/>
  <c r="AJ161" i="1"/>
  <c r="BW155" i="1"/>
  <c r="AH155" i="1" s="1"/>
  <c r="BU155" i="1"/>
  <c r="BW154" i="1"/>
  <c r="AH154" i="1" s="1"/>
  <c r="BU154" i="1"/>
  <c r="BW153" i="1"/>
  <c r="AH153" i="1" s="1"/>
  <c r="BU153" i="1"/>
  <c r="BW152" i="1"/>
  <c r="AH152" i="1" s="1"/>
  <c r="BU152" i="1"/>
  <c r="BW151" i="1"/>
  <c r="AH151" i="1" s="1"/>
  <c r="BU151" i="1"/>
  <c r="BW150" i="1"/>
  <c r="AH150" i="1" s="1"/>
  <c r="BU150" i="1"/>
  <c r="BP161" i="1"/>
  <c r="BU161" i="1" s="1"/>
  <c r="BP160" i="1"/>
  <c r="BU160" i="1" s="1"/>
  <c r="BP159" i="1"/>
  <c r="BU159" i="1" s="1"/>
  <c r="BP158" i="1"/>
  <c r="BU158" i="1" s="1"/>
  <c r="BP157" i="1"/>
  <c r="BU157" i="1" s="1"/>
  <c r="BP156" i="1"/>
  <c r="BU156" i="1" s="1"/>
  <c r="AL148" i="1"/>
  <c r="AK148" i="1"/>
  <c r="AJ148" i="1"/>
  <c r="AI148" i="1"/>
  <c r="AL146" i="1"/>
  <c r="AK146" i="1"/>
  <c r="AJ146" i="1"/>
  <c r="AI146" i="1"/>
  <c r="AL144" i="1"/>
  <c r="AK144" i="1"/>
  <c r="AJ144" i="1"/>
  <c r="AI144" i="1"/>
  <c r="AL142" i="1"/>
  <c r="AK142" i="1"/>
  <c r="AJ142" i="1"/>
  <c r="AI142" i="1"/>
  <c r="AK140" i="1"/>
  <c r="AJ140" i="1"/>
  <c r="AI140" i="1"/>
  <c r="AL138" i="1"/>
  <c r="AK138" i="1"/>
  <c r="AJ138" i="1"/>
  <c r="AI138" i="1"/>
  <c r="AL134" i="1"/>
  <c r="AK134" i="1"/>
  <c r="AJ134" i="1"/>
  <c r="AI134" i="1"/>
  <c r="AL132" i="1"/>
  <c r="AK132" i="1"/>
  <c r="AJ132" i="1"/>
  <c r="AI132" i="1"/>
  <c r="AL130" i="1"/>
  <c r="AK130" i="1"/>
  <c r="AJ130" i="1"/>
  <c r="AI130" i="1"/>
  <c r="AL128" i="1"/>
  <c r="AK128" i="1"/>
  <c r="AJ128" i="1"/>
  <c r="AI128" i="1"/>
  <c r="AL126" i="1"/>
  <c r="AK126" i="1"/>
  <c r="AJ126" i="1"/>
  <c r="AI126" i="1"/>
  <c r="AL125" i="1"/>
  <c r="AK125" i="1"/>
  <c r="AJ125" i="1"/>
  <c r="AI125" i="1"/>
  <c r="AH125" i="1"/>
  <c r="AG125" i="1"/>
  <c r="AL124" i="1"/>
  <c r="AK124" i="1"/>
  <c r="AJ124" i="1"/>
  <c r="AI124" i="1"/>
  <c r="AH124" i="1"/>
  <c r="AG124" i="1"/>
  <c r="AL123" i="1"/>
  <c r="AK123" i="1"/>
  <c r="AJ123" i="1"/>
  <c r="AI123" i="1"/>
  <c r="AG123" i="1"/>
  <c r="AL122" i="1"/>
  <c r="AK122" i="1"/>
  <c r="AJ122" i="1"/>
  <c r="AI122" i="1"/>
  <c r="AG122" i="1"/>
  <c r="AL121" i="1"/>
  <c r="AK121" i="1"/>
  <c r="AJ121" i="1"/>
  <c r="AI121" i="1"/>
  <c r="AG121" i="1"/>
  <c r="AL120" i="1"/>
  <c r="AK120" i="1"/>
  <c r="AJ120" i="1"/>
  <c r="AI120" i="1"/>
  <c r="AL119" i="1"/>
  <c r="AK119" i="1"/>
  <c r="AJ119" i="1"/>
  <c r="AI119" i="1"/>
  <c r="AL117" i="1"/>
  <c r="AK117" i="1"/>
  <c r="AJ117" i="1"/>
  <c r="AI117" i="1"/>
  <c r="AL115" i="1"/>
  <c r="AK115" i="1"/>
  <c r="AJ115" i="1"/>
  <c r="AI115" i="1"/>
  <c r="AL113" i="1"/>
  <c r="AK113" i="1"/>
  <c r="AJ113" i="1"/>
  <c r="AI113" i="1"/>
  <c r="AL112" i="1"/>
  <c r="AK112" i="1"/>
  <c r="AJ112" i="1"/>
  <c r="AI112" i="1"/>
  <c r="AL111" i="1"/>
  <c r="AK111" i="1"/>
  <c r="AJ111" i="1"/>
  <c r="AI111" i="1"/>
  <c r="AL109" i="1"/>
  <c r="AK109" i="1"/>
  <c r="AJ109" i="1"/>
  <c r="AI109" i="1"/>
  <c r="AL107" i="1"/>
  <c r="AK107" i="1"/>
  <c r="AJ107" i="1"/>
  <c r="AI107" i="1"/>
  <c r="AL105" i="1"/>
  <c r="AK105" i="1"/>
  <c r="AJ105" i="1"/>
  <c r="AI105" i="1"/>
  <c r="AL104" i="1"/>
  <c r="AK104" i="1"/>
  <c r="AJ104" i="1"/>
  <c r="AI104" i="1"/>
  <c r="AH104" i="1"/>
  <c r="AG104" i="1"/>
  <c r="AG96" i="1"/>
  <c r="AH96" i="1"/>
  <c r="AI96" i="1"/>
  <c r="AJ96" i="1"/>
  <c r="AK96" i="1"/>
  <c r="AL96" i="1"/>
  <c r="AG97" i="1"/>
  <c r="AI97" i="1"/>
  <c r="AJ97" i="1"/>
  <c r="AK97" i="1"/>
  <c r="AL97" i="1"/>
  <c r="AG98" i="1"/>
  <c r="AI98" i="1"/>
  <c r="AJ98" i="1"/>
  <c r="AK98" i="1"/>
  <c r="AL98" i="1"/>
  <c r="AG99" i="1"/>
  <c r="AH99" i="1"/>
  <c r="AI99" i="1"/>
  <c r="AJ99" i="1"/>
  <c r="AK99" i="1"/>
  <c r="AL99" i="1"/>
  <c r="AG100" i="1"/>
  <c r="AI100" i="1"/>
  <c r="AJ100" i="1"/>
  <c r="AK100" i="1"/>
  <c r="AL100" i="1"/>
  <c r="AG102" i="1"/>
  <c r="AI102" i="1"/>
  <c r="AJ102" i="1"/>
  <c r="AK102" i="1"/>
  <c r="AL102" i="1"/>
  <c r="AI103" i="1"/>
  <c r="AJ103" i="1"/>
  <c r="AK103" i="1"/>
  <c r="AL103" i="1"/>
  <c r="AG78" i="1"/>
  <c r="AI78" i="1"/>
  <c r="AJ78" i="1"/>
  <c r="AK78" i="1"/>
  <c r="AL78" i="1"/>
  <c r="AG79" i="1"/>
  <c r="AI79" i="1"/>
  <c r="AJ79" i="1"/>
  <c r="AK79" i="1"/>
  <c r="AL79" i="1"/>
  <c r="AG80" i="1"/>
  <c r="AH80" i="1"/>
  <c r="AI80" i="1"/>
  <c r="AJ80" i="1"/>
  <c r="AK80" i="1"/>
  <c r="AL80" i="1"/>
  <c r="AG81" i="1"/>
  <c r="AI81" i="1"/>
  <c r="AJ81" i="1"/>
  <c r="AK81" i="1"/>
  <c r="AL81" i="1"/>
  <c r="AI82" i="1"/>
  <c r="AJ82" i="1"/>
  <c r="AK82" i="1"/>
  <c r="AL82" i="1"/>
  <c r="AK83" i="1"/>
  <c r="AL83" i="1"/>
  <c r="AG84" i="1"/>
  <c r="AH84" i="1"/>
  <c r="AI84" i="1"/>
  <c r="AJ84" i="1"/>
  <c r="AK84" i="1"/>
  <c r="AL84" i="1"/>
  <c r="AG85" i="1"/>
  <c r="AH85" i="1"/>
  <c r="AI85" i="1"/>
  <c r="AJ85" i="1"/>
  <c r="AK85" i="1"/>
  <c r="AL85" i="1"/>
  <c r="AG88" i="1"/>
  <c r="AI88" i="1"/>
  <c r="AJ88" i="1"/>
  <c r="AK88" i="1"/>
  <c r="AL88" i="1"/>
  <c r="AI89" i="1"/>
  <c r="AJ89" i="1"/>
  <c r="AK89" i="1"/>
  <c r="AL89" i="1"/>
  <c r="AK90" i="1"/>
  <c r="AL90" i="1"/>
  <c r="AG91" i="1"/>
  <c r="AH91" i="1"/>
  <c r="AI91" i="1"/>
  <c r="AJ91" i="1"/>
  <c r="AK91" i="1"/>
  <c r="AL91" i="1"/>
  <c r="AG92" i="1"/>
  <c r="AH92" i="1"/>
  <c r="AI92" i="1"/>
  <c r="AJ92" i="1"/>
  <c r="AK92" i="1"/>
  <c r="AL92" i="1"/>
  <c r="AG93" i="1"/>
  <c r="AI93" i="1"/>
  <c r="AJ93" i="1"/>
  <c r="AK93" i="1"/>
  <c r="AL93" i="1"/>
  <c r="AG94" i="1"/>
  <c r="AI94" i="1"/>
  <c r="AK94" i="1"/>
  <c r="AL94" i="1"/>
  <c r="AG95" i="1"/>
  <c r="AI95" i="1"/>
  <c r="AK95" i="1"/>
  <c r="AL95" i="1"/>
  <c r="AI67" i="1"/>
  <c r="AJ67" i="1"/>
  <c r="AK67" i="1"/>
  <c r="AL67" i="1"/>
  <c r="AI68" i="1"/>
  <c r="AJ68" i="1"/>
  <c r="AK68" i="1"/>
  <c r="AL68" i="1"/>
  <c r="AG69" i="1"/>
  <c r="AH69" i="1"/>
  <c r="AI69" i="1"/>
  <c r="AJ69" i="1"/>
  <c r="AK69" i="1"/>
  <c r="AL69" i="1"/>
  <c r="AG72" i="1"/>
  <c r="AI72" i="1"/>
  <c r="AJ72" i="1"/>
  <c r="AK72" i="1"/>
  <c r="AL72" i="1"/>
  <c r="AG73" i="1"/>
  <c r="AI73" i="1"/>
  <c r="AJ73" i="1"/>
  <c r="AK73" i="1"/>
  <c r="AL73" i="1"/>
  <c r="AG74" i="1"/>
  <c r="AI74" i="1"/>
  <c r="AJ74" i="1"/>
  <c r="AK74" i="1"/>
  <c r="AL74" i="1"/>
  <c r="AG75" i="1"/>
  <c r="AI75" i="1"/>
  <c r="AJ75" i="1"/>
  <c r="AK75" i="1"/>
  <c r="AL75" i="1"/>
  <c r="AG76" i="1"/>
  <c r="BE76" i="1" s="1"/>
  <c r="AI76" i="1"/>
  <c r="BG76" i="1" s="1"/>
  <c r="AJ76" i="1"/>
  <c r="BH76" i="1" s="1"/>
  <c r="AK76" i="1"/>
  <c r="BI76" i="1" s="1"/>
  <c r="AL76" i="1"/>
  <c r="BJ76" i="1" s="1"/>
  <c r="AG77" i="1"/>
  <c r="AI77" i="1"/>
  <c r="AJ77" i="1"/>
  <c r="AK77" i="1"/>
  <c r="AL77" i="1"/>
  <c r="AI57" i="1"/>
  <c r="AJ57" i="1"/>
  <c r="AK57" i="1"/>
  <c r="AL57" i="1"/>
  <c r="AI64" i="1"/>
  <c r="AJ64" i="1"/>
  <c r="AK64" i="1"/>
  <c r="AL64" i="1"/>
  <c r="AI49" i="1"/>
  <c r="AJ49" i="1"/>
  <c r="AK49" i="1"/>
  <c r="AL49" i="1"/>
  <c r="AG50" i="1"/>
  <c r="AI50" i="1"/>
  <c r="AJ50" i="1"/>
  <c r="AK50" i="1"/>
  <c r="AL50" i="1"/>
  <c r="AG51" i="1"/>
  <c r="AI51" i="1"/>
  <c r="AJ51" i="1"/>
  <c r="AK51" i="1"/>
  <c r="AL51" i="1"/>
  <c r="AG52" i="1"/>
  <c r="AI52" i="1"/>
  <c r="AJ52" i="1"/>
  <c r="AK52" i="1"/>
  <c r="AL52" i="1"/>
  <c r="AG53" i="1"/>
  <c r="AI53" i="1"/>
  <c r="AJ53" i="1"/>
  <c r="AK53" i="1"/>
  <c r="AL53" i="1"/>
  <c r="AG54" i="1"/>
  <c r="AI54" i="1"/>
  <c r="AJ54" i="1"/>
  <c r="AK54" i="1"/>
  <c r="AL54" i="1"/>
  <c r="AI55" i="1"/>
  <c r="AJ55" i="1"/>
  <c r="AK55" i="1"/>
  <c r="AL55" i="1"/>
  <c r="AI35" i="1"/>
  <c r="AJ35" i="1"/>
  <c r="AK35" i="1"/>
  <c r="AL35" i="1"/>
  <c r="AI38" i="1"/>
  <c r="AJ38" i="1"/>
  <c r="AK38" i="1"/>
  <c r="AL38" i="1"/>
  <c r="AI39" i="1"/>
  <c r="AJ39" i="1"/>
  <c r="AK39" i="1"/>
  <c r="AL39" i="1"/>
  <c r="AK33" i="1"/>
  <c r="AJ33" i="1"/>
  <c r="BN49" i="1"/>
  <c r="BN69" i="1"/>
  <c r="BN84" i="1"/>
  <c r="BN85" i="1"/>
  <c r="BN91" i="1"/>
  <c r="BN92" i="1"/>
  <c r="BM81" i="1"/>
  <c r="BM82" i="1"/>
  <c r="BM83" i="1"/>
  <c r="BM84" i="1"/>
  <c r="BM85" i="1"/>
  <c r="BM88" i="1"/>
  <c r="BM89" i="1"/>
  <c r="BM90" i="1"/>
  <c r="BM91" i="1"/>
  <c r="BM92" i="1"/>
  <c r="BM93" i="1"/>
  <c r="BM94" i="1"/>
  <c r="BM98" i="1"/>
  <c r="BM114" i="1"/>
  <c r="BN114" i="1"/>
  <c r="BM115" i="1"/>
  <c r="BN115" i="1"/>
  <c r="BM116" i="1"/>
  <c r="BN116" i="1"/>
  <c r="BM117" i="1"/>
  <c r="BN117" i="1"/>
  <c r="BM118" i="1"/>
  <c r="BN118" i="1"/>
  <c r="BM119" i="1"/>
  <c r="BN119" i="1"/>
  <c r="BM120" i="1"/>
  <c r="BN120" i="1"/>
  <c r="BM121" i="1"/>
  <c r="BM122" i="1"/>
  <c r="BM123" i="1"/>
  <c r="BM124" i="1"/>
  <c r="BM145" i="1"/>
  <c r="BN145" i="1"/>
  <c r="BM146" i="1"/>
  <c r="BN146" i="1"/>
  <c r="BM147" i="1"/>
  <c r="BN147" i="1"/>
  <c r="BM148" i="1"/>
  <c r="BN148" i="1"/>
  <c r="BM149" i="1"/>
  <c r="BN149" i="1"/>
  <c r="BW123" i="1"/>
  <c r="AH123" i="1" s="1"/>
  <c r="BU123" i="1"/>
  <c r="BW122" i="1"/>
  <c r="AH122" i="1" s="1"/>
  <c r="BU122" i="1"/>
  <c r="BW121" i="1"/>
  <c r="AH121" i="1" s="1"/>
  <c r="BU121" i="1"/>
  <c r="BW100" i="1"/>
  <c r="AH100" i="1" s="1"/>
  <c r="BU100" i="1"/>
  <c r="BW102" i="1"/>
  <c r="AH102" i="1" s="1"/>
  <c r="BU102" i="1"/>
  <c r="BW82" i="1"/>
  <c r="AH82" i="1" s="1"/>
  <c r="BV82" i="1"/>
  <c r="AG82" i="1" s="1"/>
  <c r="BU82" i="1"/>
  <c r="BU88" i="1"/>
  <c r="BW88" i="1"/>
  <c r="AH88" i="1" s="1"/>
  <c r="BW81" i="1"/>
  <c r="AH81" i="1" s="1"/>
  <c r="BU81" i="1"/>
  <c r="BW79" i="1"/>
  <c r="AH79" i="1" s="1"/>
  <c r="BU79" i="1"/>
  <c r="BW78" i="1"/>
  <c r="AH78" i="1" s="1"/>
  <c r="BU78" i="1"/>
  <c r="BW77" i="1"/>
  <c r="AH77" i="1" s="1"/>
  <c r="BU77" i="1"/>
  <c r="BW76" i="1"/>
  <c r="AH76" i="1" s="1"/>
  <c r="BF76" i="1" s="1"/>
  <c r="BU76" i="1"/>
  <c r="BW75" i="1"/>
  <c r="AH75" i="1" s="1"/>
  <c r="BU75" i="1"/>
  <c r="BW74" i="1"/>
  <c r="AH74" i="1" s="1"/>
  <c r="BU74" i="1"/>
  <c r="BW73" i="1"/>
  <c r="AH73" i="1" s="1"/>
  <c r="BU73" i="1"/>
  <c r="BW72" i="1"/>
  <c r="AH72" i="1" s="1"/>
  <c r="BU72" i="1"/>
  <c r="BW54" i="1"/>
  <c r="AH54" i="1" s="1"/>
  <c r="BU54" i="1"/>
  <c r="BW53" i="1"/>
  <c r="AH53" i="1" s="1"/>
  <c r="BU53" i="1"/>
  <c r="BU70" i="1"/>
  <c r="BU71" i="1"/>
  <c r="BW31" i="1"/>
  <c r="BU31" i="1"/>
  <c r="BW30" i="1"/>
  <c r="BU30" i="1"/>
  <c r="BW28" i="1"/>
  <c r="BU28" i="1"/>
  <c r="BW52" i="1"/>
  <c r="AH52" i="1" s="1"/>
  <c r="BU52" i="1"/>
  <c r="BW51" i="1"/>
  <c r="AH51" i="1" s="1"/>
  <c r="BU51" i="1"/>
  <c r="BW50" i="1"/>
  <c r="AH50" i="1" s="1"/>
  <c r="BU50" i="1"/>
  <c r="BU48" i="1"/>
  <c r="BU47" i="1"/>
  <c r="BU46" i="1"/>
  <c r="BW17" i="1"/>
  <c r="BW18" i="1"/>
  <c r="BW19" i="1"/>
  <c r="BW20" i="1"/>
  <c r="BW21" i="1"/>
  <c r="BW22" i="1"/>
  <c r="BW25" i="1"/>
  <c r="BU18" i="1"/>
  <c r="BU19" i="1"/>
  <c r="BU20" i="1"/>
  <c r="BU21" i="1"/>
  <c r="BU22" i="1"/>
  <c r="BU25" i="1"/>
  <c r="BU33" i="1"/>
  <c r="BU35" i="1"/>
  <c r="BU38" i="1"/>
  <c r="BU39" i="1"/>
  <c r="BU41" i="1"/>
  <c r="BU42" i="1"/>
  <c r="BU49" i="1"/>
  <c r="BU55" i="1"/>
  <c r="BU64" i="1"/>
  <c r="BU67" i="1"/>
  <c r="BU68" i="1"/>
  <c r="BU89" i="1"/>
  <c r="BU93" i="1"/>
  <c r="BW93" i="1"/>
  <c r="AH93" i="1" s="1"/>
  <c r="BU94" i="1"/>
  <c r="AH94" i="1"/>
  <c r="BU95" i="1"/>
  <c r="BW95" i="1"/>
  <c r="AH95" i="1" s="1"/>
  <c r="BU97" i="1"/>
  <c r="BW97" i="1"/>
  <c r="AH97" i="1" s="1"/>
  <c r="BU98" i="1"/>
  <c r="BW98" i="1"/>
  <c r="AH98" i="1" s="1"/>
  <c r="BU103" i="1"/>
  <c r="AG103" i="1"/>
  <c r="AH103" i="1"/>
  <c r="BU105" i="1"/>
  <c r="BU107" i="1"/>
  <c r="BU109" i="1"/>
  <c r="BU113" i="1"/>
  <c r="BU115" i="1"/>
  <c r="BU117" i="1"/>
  <c r="BU126" i="1"/>
  <c r="BU128" i="1"/>
  <c r="BU130" i="1"/>
  <c r="BU132" i="1"/>
  <c r="BU134" i="1"/>
  <c r="BU138" i="1"/>
  <c r="BU142" i="1"/>
  <c r="BU144" i="1"/>
  <c r="BU146" i="1"/>
  <c r="BU148" i="1"/>
  <c r="BU191" i="1"/>
  <c r="BW191" i="1"/>
  <c r="BU198" i="1"/>
  <c r="BW198" i="1"/>
  <c r="BN64" i="1"/>
  <c r="BN65" i="1"/>
  <c r="BN67" i="1"/>
  <c r="BN68" i="1"/>
  <c r="BM57" i="1"/>
  <c r="BN57" i="1"/>
  <c r="BM58" i="1"/>
  <c r="BN58" i="1"/>
  <c r="AL33" i="1"/>
  <c r="AI33" i="1"/>
  <c r="BN144" i="1"/>
  <c r="BM144" i="1"/>
  <c r="BN143" i="1"/>
  <c r="BM143" i="1"/>
  <c r="BN142" i="1"/>
  <c r="BM142" i="1"/>
  <c r="BN141" i="1"/>
  <c r="BM141" i="1"/>
  <c r="BN140" i="1"/>
  <c r="BM140" i="1"/>
  <c r="BN139" i="1"/>
  <c r="BM139" i="1"/>
  <c r="BN138" i="1"/>
  <c r="BM138" i="1"/>
  <c r="BN137" i="1"/>
  <c r="BM137" i="1"/>
  <c r="BN135" i="1"/>
  <c r="BM135" i="1"/>
  <c r="BN134" i="1"/>
  <c r="BM134" i="1"/>
  <c r="BN133" i="1"/>
  <c r="BM133" i="1"/>
  <c r="BN132" i="1"/>
  <c r="BM132" i="1"/>
  <c r="BN131" i="1"/>
  <c r="BM131" i="1"/>
  <c r="BN130" i="1"/>
  <c r="BM130" i="1"/>
  <c r="BN129" i="1"/>
  <c r="BM129" i="1"/>
  <c r="BN128" i="1"/>
  <c r="BM128" i="1"/>
  <c r="BN127" i="1"/>
  <c r="BM127" i="1"/>
  <c r="BN126" i="1"/>
  <c r="BM126" i="1"/>
  <c r="BN113" i="1"/>
  <c r="BM113" i="1"/>
  <c r="BN112" i="1"/>
  <c r="BM112" i="1"/>
  <c r="BN111" i="1"/>
  <c r="BM111" i="1"/>
  <c r="BN110" i="1"/>
  <c r="BM110" i="1"/>
  <c r="BN109" i="1"/>
  <c r="BM109" i="1"/>
  <c r="BN108" i="1"/>
  <c r="BM108" i="1"/>
  <c r="BN105" i="1"/>
  <c r="BM105" i="1"/>
  <c r="BN103" i="1"/>
  <c r="BM103" i="1"/>
  <c r="BN102" i="1"/>
  <c r="BM102" i="1"/>
  <c r="BM100" i="1"/>
  <c r="BM97" i="1"/>
  <c r="BM95" i="1"/>
  <c r="BM79" i="1"/>
  <c r="BM78" i="1"/>
  <c r="BM77" i="1"/>
  <c r="BM76" i="1"/>
  <c r="BM74" i="1"/>
  <c r="BM73" i="1"/>
  <c r="BM72" i="1"/>
  <c r="BM71" i="1"/>
  <c r="BM70" i="1"/>
  <c r="BM69" i="1"/>
  <c r="BM68" i="1"/>
  <c r="BM67" i="1"/>
  <c r="BM65" i="1"/>
  <c r="BM64" i="1"/>
  <c r="BN63" i="1"/>
  <c r="BM63" i="1"/>
  <c r="BN62" i="1"/>
  <c r="BM62" i="1"/>
  <c r="BN61" i="1"/>
  <c r="BM61" i="1"/>
  <c r="BN60" i="1"/>
  <c r="BM60" i="1"/>
  <c r="BN59" i="1"/>
  <c r="BM59" i="1"/>
  <c r="BN56" i="1"/>
  <c r="BM56" i="1"/>
  <c r="BN55" i="1"/>
  <c r="BM55" i="1"/>
  <c r="BM54" i="1"/>
  <c r="BM53" i="1"/>
  <c r="BM52" i="1"/>
  <c r="BM51" i="1"/>
  <c r="BM50" i="1"/>
  <c r="BM49" i="1"/>
  <c r="BM48" i="1"/>
  <c r="BM47" i="1"/>
  <c r="BM46" i="1"/>
  <c r="BN45" i="1"/>
  <c r="BM45" i="1"/>
  <c r="BN42" i="1"/>
  <c r="BM42" i="1"/>
  <c r="BN41" i="1"/>
  <c r="BM41" i="1"/>
  <c r="BN39" i="1"/>
  <c r="BM39" i="1"/>
  <c r="BN38" i="1"/>
  <c r="BM38" i="1"/>
  <c r="BN36" i="1"/>
  <c r="BM36" i="1"/>
  <c r="BN35" i="1"/>
  <c r="BM35" i="1"/>
  <c r="BN34" i="1"/>
  <c r="BM34" i="1"/>
  <c r="BN33" i="1"/>
  <c r="BM33" i="1"/>
  <c r="BM31" i="1"/>
  <c r="BM30" i="1"/>
  <c r="BM28" i="1"/>
  <c r="BM25" i="1"/>
  <c r="BM22" i="1"/>
  <c r="BM21" i="1"/>
  <c r="BM20" i="1"/>
  <c r="BM19" i="1"/>
  <c r="BM18" i="1"/>
  <c r="BU17" i="1"/>
  <c r="BM17" i="1"/>
  <c r="AG66" i="1" l="1"/>
  <c r="BE66" i="1" s="1"/>
  <c r="AH66" i="1"/>
  <c r="BF66" i="1" s="1"/>
  <c r="BU36" i="1"/>
  <c r="AL65" i="1"/>
  <c r="AK65" i="1"/>
  <c r="AI65" i="1"/>
  <c r="AK36" i="1"/>
  <c r="AI36" i="1"/>
  <c r="BV160" i="1"/>
  <c r="AG160" i="1" s="1"/>
  <c r="AK158" i="1"/>
  <c r="BW158" i="1"/>
  <c r="AH158" i="1" s="1"/>
  <c r="AK161" i="1"/>
  <c r="BU143" i="1"/>
  <c r="BU127" i="1"/>
  <c r="BU135" i="1"/>
  <c r="BV127" i="1"/>
  <c r="AG127" i="1" s="1"/>
  <c r="BW106" i="1"/>
  <c r="AH106" i="1" s="1"/>
  <c r="BV159" i="1"/>
  <c r="AG159" i="1" s="1"/>
  <c r="BW118" i="1"/>
  <c r="AH118" i="1" s="1"/>
  <c r="BU137" i="1"/>
  <c r="BV141" i="1"/>
  <c r="AG141" i="1" s="1"/>
  <c r="BU118" i="1"/>
  <c r="BU141" i="1"/>
  <c r="BU149" i="1"/>
  <c r="BU133" i="1"/>
  <c r="BU65" i="1"/>
  <c r="AL58" i="1"/>
  <c r="BJ58" i="1" s="1"/>
  <c r="BW56" i="1"/>
  <c r="AH56" i="1" s="1"/>
  <c r="AL161" i="1"/>
  <c r="BW110" i="1"/>
  <c r="AH110" i="1" s="1"/>
  <c r="BV106" i="1"/>
  <c r="AG106" i="1" s="1"/>
  <c r="BU114" i="1"/>
  <c r="BW116" i="1"/>
  <c r="AH116" i="1" s="1"/>
  <c r="BU58" i="1"/>
  <c r="BW65" i="1"/>
  <c r="AH65" i="1" s="1"/>
  <c r="BU34" i="1"/>
  <c r="BV36" i="1"/>
  <c r="AG36" i="1" s="1"/>
  <c r="BV56" i="1"/>
  <c r="AG56" i="1" s="1"/>
  <c r="BW34" i="1"/>
  <c r="AH34" i="1" s="1"/>
  <c r="AI106" i="1"/>
  <c r="AK106" i="1"/>
  <c r="BV108" i="1"/>
  <c r="AG108" i="1" s="1"/>
  <c r="BV147" i="1"/>
  <c r="AG147" i="1" s="1"/>
  <c r="BV145" i="1"/>
  <c r="AG145" i="1" s="1"/>
  <c r="AJ145" i="1"/>
  <c r="BU139" i="1"/>
  <c r="BV143" i="1"/>
  <c r="AG143" i="1" s="1"/>
  <c r="BU147" i="1"/>
  <c r="BU131" i="1"/>
  <c r="BW137" i="1"/>
  <c r="AH137" i="1" s="1"/>
  <c r="BV139" i="1"/>
  <c r="AG139" i="1" s="1"/>
  <c r="AJ147" i="1"/>
  <c r="BU145" i="1"/>
  <c r="BV149" i="1"/>
  <c r="AG149" i="1" s="1"/>
  <c r="BU129" i="1"/>
  <c r="BV118" i="1"/>
  <c r="AG118" i="1" s="1"/>
  <c r="AJ118" i="1"/>
  <c r="BW108" i="1"/>
  <c r="AH108" i="1" s="1"/>
  <c r="BV116" i="1"/>
  <c r="AG116" i="1" s="1"/>
  <c r="AK110" i="1"/>
  <c r="BV110" i="1"/>
  <c r="AG110" i="1" s="1"/>
  <c r="BU108" i="1"/>
  <c r="BW90" i="1"/>
  <c r="AH90" i="1" s="1"/>
  <c r="BW36" i="1"/>
  <c r="AH36" i="1" s="1"/>
  <c r="AJ34" i="1"/>
  <c r="AJ58" i="1"/>
  <c r="BH58" i="1" s="1"/>
  <c r="BV65" i="1"/>
  <c r="AG65" i="1" s="1"/>
  <c r="AK58" i="1"/>
  <c r="BI58" i="1" s="1"/>
  <c r="BV34" i="1"/>
  <c r="AG34" i="1" s="1"/>
  <c r="BV58" i="1"/>
  <c r="AG58" i="1" s="1"/>
  <c r="BE58" i="1" s="1"/>
  <c r="AL36" i="1"/>
  <c r="AJ65" i="1"/>
  <c r="AL118" i="1"/>
  <c r="AJ143" i="1"/>
  <c r="AK156" i="1"/>
  <c r="BW83" i="1"/>
  <c r="AH83" i="1" s="1"/>
  <c r="AJ83" i="1"/>
  <c r="BW133" i="1"/>
  <c r="AH133" i="1" s="1"/>
  <c r="AJ133" i="1"/>
  <c r="BW147" i="1"/>
  <c r="AH147" i="1" s="1"/>
  <c r="BW127" i="1"/>
  <c r="AH127" i="1" s="1"/>
  <c r="BW129" i="1"/>
  <c r="AH129" i="1" s="1"/>
  <c r="BW135" i="1"/>
  <c r="AH135" i="1" s="1"/>
  <c r="AJ36" i="1"/>
  <c r="AI147" i="1"/>
  <c r="AI149" i="1"/>
  <c r="AK157" i="1"/>
  <c r="BV59" i="1"/>
  <c r="CD59" i="1" s="1"/>
  <c r="BW141" i="1"/>
  <c r="AH141" i="1" s="1"/>
  <c r="BW149" i="1"/>
  <c r="AH149" i="1" s="1"/>
  <c r="BV133" i="1"/>
  <c r="AG133" i="1" s="1"/>
  <c r="BV137" i="1"/>
  <c r="AG137" i="1" s="1"/>
  <c r="BV114" i="1"/>
  <c r="AG114" i="1" s="1"/>
  <c r="BQ59" i="1"/>
  <c r="BW59" i="1" s="1"/>
  <c r="CE59" i="1" s="1"/>
  <c r="AI58" i="1"/>
  <c r="BG58" i="1" s="1"/>
  <c r="BS60" i="1"/>
  <c r="BS61" i="1" s="1"/>
  <c r="AK59" i="1"/>
  <c r="BI59" i="1" s="1"/>
  <c r="BV90" i="1"/>
  <c r="AG90" i="1" s="1"/>
  <c r="AJ90" i="1"/>
  <c r="BV129" i="1"/>
  <c r="AG129" i="1" s="1"/>
  <c r="BW131" i="1"/>
  <c r="AH131" i="1" s="1"/>
  <c r="BW114" i="1"/>
  <c r="AH114" i="1" s="1"/>
  <c r="BW58" i="1"/>
  <c r="CE58" i="1" s="1"/>
  <c r="BU116" i="1"/>
  <c r="BW139" i="1"/>
  <c r="AH139" i="1" s="1"/>
  <c r="BW143" i="1"/>
  <c r="AH143" i="1" s="1"/>
  <c r="BV131" i="1"/>
  <c r="AG131" i="1" s="1"/>
  <c r="BV135" i="1"/>
  <c r="AG135" i="1" s="1"/>
  <c r="BW157" i="1"/>
  <c r="AH157" i="1" s="1"/>
  <c r="BW145" i="1"/>
  <c r="AH145" i="1" s="1"/>
  <c r="AJ59" i="1"/>
  <c r="BH59" i="1" s="1"/>
  <c r="BR60" i="1"/>
  <c r="BT60" i="1"/>
  <c r="AL59" i="1"/>
  <c r="BJ59" i="1" s="1"/>
  <c r="BU106" i="1"/>
  <c r="BU110" i="1"/>
  <c r="BU56" i="1"/>
  <c r="AK149" i="1"/>
  <c r="AJ139" i="1"/>
  <c r="AK131" i="1"/>
  <c r="AI116" i="1"/>
  <c r="AK114" i="1"/>
  <c r="AI114" i="1"/>
  <c r="AI108" i="1"/>
  <c r="BV83" i="1"/>
  <c r="AG83" i="1" s="1"/>
  <c r="BU60" i="1"/>
  <c r="BO61" i="1"/>
  <c r="BO62" i="1" s="1"/>
  <c r="BU59" i="1"/>
  <c r="AI56" i="1"/>
  <c r="AI34" i="1"/>
  <c r="AL160" i="1"/>
  <c r="BW159" i="1"/>
  <c r="AH159" i="1" s="1"/>
  <c r="BW156" i="1"/>
  <c r="AH156" i="1" s="1"/>
  <c r="CD58" i="1" l="1"/>
  <c r="AK60" i="1"/>
  <c r="BI60" i="1" s="1"/>
  <c r="AH59" i="1"/>
  <c r="BF59" i="1" s="1"/>
  <c r="BQ60" i="1"/>
  <c r="BW60" i="1" s="1"/>
  <c r="CE60" i="1" s="1"/>
  <c r="AG59" i="1"/>
  <c r="BE59" i="1" s="1"/>
  <c r="AI59" i="1"/>
  <c r="BG59" i="1" s="1"/>
  <c r="AH58" i="1"/>
  <c r="BF58" i="1" s="1"/>
  <c r="BV60" i="1"/>
  <c r="CD60" i="1" s="1"/>
  <c r="BR61" i="1"/>
  <c r="BV61" i="1" s="1"/>
  <c r="CD61" i="1" s="1"/>
  <c r="BU61" i="1"/>
  <c r="BS62" i="1"/>
  <c r="AK61" i="1"/>
  <c r="BI61" i="1" s="1"/>
  <c r="AJ60" i="1"/>
  <c r="BH60" i="1" s="1"/>
  <c r="BT61" i="1"/>
  <c r="AL60" i="1"/>
  <c r="BJ60" i="1" s="1"/>
  <c r="BU62" i="1"/>
  <c r="BO63" i="1"/>
  <c r="BU63" i="1" s="1"/>
  <c r="BQ61" i="1" l="1"/>
  <c r="BW61" i="1" s="1"/>
  <c r="CE61" i="1" s="1"/>
  <c r="AI60" i="1"/>
  <c r="BG60" i="1" s="1"/>
  <c r="AH60" i="1"/>
  <c r="BF60" i="1" s="1"/>
  <c r="AG60" i="1"/>
  <c r="BE60" i="1" s="1"/>
  <c r="BR62" i="1"/>
  <c r="BV62" i="1" s="1"/>
  <c r="CD62" i="1" s="1"/>
  <c r="AJ61" i="1"/>
  <c r="BH61" i="1" s="1"/>
  <c r="BS63" i="1"/>
  <c r="AK63" i="1" s="1"/>
  <c r="BI63" i="1" s="1"/>
  <c r="AK62" i="1"/>
  <c r="BI62" i="1" s="1"/>
  <c r="AG61" i="1"/>
  <c r="BE61" i="1" s="1"/>
  <c r="AL61" i="1"/>
  <c r="BJ61" i="1" s="1"/>
  <c r="BT62" i="1"/>
  <c r="AI61" i="1" l="1"/>
  <c r="BG61" i="1" s="1"/>
  <c r="BQ62" i="1"/>
  <c r="BW62" i="1" s="1"/>
  <c r="AH61" i="1"/>
  <c r="BF61" i="1" s="1"/>
  <c r="AG62" i="1"/>
  <c r="BE62" i="1" s="1"/>
  <c r="AL62" i="1"/>
  <c r="BJ62" i="1" s="1"/>
  <c r="BT63" i="1"/>
  <c r="AL63" i="1" s="1"/>
  <c r="BJ63" i="1" s="1"/>
  <c r="BR63" i="1"/>
  <c r="BV63" i="1" s="1"/>
  <c r="CD63" i="1" s="1"/>
  <c r="AJ62" i="1"/>
  <c r="BH62" i="1" s="1"/>
  <c r="CE62" i="1" l="1"/>
  <c r="AH62" i="1"/>
  <c r="BF62" i="1" s="1"/>
  <c r="AI62" i="1"/>
  <c r="BG62" i="1" s="1"/>
  <c r="BQ63" i="1"/>
  <c r="BW63" i="1" s="1"/>
  <c r="CE63" i="1" s="1"/>
  <c r="AJ63" i="1"/>
  <c r="BH63" i="1" s="1"/>
  <c r="AG63" i="1"/>
  <c r="BE63" i="1" s="1"/>
  <c r="AI63" i="1" l="1"/>
  <c r="BG63" i="1" s="1"/>
  <c r="AH63" i="1"/>
  <c r="BF63" i="1" s="1"/>
  <c r="AF31" i="1"/>
  <c r="AH31" i="1" s="1"/>
  <c r="AF30" i="1"/>
  <c r="AH30" i="1" s="1"/>
  <c r="AO30" i="1"/>
  <c r="N30" i="1"/>
  <c r="N29"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30" i="1" l="1"/>
  <c r="BJ30" i="1"/>
  <c r="BF30" i="1"/>
  <c r="BI30" i="1"/>
  <c r="BE30" i="1"/>
  <c r="BG30" i="1"/>
  <c r="AV30" i="1"/>
  <c r="AW30" i="1" s="1"/>
  <c r="AZ30" i="1"/>
  <c r="AS30" i="1"/>
  <c r="BA30" i="1"/>
  <c r="AY30" i="1"/>
  <c r="BC30" i="1"/>
  <c r="AT30" i="1"/>
  <c r="AX30" i="1"/>
  <c r="BB30" i="1"/>
  <c r="AS29" i="1"/>
  <c r="BA29" i="1"/>
  <c r="AT29" i="1"/>
  <c r="AU29" i="1" s="1"/>
  <c r="AX29" i="1"/>
  <c r="BB29" i="1"/>
  <c r="AY29" i="1"/>
  <c r="BC29" i="1"/>
  <c r="AV29" i="1"/>
  <c r="AW29" i="1" s="1"/>
  <c r="AZ29" i="1"/>
  <c r="AO31" i="1"/>
  <c r="N31" i="1"/>
  <c r="BI31" i="1" l="1"/>
  <c r="BG31" i="1"/>
  <c r="BE31" i="1"/>
  <c r="BJ31" i="1"/>
  <c r="BH31" i="1"/>
  <c r="BF31" i="1"/>
  <c r="AU30" i="1"/>
  <c r="AQ30" i="1" s="1"/>
  <c r="AQ29" i="1"/>
  <c r="AS31" i="1"/>
  <c r="BA31" i="1"/>
  <c r="AT31" i="1"/>
  <c r="AU31" i="1" s="1"/>
  <c r="AX31" i="1"/>
  <c r="BB31" i="1"/>
  <c r="AY31" i="1"/>
  <c r="BC31" i="1"/>
  <c r="AV31" i="1"/>
  <c r="AW31" i="1" s="1"/>
  <c r="AZ31" i="1"/>
  <c r="BC63" i="1"/>
  <c r="BB63" i="1"/>
  <c r="BA63" i="1"/>
  <c r="AZ63" i="1"/>
  <c r="AY63" i="1"/>
  <c r="AX63" i="1"/>
  <c r="AT63" i="1"/>
  <c r="AU63" i="1" s="1"/>
  <c r="AS63" i="1"/>
  <c r="BC62" i="1"/>
  <c r="BB62" i="1"/>
  <c r="BA62" i="1"/>
  <c r="AZ62" i="1"/>
  <c r="AY62" i="1"/>
  <c r="AX62" i="1"/>
  <c r="AT62" i="1"/>
  <c r="AU62" i="1" s="1"/>
  <c r="AS62"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9" i="1"/>
  <c r="AV59" i="1" s="1"/>
  <c r="AW59" i="1" s="1"/>
  <c r="N60" i="1"/>
  <c r="AV60" i="1" s="1"/>
  <c r="AW60" i="1" s="1"/>
  <c r="N61" i="1"/>
  <c r="AV61" i="1" s="1"/>
  <c r="AW61" i="1" s="1"/>
  <c r="N62" i="1"/>
  <c r="AV62" i="1" s="1"/>
  <c r="AW62" i="1" s="1"/>
  <c r="N63" i="1"/>
  <c r="AV63" i="1" s="1"/>
  <c r="AW63" i="1" s="1"/>
  <c r="AQ59" i="1" l="1"/>
  <c r="H26" i="12"/>
  <c r="AQ31" i="1"/>
  <c r="K24" i="12"/>
  <c r="AQ63" i="1"/>
  <c r="AQ60" i="1"/>
  <c r="AQ61" i="1"/>
  <c r="AQ62"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3" i="1"/>
  <c r="N103" i="1"/>
  <c r="AO102" i="1"/>
  <c r="N102" i="1"/>
  <c r="BG102" i="1" l="1"/>
  <c r="BJ102" i="1"/>
  <c r="BE102" i="1"/>
  <c r="BF102" i="1"/>
  <c r="BI102" i="1"/>
  <c r="BH102" i="1"/>
  <c r="BE103" i="1"/>
  <c r="BG103" i="1"/>
  <c r="BJ103" i="1"/>
  <c r="BH103" i="1"/>
  <c r="BI103" i="1"/>
  <c r="BF103" i="1"/>
  <c r="AV102" i="1"/>
  <c r="AW102" i="1" s="1"/>
  <c r="AV103" i="1"/>
  <c r="AW103" i="1" s="1"/>
  <c r="AZ103" i="1"/>
  <c r="BC103" i="1"/>
  <c r="AY103" i="1"/>
  <c r="AZ102" i="1"/>
  <c r="AY102" i="1"/>
  <c r="BC102" i="1"/>
  <c r="AS103" i="1"/>
  <c r="BA103" i="1"/>
  <c r="AT103" i="1"/>
  <c r="AX103" i="1"/>
  <c r="BB103" i="1"/>
  <c r="AS102" i="1"/>
  <c r="BA102" i="1"/>
  <c r="AR102" i="1"/>
  <c r="AT102" i="1"/>
  <c r="AX102" i="1"/>
  <c r="BB102" i="1"/>
  <c r="AA3" i="11"/>
  <c r="AA5" i="11"/>
  <c r="AA6" i="11"/>
  <c r="Y7" i="11"/>
  <c r="Y8" i="11" s="1"/>
  <c r="Y9" i="11" s="1"/>
  <c r="AA9" i="11" s="1"/>
  <c r="AB1" i="11"/>
  <c r="B13" i="11"/>
  <c r="A4" i="11"/>
  <c r="AU103" i="1" l="1"/>
  <c r="AQ103" i="1" s="1"/>
  <c r="AU102" i="1"/>
  <c r="AQ102" i="1" s="1"/>
  <c r="AP102"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7" i="1"/>
  <c r="BD196" i="1"/>
  <c r="BD195" i="1"/>
  <c r="BD194" i="1"/>
  <c r="BD193" i="1"/>
  <c r="BD192" i="1"/>
  <c r="BD191" i="1"/>
  <c r="BD190" i="1"/>
  <c r="BD189" i="1"/>
  <c r="BD188" i="1"/>
  <c r="BD187" i="1"/>
  <c r="BD162" i="1"/>
  <c r="BD125" i="1"/>
  <c r="BD124" i="1"/>
  <c r="BD120" i="1"/>
  <c r="BD119" i="1"/>
  <c r="BD112" i="1"/>
  <c r="BD111" i="1"/>
  <c r="BD104" i="1"/>
  <c r="BD99" i="1"/>
  <c r="BD96" i="1"/>
  <c r="BD92" i="1"/>
  <c r="BD91" i="1"/>
  <c r="BD85" i="1"/>
  <c r="BD84" i="1"/>
  <c r="BD80" i="1"/>
  <c r="BD75" i="1"/>
  <c r="BD69" i="1"/>
  <c r="BD52" i="1"/>
  <c r="BD51" i="1"/>
  <c r="BD50" i="1"/>
  <c r="BD48" i="1"/>
  <c r="BD47" i="1"/>
  <c r="BD46" i="1"/>
  <c r="BD45" i="1"/>
  <c r="BD42" i="1"/>
  <c r="BD41" i="1"/>
  <c r="BD40" i="1"/>
  <c r="BD32" i="1"/>
  <c r="BD27" i="1"/>
  <c r="BD14" i="1"/>
  <c r="AU125" i="1"/>
  <c r="AU27" i="1"/>
  <c r="BD236" i="1" l="1"/>
  <c r="BD37" i="1"/>
  <c r="AR37" i="1" s="1"/>
  <c r="AP37" i="1" s="1"/>
  <c r="BD136" i="1"/>
  <c r="BD66" i="1"/>
  <c r="AR66" i="1" s="1"/>
  <c r="AP66" i="1" s="1"/>
  <c r="BD202" i="1"/>
  <c r="AR202" i="1" s="1"/>
  <c r="AP202" i="1" s="1"/>
  <c r="BD201" i="1"/>
  <c r="AR201" i="1" s="1"/>
  <c r="AP201" i="1" s="1"/>
  <c r="BD204" i="1"/>
  <c r="AR204" i="1" s="1"/>
  <c r="AP204" i="1" s="1"/>
  <c r="BD200" i="1"/>
  <c r="AR200" i="1" s="1"/>
  <c r="AP200" i="1" s="1"/>
  <c r="BD203" i="1"/>
  <c r="AR203" i="1" s="1"/>
  <c r="AP203" i="1" s="1"/>
  <c r="BD199" i="1"/>
  <c r="AR199" i="1" s="1"/>
  <c r="AP199" i="1" s="1"/>
  <c r="BD279" i="1"/>
  <c r="AR279" i="1" s="1"/>
  <c r="AP279" i="1" s="1"/>
  <c r="BD267" i="1"/>
  <c r="AR267" i="1" s="1"/>
  <c r="AP267" i="1" s="1"/>
  <c r="BD262" i="1"/>
  <c r="AR262" i="1" s="1"/>
  <c r="AP262" i="1" s="1"/>
  <c r="BD281" i="1"/>
  <c r="AR281" i="1" s="1"/>
  <c r="AP281" i="1" s="1"/>
  <c r="BD286" i="1"/>
  <c r="AR286" i="1" s="1"/>
  <c r="AP286" i="1" s="1"/>
  <c r="BD282" i="1"/>
  <c r="AR282" i="1" s="1"/>
  <c r="AP282" i="1" s="1"/>
  <c r="BD276" i="1"/>
  <c r="AR276" i="1" s="1"/>
  <c r="AP276" i="1" s="1"/>
  <c r="BD272" i="1"/>
  <c r="AR272" i="1" s="1"/>
  <c r="AP272" i="1" s="1"/>
  <c r="BD283" i="1"/>
  <c r="AR283" i="1" s="1"/>
  <c r="AP283" i="1" s="1"/>
  <c r="BD265" i="1"/>
  <c r="AR265" i="1" s="1"/>
  <c r="AP265" i="1" s="1"/>
  <c r="BD263" i="1"/>
  <c r="AR263" i="1" s="1"/>
  <c r="AP263" i="1" s="1"/>
  <c r="BD280" i="1"/>
  <c r="AR280" i="1" s="1"/>
  <c r="AP280" i="1" s="1"/>
  <c r="BD273" i="1"/>
  <c r="AR273" i="1" s="1"/>
  <c r="AP273" i="1" s="1"/>
  <c r="BD277" i="1"/>
  <c r="AR277" i="1" s="1"/>
  <c r="AP277" i="1" s="1"/>
  <c r="BD268" i="1"/>
  <c r="AR268" i="1" s="1"/>
  <c r="AP268" i="1" s="1"/>
  <c r="BD266" i="1"/>
  <c r="AR266" i="1" s="1"/>
  <c r="AP266" i="1" s="1"/>
  <c r="BD278" i="1"/>
  <c r="AR278" i="1" s="1"/>
  <c r="AP278" i="1" s="1"/>
  <c r="BD284" i="1"/>
  <c r="AR284" i="1" s="1"/>
  <c r="AP284" i="1" s="1"/>
  <c r="BD274" i="1"/>
  <c r="AR274" i="1" s="1"/>
  <c r="AP274" i="1" s="1"/>
  <c r="BD261" i="1"/>
  <c r="AR261" i="1" s="1"/>
  <c r="AP261" i="1" s="1"/>
  <c r="BD285" i="1"/>
  <c r="AR285" i="1" s="1"/>
  <c r="AP285" i="1" s="1"/>
  <c r="BD275" i="1"/>
  <c r="AR275" i="1" s="1"/>
  <c r="AP275" i="1" s="1"/>
  <c r="BD271" i="1"/>
  <c r="AR271" i="1" s="1"/>
  <c r="AP271" i="1" s="1"/>
  <c r="BD269" i="1"/>
  <c r="AR269" i="1" s="1"/>
  <c r="AP269" i="1" s="1"/>
  <c r="BD264" i="1"/>
  <c r="AR264" i="1" s="1"/>
  <c r="AP264" i="1" s="1"/>
  <c r="BD237" i="1"/>
  <c r="AR237" i="1" s="1"/>
  <c r="AP237" i="1" s="1"/>
  <c r="BD235" i="1"/>
  <c r="AR235" i="1" s="1"/>
  <c r="AP235" i="1" s="1"/>
  <c r="BD243" i="1"/>
  <c r="AR243" i="1" s="1"/>
  <c r="AP243" i="1" s="1"/>
  <c r="BD242" i="1"/>
  <c r="AR242" i="1" s="1"/>
  <c r="AP242" i="1" s="1"/>
  <c r="BD240" i="1"/>
  <c r="AR240" i="1" s="1"/>
  <c r="AP240" i="1" s="1"/>
  <c r="BD241" i="1"/>
  <c r="AR241" i="1" s="1"/>
  <c r="AP241" i="1" s="1"/>
  <c r="BD238" i="1"/>
  <c r="AR238" i="1" s="1"/>
  <c r="AP238" i="1" s="1"/>
  <c r="BD239" i="1"/>
  <c r="AR239" i="1" s="1"/>
  <c r="AP239" i="1" s="1"/>
  <c r="BD258" i="1"/>
  <c r="AR258" i="1" s="1"/>
  <c r="AP258" i="1" s="1"/>
  <c r="BD166" i="1"/>
  <c r="AR166" i="1" s="1"/>
  <c r="AP166" i="1" s="1"/>
  <c r="BD165" i="1"/>
  <c r="AR165" i="1" s="1"/>
  <c r="AP165" i="1" s="1"/>
  <c r="BD179" i="1"/>
  <c r="AR179" i="1" s="1"/>
  <c r="AP179" i="1" s="1"/>
  <c r="BD164" i="1"/>
  <c r="AR164" i="1" s="1"/>
  <c r="AP164" i="1" s="1"/>
  <c r="BD178" i="1"/>
  <c r="AR178" i="1" s="1"/>
  <c r="AP178" i="1" s="1"/>
  <c r="BD171" i="1"/>
  <c r="AR171" i="1" s="1"/>
  <c r="AP171" i="1" s="1"/>
  <c r="BD86" i="1"/>
  <c r="AR86" i="1" s="1"/>
  <c r="AP86" i="1" s="1"/>
  <c r="BD87" i="1"/>
  <c r="AR87" i="1" s="1"/>
  <c r="AP87" i="1" s="1"/>
  <c r="BD44" i="1"/>
  <c r="AR44" i="1" s="1"/>
  <c r="AP44" i="1" s="1"/>
  <c r="BD43" i="1"/>
  <c r="AR43" i="1" s="1"/>
  <c r="AP43" i="1" s="1"/>
  <c r="BD259" i="1"/>
  <c r="AR259" i="1" s="1"/>
  <c r="AP259" i="1" s="1"/>
  <c r="BD252" i="1"/>
  <c r="AR252" i="1" s="1"/>
  <c r="AP252" i="1" s="1"/>
  <c r="BD257" i="1"/>
  <c r="AR257" i="1" s="1"/>
  <c r="AP257" i="1" s="1"/>
  <c r="BD253" i="1"/>
  <c r="AR253" i="1" s="1"/>
  <c r="AP253" i="1" s="1"/>
  <c r="BD255" i="1"/>
  <c r="AR255" i="1" s="1"/>
  <c r="AP255" i="1" s="1"/>
  <c r="BD254" i="1"/>
  <c r="AR254" i="1" s="1"/>
  <c r="AP254" i="1" s="1"/>
  <c r="BD251" i="1"/>
  <c r="AR251" i="1" s="1"/>
  <c r="AP251" i="1" s="1"/>
  <c r="BD260" i="1"/>
  <c r="AR260" i="1" s="1"/>
  <c r="AP260" i="1" s="1"/>
  <c r="BD250" i="1"/>
  <c r="AR250" i="1" s="1"/>
  <c r="AP250" i="1" s="1"/>
  <c r="BD256" i="1"/>
  <c r="AR256" i="1" s="1"/>
  <c r="AP256" i="1" s="1"/>
  <c r="BD247" i="1"/>
  <c r="AR247" i="1" s="1"/>
  <c r="AP247" i="1" s="1"/>
  <c r="BD248" i="1"/>
  <c r="AR248" i="1" s="1"/>
  <c r="AP248" i="1" s="1"/>
  <c r="BD245" i="1"/>
  <c r="AR245" i="1" s="1"/>
  <c r="AP245" i="1" s="1"/>
  <c r="BD249" i="1"/>
  <c r="AR249" i="1" s="1"/>
  <c r="AP249" i="1" s="1"/>
  <c r="BD246" i="1"/>
  <c r="AR246" i="1" s="1"/>
  <c r="AP246" i="1" s="1"/>
  <c r="BD23" i="1"/>
  <c r="AR23" i="1" s="1"/>
  <c r="AP23" i="1" s="1"/>
  <c r="BD38" i="1"/>
  <c r="BD101" i="1"/>
  <c r="AR101" i="1" s="1"/>
  <c r="AP101" i="1" s="1"/>
  <c r="BD79" i="1"/>
  <c r="BD107" i="1"/>
  <c r="BD115" i="1"/>
  <c r="BD123" i="1"/>
  <c r="BD127" i="1"/>
  <c r="BD131" i="1"/>
  <c r="BD135" i="1"/>
  <c r="BD139" i="1"/>
  <c r="BD143" i="1"/>
  <c r="BD147" i="1"/>
  <c r="BD108" i="1"/>
  <c r="BD116" i="1"/>
  <c r="BD128" i="1"/>
  <c r="BD132" i="1"/>
  <c r="BD140" i="1"/>
  <c r="BD144" i="1"/>
  <c r="BD148" i="1"/>
  <c r="BD105" i="1"/>
  <c r="BD109" i="1"/>
  <c r="BD113" i="1"/>
  <c r="BD117" i="1"/>
  <c r="BD121" i="1"/>
  <c r="BD129" i="1"/>
  <c r="BD133" i="1"/>
  <c r="BD137" i="1"/>
  <c r="BD141" i="1"/>
  <c r="BD145" i="1"/>
  <c r="BD149" i="1"/>
  <c r="BD106" i="1"/>
  <c r="BD110" i="1"/>
  <c r="BD114" i="1"/>
  <c r="BD118" i="1"/>
  <c r="BD122" i="1"/>
  <c r="BD126" i="1"/>
  <c r="BD130" i="1"/>
  <c r="BD134" i="1"/>
  <c r="BD138" i="1"/>
  <c r="BD142" i="1"/>
  <c r="BD146" i="1"/>
  <c r="BD57" i="1"/>
  <c r="BD161" i="1"/>
  <c r="BD102" i="1"/>
  <c r="BD90" i="1"/>
  <c r="BD39" i="1"/>
  <c r="BD49" i="1"/>
  <c r="BD55" i="1"/>
  <c r="BD65" i="1"/>
  <c r="BD72" i="1"/>
  <c r="BD76" i="1"/>
  <c r="BD97" i="1"/>
  <c r="BD64" i="1"/>
  <c r="BD100" i="1"/>
  <c r="BD56" i="1"/>
  <c r="BD67" i="1"/>
  <c r="BD73" i="1"/>
  <c r="BD77" i="1"/>
  <c r="BD81" i="1"/>
  <c r="BD98" i="1"/>
  <c r="BD83" i="1"/>
  <c r="BD34" i="1"/>
  <c r="BD68" i="1"/>
  <c r="BD74" i="1"/>
  <c r="BD78" i="1"/>
  <c r="BD82" i="1"/>
  <c r="BD89" i="1"/>
  <c r="BD93" i="1"/>
  <c r="BD35" i="1"/>
  <c r="BD36" i="1"/>
  <c r="BD33" i="1"/>
  <c r="BD17" i="1"/>
  <c r="BD21" i="1"/>
  <c r="BD28" i="1"/>
  <c r="BD70" i="1"/>
  <c r="BD88" i="1"/>
  <c r="BD152" i="1"/>
  <c r="BD156" i="1"/>
  <c r="BD160" i="1"/>
  <c r="BD18" i="1"/>
  <c r="BD22" i="1"/>
  <c r="BD53" i="1"/>
  <c r="BD71" i="1"/>
  <c r="BD153" i="1"/>
  <c r="BD157" i="1"/>
  <c r="BD29" i="1"/>
  <c r="AP29" i="1" s="1"/>
  <c r="BD30" i="1"/>
  <c r="BD31" i="1"/>
  <c r="BD63" i="1"/>
  <c r="AR63" i="1" s="1"/>
  <c r="AP63" i="1" s="1"/>
  <c r="BD61" i="1"/>
  <c r="AR61" i="1" s="1"/>
  <c r="AP61" i="1" s="1"/>
  <c r="BD62" i="1"/>
  <c r="AR62" i="1" s="1"/>
  <c r="AP62" i="1" s="1"/>
  <c r="BD60" i="1"/>
  <c r="AR60" i="1" s="1"/>
  <c r="AP60" i="1" s="1"/>
  <c r="BD59" i="1"/>
  <c r="AR59" i="1" s="1"/>
  <c r="AP59" i="1" s="1"/>
  <c r="BD103" i="1"/>
  <c r="AR103" i="1" s="1"/>
  <c r="AP103" i="1" s="1"/>
  <c r="BD19" i="1"/>
  <c r="BD25" i="1"/>
  <c r="BD54" i="1"/>
  <c r="BD58" i="1"/>
  <c r="BD94" i="1"/>
  <c r="BD154" i="1"/>
  <c r="BD158" i="1"/>
  <c r="BD150" i="1"/>
  <c r="BD20" i="1"/>
  <c r="BD95" i="1"/>
  <c r="BD151" i="1"/>
  <c r="BD155" i="1"/>
  <c r="BD159" i="1"/>
  <c r="BD198" i="1"/>
  <c r="AO90" i="1"/>
  <c r="N90" i="1"/>
  <c r="AO83" i="1"/>
  <c r="N83" i="1"/>
  <c r="AO149" i="1"/>
  <c r="N149" i="1"/>
  <c r="AO147" i="1"/>
  <c r="N147" i="1"/>
  <c r="AO145" i="1"/>
  <c r="N145" i="1"/>
  <c r="AO143" i="1"/>
  <c r="N143" i="1"/>
  <c r="AO141" i="1"/>
  <c r="N141" i="1"/>
  <c r="AO139" i="1"/>
  <c r="N139" i="1"/>
  <c r="AO137" i="1"/>
  <c r="N137" i="1"/>
  <c r="AO135" i="1"/>
  <c r="N135" i="1"/>
  <c r="AO133" i="1"/>
  <c r="N133" i="1"/>
  <c r="AO131" i="1"/>
  <c r="N131" i="1"/>
  <c r="AO129" i="1"/>
  <c r="N129" i="1"/>
  <c r="AO127" i="1"/>
  <c r="N127" i="1"/>
  <c r="N120" i="1"/>
  <c r="AS120" i="1"/>
  <c r="AX120" i="1"/>
  <c r="BB120" i="1"/>
  <c r="N112" i="1"/>
  <c r="AS112" i="1"/>
  <c r="AO118" i="1"/>
  <c r="N118" i="1"/>
  <c r="AO116" i="1"/>
  <c r="N116" i="1"/>
  <c r="AO114" i="1"/>
  <c r="N114" i="1"/>
  <c r="AO110" i="1"/>
  <c r="N110" i="1"/>
  <c r="AO108" i="1"/>
  <c r="N108" i="1"/>
  <c r="AO106" i="1"/>
  <c r="N106" i="1"/>
  <c r="N182" i="1"/>
  <c r="AO65" i="1"/>
  <c r="N65" i="1"/>
  <c r="N58" i="1"/>
  <c r="AO56" i="1"/>
  <c r="N56" i="1"/>
  <c r="AO36" i="1"/>
  <c r="N36" i="1"/>
  <c r="AO34" i="1"/>
  <c r="N34" i="1"/>
  <c r="BI108" i="1" l="1"/>
  <c r="BE108" i="1"/>
  <c r="BH108" i="1"/>
  <c r="BJ108" i="1"/>
  <c r="BG108" i="1"/>
  <c r="BF108" i="1"/>
  <c r="BI118" i="1"/>
  <c r="BE118" i="1"/>
  <c r="BJ118" i="1"/>
  <c r="BG118" i="1"/>
  <c r="BF118" i="1"/>
  <c r="BH118" i="1"/>
  <c r="BG135" i="1"/>
  <c r="BH135" i="1"/>
  <c r="BI135" i="1"/>
  <c r="BJ135" i="1"/>
  <c r="BE135" i="1"/>
  <c r="BF135" i="1"/>
  <c r="BH65" i="1"/>
  <c r="BG65" i="1"/>
  <c r="BF65" i="1"/>
  <c r="BJ65" i="1"/>
  <c r="BI65" i="1"/>
  <c r="BE65" i="1"/>
  <c r="BI106" i="1"/>
  <c r="BE106" i="1"/>
  <c r="BJ106" i="1"/>
  <c r="BG106" i="1"/>
  <c r="BF106" i="1"/>
  <c r="BH106" i="1"/>
  <c r="BI110" i="1"/>
  <c r="BE110" i="1"/>
  <c r="BG110" i="1"/>
  <c r="BJ110" i="1"/>
  <c r="BH110" i="1"/>
  <c r="BF110" i="1"/>
  <c r="BI116" i="1"/>
  <c r="BE116" i="1"/>
  <c r="BF116" i="1"/>
  <c r="BJ116" i="1"/>
  <c r="BH116" i="1"/>
  <c r="BG116" i="1"/>
  <c r="BG129" i="1"/>
  <c r="BF129" i="1"/>
  <c r="BJ129" i="1"/>
  <c r="BI129" i="1"/>
  <c r="BH129" i="1"/>
  <c r="BE129" i="1"/>
  <c r="BI133" i="1"/>
  <c r="BJ133" i="1"/>
  <c r="BH133" i="1"/>
  <c r="BG133" i="1"/>
  <c r="BE133" i="1"/>
  <c r="BF133" i="1"/>
  <c r="BG137" i="1"/>
  <c r="BJ137" i="1"/>
  <c r="BE137" i="1"/>
  <c r="BI137" i="1"/>
  <c r="BH137" i="1"/>
  <c r="BF137" i="1"/>
  <c r="BG141" i="1"/>
  <c r="BH141" i="1"/>
  <c r="BF141" i="1"/>
  <c r="BE141" i="1"/>
  <c r="BJ141" i="1"/>
  <c r="BI141" i="1"/>
  <c r="BG145" i="1"/>
  <c r="BJ145" i="1"/>
  <c r="BE145" i="1"/>
  <c r="BI145" i="1"/>
  <c r="BF145" i="1"/>
  <c r="BH145" i="1"/>
  <c r="BG149" i="1"/>
  <c r="BH149" i="1"/>
  <c r="BI149" i="1"/>
  <c r="BF149" i="1"/>
  <c r="BJ149" i="1"/>
  <c r="BE149" i="1"/>
  <c r="BF90" i="1"/>
  <c r="BJ90" i="1"/>
  <c r="BI90" i="1"/>
  <c r="BG90" i="1"/>
  <c r="BH90" i="1"/>
  <c r="BE90" i="1"/>
  <c r="BI114" i="1"/>
  <c r="BE114" i="1"/>
  <c r="BG114" i="1"/>
  <c r="BJ114" i="1"/>
  <c r="BH114" i="1"/>
  <c r="BF114" i="1"/>
  <c r="BG127" i="1"/>
  <c r="BH127" i="1"/>
  <c r="BI127" i="1"/>
  <c r="BF127" i="1"/>
  <c r="BJ127" i="1"/>
  <c r="BE127" i="1"/>
  <c r="BG131" i="1"/>
  <c r="BJ131" i="1"/>
  <c r="BE131" i="1"/>
  <c r="BF131" i="1"/>
  <c r="BI131" i="1"/>
  <c r="BH131" i="1"/>
  <c r="BG139" i="1"/>
  <c r="BI139" i="1"/>
  <c r="BE139" i="1"/>
  <c r="BJ139" i="1"/>
  <c r="BH139" i="1"/>
  <c r="BF139" i="1"/>
  <c r="BG143" i="1"/>
  <c r="BF143" i="1"/>
  <c r="BI143" i="1"/>
  <c r="BH143" i="1"/>
  <c r="BJ143" i="1"/>
  <c r="BE143" i="1"/>
  <c r="BG147" i="1"/>
  <c r="BI147" i="1"/>
  <c r="BF147" i="1"/>
  <c r="BE147" i="1"/>
  <c r="BH147" i="1"/>
  <c r="BJ147" i="1"/>
  <c r="BJ83" i="1"/>
  <c r="BI83" i="1"/>
  <c r="BG83" i="1"/>
  <c r="BE83" i="1"/>
  <c r="BH83" i="1"/>
  <c r="BF83" i="1"/>
  <c r="BG36" i="1"/>
  <c r="BF36" i="1"/>
  <c r="BI36" i="1"/>
  <c r="BJ36" i="1"/>
  <c r="BH36" i="1"/>
  <c r="BE36" i="1"/>
  <c r="BJ34" i="1"/>
  <c r="BI34" i="1"/>
  <c r="BF34" i="1"/>
  <c r="BH34" i="1"/>
  <c r="BE34" i="1"/>
  <c r="BG34" i="1"/>
  <c r="BJ56" i="1"/>
  <c r="BI56" i="1"/>
  <c r="BH56" i="1"/>
  <c r="BF56" i="1"/>
  <c r="BE56" i="1"/>
  <c r="BG56" i="1"/>
  <c r="AR30" i="1"/>
  <c r="AP30" i="1" s="1"/>
  <c r="AR31" i="1"/>
  <c r="AP31" i="1" s="1"/>
  <c r="AV149" i="1"/>
  <c r="AW149" i="1" s="1"/>
  <c r="BA120" i="1"/>
  <c r="AV120" i="1"/>
  <c r="AW120" i="1" s="1"/>
  <c r="AZ120" i="1"/>
  <c r="AT120" i="1"/>
  <c r="AU120" i="1" s="1"/>
  <c r="AY137" i="1"/>
  <c r="BC120" i="1"/>
  <c r="AY120" i="1"/>
  <c r="AV139" i="1"/>
  <c r="AW139" i="1" s="1"/>
  <c r="AV131" i="1"/>
  <c r="AW131" i="1" s="1"/>
  <c r="AV133" i="1"/>
  <c r="AW133" i="1" s="1"/>
  <c r="AY133" i="1"/>
  <c r="BC133" i="1"/>
  <c r="AV135" i="1"/>
  <c r="AW135" i="1" s="1"/>
  <c r="AZ135" i="1"/>
  <c r="AV141" i="1"/>
  <c r="AW141" i="1" s="1"/>
  <c r="AZ141" i="1"/>
  <c r="AV143" i="1"/>
  <c r="AW143" i="1" s="1"/>
  <c r="BC143" i="1"/>
  <c r="AV145" i="1"/>
  <c r="AW145" i="1" s="1"/>
  <c r="AZ145" i="1"/>
  <c r="AV147" i="1"/>
  <c r="AW147" i="1" s="1"/>
  <c r="AX108" i="1"/>
  <c r="AR120" i="1"/>
  <c r="AX133" i="1"/>
  <c r="BB133" i="1"/>
  <c r="BC135" i="1"/>
  <c r="AZ90" i="1"/>
  <c r="BC90" i="1"/>
  <c r="AV90" i="1"/>
  <c r="AW90" i="1" s="1"/>
  <c r="AY90" i="1"/>
  <c r="AS90" i="1"/>
  <c r="BA90" i="1"/>
  <c r="AT90" i="1"/>
  <c r="AU90" i="1" s="1"/>
  <c r="AX90" i="1"/>
  <c r="BB90" i="1"/>
  <c r="AY83" i="1"/>
  <c r="AZ83" i="1"/>
  <c r="BC83" i="1"/>
  <c r="AV83" i="1"/>
  <c r="AW83" i="1" s="1"/>
  <c r="AS83" i="1"/>
  <c r="BA83" i="1"/>
  <c r="AT83" i="1"/>
  <c r="AU83" i="1" s="1"/>
  <c r="AX83" i="1"/>
  <c r="BB83" i="1"/>
  <c r="AZ149" i="1"/>
  <c r="BC149" i="1"/>
  <c r="AY149" i="1"/>
  <c r="AY147" i="1"/>
  <c r="AZ147" i="1"/>
  <c r="BC147" i="1"/>
  <c r="BC145" i="1"/>
  <c r="AY145" i="1"/>
  <c r="AY143" i="1"/>
  <c r="AZ143" i="1"/>
  <c r="BC141" i="1"/>
  <c r="AY141" i="1"/>
  <c r="AY139" i="1"/>
  <c r="AZ139" i="1"/>
  <c r="BC139" i="1"/>
  <c r="AS149" i="1"/>
  <c r="BA149" i="1"/>
  <c r="AT149" i="1"/>
  <c r="AU149" i="1" s="1"/>
  <c r="AX149" i="1"/>
  <c r="BB149" i="1"/>
  <c r="AS147" i="1"/>
  <c r="BA147" i="1"/>
  <c r="AT147" i="1"/>
  <c r="AU147" i="1" s="1"/>
  <c r="AX147" i="1"/>
  <c r="BB147" i="1"/>
  <c r="AS145" i="1"/>
  <c r="BA145" i="1"/>
  <c r="AT145" i="1"/>
  <c r="AU145" i="1" s="1"/>
  <c r="AX145" i="1"/>
  <c r="BB145" i="1"/>
  <c r="AS143" i="1"/>
  <c r="BA143" i="1"/>
  <c r="AT143" i="1"/>
  <c r="AU143" i="1" s="1"/>
  <c r="AX143" i="1"/>
  <c r="BB143" i="1"/>
  <c r="AS141" i="1"/>
  <c r="BA141" i="1"/>
  <c r="AT141" i="1"/>
  <c r="AU141" i="1" s="1"/>
  <c r="AX141" i="1"/>
  <c r="BB141" i="1"/>
  <c r="AS139" i="1"/>
  <c r="BA139" i="1"/>
  <c r="AT139" i="1"/>
  <c r="AU139" i="1" s="1"/>
  <c r="AX139" i="1"/>
  <c r="BB139" i="1"/>
  <c r="AT137" i="1"/>
  <c r="AU137" i="1" s="1"/>
  <c r="AZ137" i="1"/>
  <c r="AV137" i="1"/>
  <c r="AW137" i="1" s="1"/>
  <c r="BB137" i="1"/>
  <c r="AX137" i="1"/>
  <c r="BC137" i="1"/>
  <c r="AY135" i="1"/>
  <c r="AT133" i="1"/>
  <c r="AU133" i="1" s="1"/>
  <c r="AZ133" i="1"/>
  <c r="AZ131" i="1"/>
  <c r="AY131" i="1"/>
  <c r="BC131" i="1"/>
  <c r="AV127" i="1"/>
  <c r="AW127" i="1" s="1"/>
  <c r="AZ127" i="1"/>
  <c r="AY127" i="1"/>
  <c r="BC127" i="1"/>
  <c r="AS137" i="1"/>
  <c r="BA137" i="1"/>
  <c r="AS135" i="1"/>
  <c r="BA135" i="1"/>
  <c r="AT135" i="1"/>
  <c r="AU135" i="1" s="1"/>
  <c r="AX135" i="1"/>
  <c r="BB135" i="1"/>
  <c r="AS133" i="1"/>
  <c r="BA133" i="1"/>
  <c r="AS131" i="1"/>
  <c r="BA131" i="1"/>
  <c r="AT131" i="1"/>
  <c r="AU131" i="1" s="1"/>
  <c r="AX131" i="1"/>
  <c r="BB131" i="1"/>
  <c r="AS129" i="1"/>
  <c r="BA129" i="1"/>
  <c r="AT129" i="1"/>
  <c r="AU129" i="1" s="1"/>
  <c r="AX129" i="1"/>
  <c r="BB129" i="1"/>
  <c r="AY129" i="1"/>
  <c r="BC129" i="1"/>
  <c r="AV129" i="1"/>
  <c r="AW129" i="1" s="1"/>
  <c r="AZ129" i="1"/>
  <c r="AS127" i="1"/>
  <c r="BA127" i="1"/>
  <c r="AT127" i="1"/>
  <c r="AU127" i="1" s="1"/>
  <c r="AX127" i="1"/>
  <c r="BB127" i="1"/>
  <c r="BA112" i="1"/>
  <c r="BC108" i="1"/>
  <c r="AZ112" i="1"/>
  <c r="AV112" i="1"/>
  <c r="AW112" i="1" s="1"/>
  <c r="AV110" i="1"/>
  <c r="AW110" i="1" s="1"/>
  <c r="AV116" i="1"/>
  <c r="AW116" i="1" s="1"/>
  <c r="BC112" i="1"/>
  <c r="AY112" i="1"/>
  <c r="AY108" i="1"/>
  <c r="BC110" i="1"/>
  <c r="BC116" i="1"/>
  <c r="BB112" i="1"/>
  <c r="AX112" i="1"/>
  <c r="AT112" i="1"/>
  <c r="AU112" i="1" s="1"/>
  <c r="AY106" i="1"/>
  <c r="AY118" i="1"/>
  <c r="AZ106" i="1"/>
  <c r="AZ118" i="1"/>
  <c r="BC106" i="1"/>
  <c r="AT108" i="1"/>
  <c r="AU108" i="1" s="1"/>
  <c r="AZ108" i="1"/>
  <c r="AY110" i="1"/>
  <c r="AY116" i="1"/>
  <c r="BC118" i="1"/>
  <c r="AV106" i="1"/>
  <c r="AW106" i="1" s="1"/>
  <c r="AV108" i="1"/>
  <c r="AW108" i="1" s="1"/>
  <c r="BB108" i="1"/>
  <c r="AZ110" i="1"/>
  <c r="AZ116" i="1"/>
  <c r="AV118" i="1"/>
  <c r="AW118" i="1" s="1"/>
  <c r="AS118" i="1"/>
  <c r="BA118" i="1"/>
  <c r="AT118" i="1"/>
  <c r="AU118" i="1" s="1"/>
  <c r="AX118" i="1"/>
  <c r="BB118" i="1"/>
  <c r="AS116" i="1"/>
  <c r="BA116" i="1"/>
  <c r="AT116" i="1"/>
  <c r="AU116" i="1" s="1"/>
  <c r="AX116" i="1"/>
  <c r="BB116" i="1"/>
  <c r="AS114" i="1"/>
  <c r="BA114" i="1"/>
  <c r="AY114" i="1"/>
  <c r="BC114" i="1"/>
  <c r="AV114" i="1"/>
  <c r="AW114" i="1" s="1"/>
  <c r="AZ114" i="1"/>
  <c r="AT114" i="1"/>
  <c r="AU114" i="1" s="1"/>
  <c r="AX114" i="1"/>
  <c r="BB114" i="1"/>
  <c r="AS110" i="1"/>
  <c r="BA110" i="1"/>
  <c r="AT110" i="1"/>
  <c r="AU110" i="1" s="1"/>
  <c r="AX110" i="1"/>
  <c r="BB110" i="1"/>
  <c r="AS108" i="1"/>
  <c r="BA108" i="1"/>
  <c r="AS106" i="1"/>
  <c r="BA106" i="1"/>
  <c r="AT106" i="1"/>
  <c r="AU106" i="1" s="1"/>
  <c r="AX106" i="1"/>
  <c r="BB106" i="1"/>
  <c r="BC58" i="1"/>
  <c r="AZ65" i="1"/>
  <c r="BC65" i="1"/>
  <c r="AY36" i="1"/>
  <c r="AV58" i="1"/>
  <c r="AW58" i="1" s="1"/>
  <c r="AV65" i="1"/>
  <c r="AW65" i="1" s="1"/>
  <c r="AY58" i="1"/>
  <c r="AZ58" i="1"/>
  <c r="AY56" i="1"/>
  <c r="AZ56" i="1"/>
  <c r="BC56" i="1"/>
  <c r="AV56" i="1"/>
  <c r="AW56" i="1" s="1"/>
  <c r="AY65" i="1"/>
  <c r="AS65" i="1"/>
  <c r="BA65" i="1"/>
  <c r="AT65" i="1"/>
  <c r="AU65" i="1" s="1"/>
  <c r="AX65" i="1"/>
  <c r="BB65" i="1"/>
  <c r="AS58" i="1"/>
  <c r="BA58" i="1"/>
  <c r="AT58" i="1"/>
  <c r="AU58" i="1" s="1"/>
  <c r="AX58" i="1"/>
  <c r="BB58" i="1"/>
  <c r="AS56" i="1"/>
  <c r="BA56" i="1"/>
  <c r="AT56" i="1"/>
  <c r="AU56" i="1" s="1"/>
  <c r="AX56" i="1"/>
  <c r="BB56" i="1"/>
  <c r="AT36" i="1"/>
  <c r="AU36" i="1" s="1"/>
  <c r="AZ36" i="1"/>
  <c r="AV36" i="1"/>
  <c r="AW36" i="1" s="1"/>
  <c r="BB36" i="1"/>
  <c r="AX36" i="1"/>
  <c r="BC36" i="1"/>
  <c r="AY34" i="1"/>
  <c r="BC34" i="1"/>
  <c r="AX34" i="1"/>
  <c r="AT34" i="1"/>
  <c r="AU34" i="1" s="1"/>
  <c r="AZ34" i="1"/>
  <c r="AV34" i="1"/>
  <c r="AW34" i="1" s="1"/>
  <c r="BB34" i="1"/>
  <c r="AS36" i="1"/>
  <c r="BA36" i="1"/>
  <c r="AS34" i="1"/>
  <c r="BA34" i="1"/>
  <c r="AV206" i="1"/>
  <c r="AV196" i="1"/>
  <c r="AV195" i="1"/>
  <c r="AV194" i="1"/>
  <c r="AV193" i="1"/>
  <c r="AV190" i="1"/>
  <c r="AV124" i="1"/>
  <c r="AV92" i="1"/>
  <c r="AV85" i="1"/>
  <c r="AV69" i="1"/>
  <c r="AV40" i="1"/>
  <c r="AV45" i="1"/>
  <c r="AR36" i="1" l="1"/>
  <c r="AR34" i="1"/>
  <c r="AR141" i="1"/>
  <c r="AR131" i="1"/>
  <c r="AQ120" i="1"/>
  <c r="AP120" i="1" s="1"/>
  <c r="AR127" i="1"/>
  <c r="AR90" i="1"/>
  <c r="AR108" i="1"/>
  <c r="AR139" i="1"/>
  <c r="AR143" i="1"/>
  <c r="AQ137" i="1"/>
  <c r="AR110" i="1"/>
  <c r="AR114" i="1"/>
  <c r="AR116" i="1"/>
  <c r="AR118" i="1"/>
  <c r="AR112" i="1"/>
  <c r="AR129" i="1"/>
  <c r="AR106" i="1"/>
  <c r="AR145" i="1"/>
  <c r="AR147" i="1"/>
  <c r="AR149" i="1"/>
  <c r="AR83" i="1"/>
  <c r="AQ90" i="1"/>
  <c r="AQ83" i="1"/>
  <c r="AQ139" i="1"/>
  <c r="AQ147" i="1"/>
  <c r="AQ106" i="1"/>
  <c r="AQ149" i="1"/>
  <c r="AQ145" i="1"/>
  <c r="AQ143" i="1"/>
  <c r="AQ141" i="1"/>
  <c r="AR137" i="1"/>
  <c r="AR135" i="1"/>
  <c r="AQ135" i="1"/>
  <c r="AR133" i="1"/>
  <c r="AQ133" i="1"/>
  <c r="AQ131" i="1"/>
  <c r="AQ129" i="1"/>
  <c r="AQ127" i="1"/>
  <c r="AQ118" i="1"/>
  <c r="AQ116" i="1"/>
  <c r="AQ114" i="1"/>
  <c r="AQ112" i="1"/>
  <c r="AP112" i="1" s="1"/>
  <c r="AQ110" i="1"/>
  <c r="AQ108" i="1"/>
  <c r="AQ58" i="1"/>
  <c r="AR56" i="1"/>
  <c r="AR58" i="1"/>
  <c r="AQ56" i="1"/>
  <c r="AR65" i="1"/>
  <c r="AQ65" i="1"/>
  <c r="AQ36" i="1"/>
  <c r="AQ34" i="1"/>
  <c r="AO32" i="1"/>
  <c r="AO33" i="1"/>
  <c r="N198" i="1"/>
  <c r="N197" i="1"/>
  <c r="N196" i="1"/>
  <c r="N195" i="1"/>
  <c r="N194" i="1"/>
  <c r="N193" i="1"/>
  <c r="N192" i="1"/>
  <c r="N191" i="1"/>
  <c r="N190" i="1"/>
  <c r="N189" i="1"/>
  <c r="N188" i="1"/>
  <c r="N187" i="1"/>
  <c r="N184" i="1"/>
  <c r="N183" i="1"/>
  <c r="N181" i="1"/>
  <c r="N180" i="1"/>
  <c r="N177" i="1"/>
  <c r="N176" i="1"/>
  <c r="N175" i="1"/>
  <c r="N174" i="1"/>
  <c r="N173" i="1"/>
  <c r="N172" i="1"/>
  <c r="N170" i="1"/>
  <c r="N169" i="1"/>
  <c r="N168" i="1"/>
  <c r="N167" i="1"/>
  <c r="N163" i="1"/>
  <c r="N162" i="1"/>
  <c r="N161" i="1"/>
  <c r="N160" i="1"/>
  <c r="N159" i="1"/>
  <c r="N158" i="1"/>
  <c r="N157" i="1"/>
  <c r="N156" i="1"/>
  <c r="N155" i="1"/>
  <c r="N154" i="1"/>
  <c r="N153" i="1"/>
  <c r="N152" i="1"/>
  <c r="N151" i="1"/>
  <c r="N150" i="1"/>
  <c r="N148" i="1"/>
  <c r="N146" i="1"/>
  <c r="N144" i="1"/>
  <c r="N142" i="1"/>
  <c r="N140" i="1"/>
  <c r="N138" i="1"/>
  <c r="N134" i="1"/>
  <c r="N132" i="1"/>
  <c r="N130" i="1"/>
  <c r="N128" i="1"/>
  <c r="N126" i="1"/>
  <c r="N125" i="1"/>
  <c r="N124" i="1"/>
  <c r="N123" i="1"/>
  <c r="N122" i="1"/>
  <c r="N121" i="1"/>
  <c r="N119" i="1"/>
  <c r="N117" i="1"/>
  <c r="N115" i="1"/>
  <c r="N113" i="1"/>
  <c r="N111" i="1"/>
  <c r="N109" i="1"/>
  <c r="N107" i="1"/>
  <c r="N105" i="1"/>
  <c r="N104" i="1"/>
  <c r="N100" i="1"/>
  <c r="N99" i="1"/>
  <c r="N98" i="1"/>
  <c r="N97" i="1"/>
  <c r="N96" i="1"/>
  <c r="N95" i="1"/>
  <c r="N94" i="1"/>
  <c r="N93" i="1"/>
  <c r="N92" i="1"/>
  <c r="N91" i="1"/>
  <c r="N89" i="1"/>
  <c r="N88" i="1"/>
  <c r="N85" i="1"/>
  <c r="N84" i="1"/>
  <c r="N82" i="1"/>
  <c r="N81" i="1"/>
  <c r="N80" i="1"/>
  <c r="N79" i="1"/>
  <c r="N78" i="1"/>
  <c r="N77" i="1"/>
  <c r="N76" i="1"/>
  <c r="N75" i="1"/>
  <c r="N74" i="1"/>
  <c r="N73" i="1"/>
  <c r="N72" i="1"/>
  <c r="N71" i="1"/>
  <c r="N70" i="1"/>
  <c r="N69" i="1"/>
  <c r="N68" i="1"/>
  <c r="N67" i="1"/>
  <c r="N64" i="1"/>
  <c r="N57" i="1"/>
  <c r="N55" i="1"/>
  <c r="N54" i="1"/>
  <c r="N53" i="1"/>
  <c r="N52" i="1"/>
  <c r="N51" i="1"/>
  <c r="N50" i="1"/>
  <c r="N49" i="1"/>
  <c r="N48" i="1"/>
  <c r="N47" i="1"/>
  <c r="N46" i="1"/>
  <c r="N45" i="1"/>
  <c r="N42" i="1"/>
  <c r="N41" i="1"/>
  <c r="N40" i="1"/>
  <c r="N39" i="1"/>
  <c r="N38" i="1"/>
  <c r="N35" i="1"/>
  <c r="N32" i="1"/>
  <c r="N28" i="1"/>
  <c r="N27" i="1"/>
  <c r="N25" i="1"/>
  <c r="N22" i="1"/>
  <c r="AF2" i="11" s="1"/>
  <c r="N21" i="1"/>
  <c r="AE2" i="11" s="1"/>
  <c r="N20" i="1"/>
  <c r="AD2" i="11" s="1"/>
  <c r="N19" i="1"/>
  <c r="AC2" i="11" s="1"/>
  <c r="N18" i="1"/>
  <c r="AB2" i="11" s="1"/>
  <c r="N17" i="1"/>
  <c r="AA2" i="11" s="1"/>
  <c r="N16" i="1"/>
  <c r="N33" i="1"/>
  <c r="AP58" i="1" l="1"/>
  <c r="AG2" i="11"/>
  <c r="AI2" i="11"/>
  <c r="AV32" i="1"/>
  <c r="BH32" i="1"/>
  <c r="BJ32" i="1"/>
  <c r="BF32" i="1"/>
  <c r="AR32" i="1"/>
  <c r="BI32" i="1"/>
  <c r="BE32" i="1"/>
  <c r="BG32" i="1"/>
  <c r="AV33" i="1"/>
  <c r="BJ33" i="1"/>
  <c r="BF33" i="1"/>
  <c r="BH33" i="1"/>
  <c r="BG33" i="1"/>
  <c r="AR33" i="1"/>
  <c r="BE33" i="1"/>
  <c r="BI33" i="1"/>
  <c r="AP141" i="1"/>
  <c r="AP143" i="1"/>
  <c r="AP139" i="1"/>
  <c r="AP110" i="1"/>
  <c r="AP145" i="1"/>
  <c r="AP118" i="1"/>
  <c r="AP137" i="1"/>
  <c r="AP108" i="1"/>
  <c r="AP131" i="1"/>
  <c r="AP133" i="1"/>
  <c r="AP90" i="1"/>
  <c r="AP135" i="1"/>
  <c r="AP147" i="1"/>
  <c r="AP116" i="1"/>
  <c r="AP127" i="1"/>
  <c r="AP149" i="1"/>
  <c r="AP83" i="1"/>
  <c r="AP114" i="1"/>
  <c r="AP129" i="1"/>
  <c r="AP106" i="1"/>
  <c r="AP34" i="1"/>
  <c r="AP65" i="1"/>
  <c r="AP36" i="1"/>
  <c r="AP56" i="1"/>
  <c r="AO17" i="1"/>
  <c r="AO18" i="1"/>
  <c r="AO19" i="1"/>
  <c r="AO20" i="1"/>
  <c r="AO21" i="1"/>
  <c r="AO22" i="1"/>
  <c r="AO25" i="1"/>
  <c r="AO27" i="1"/>
  <c r="AV28" i="1"/>
  <c r="AO35" i="1"/>
  <c r="AO38" i="1"/>
  <c r="AO39" i="1"/>
  <c r="AO41" i="1"/>
  <c r="AO42" i="1"/>
  <c r="AV46" i="1"/>
  <c r="AV47" i="1"/>
  <c r="AV48" i="1"/>
  <c r="AO49" i="1"/>
  <c r="AV50" i="1"/>
  <c r="AV51" i="1"/>
  <c r="AV52" i="1"/>
  <c r="AO53" i="1"/>
  <c r="AO54" i="1"/>
  <c r="AO55" i="1"/>
  <c r="AO57" i="1"/>
  <c r="AO64" i="1"/>
  <c r="AO67" i="1"/>
  <c r="AO68" i="1"/>
  <c r="AO70" i="1"/>
  <c r="AO71" i="1"/>
  <c r="AV72" i="1"/>
  <c r="AV73" i="1"/>
  <c r="AV74" i="1"/>
  <c r="AV75" i="1"/>
  <c r="AV76" i="1"/>
  <c r="AO77" i="1"/>
  <c r="AO78" i="1"/>
  <c r="AO79" i="1"/>
  <c r="AO80" i="1"/>
  <c r="AO81" i="1"/>
  <c r="AO82" i="1"/>
  <c r="AO84" i="1"/>
  <c r="AO88" i="1"/>
  <c r="AO89" i="1"/>
  <c r="AO91" i="1"/>
  <c r="AV93" i="1"/>
  <c r="AO94" i="1"/>
  <c r="AV94" i="1" s="1"/>
  <c r="AO95" i="1"/>
  <c r="AO96" i="1"/>
  <c r="AV97" i="1"/>
  <c r="AV98" i="1"/>
  <c r="AO99" i="1"/>
  <c r="AO104" i="1"/>
  <c r="AO105" i="1"/>
  <c r="AO107" i="1"/>
  <c r="AO109" i="1"/>
  <c r="AO111" i="1"/>
  <c r="AO113" i="1"/>
  <c r="AO115" i="1"/>
  <c r="AO117" i="1"/>
  <c r="AO119" i="1"/>
  <c r="AO121" i="1"/>
  <c r="AO122" i="1"/>
  <c r="AO123" i="1"/>
  <c r="AO125" i="1"/>
  <c r="AO126" i="1"/>
  <c r="AO128" i="1"/>
  <c r="AO130" i="1"/>
  <c r="AO132" i="1"/>
  <c r="AO134" i="1"/>
  <c r="AO138" i="1"/>
  <c r="AO140" i="1"/>
  <c r="AO142" i="1"/>
  <c r="AO144" i="1"/>
  <c r="AO146" i="1"/>
  <c r="AO148" i="1"/>
  <c r="AO150" i="1"/>
  <c r="AO151" i="1"/>
  <c r="AO152" i="1"/>
  <c r="AO153" i="1"/>
  <c r="AO154" i="1"/>
  <c r="AO155" i="1"/>
  <c r="AO156" i="1"/>
  <c r="AO157" i="1"/>
  <c r="AO158" i="1"/>
  <c r="AO159" i="1"/>
  <c r="AO160" i="1"/>
  <c r="AO161" i="1"/>
  <c r="AO162" i="1"/>
  <c r="AO163" i="1"/>
  <c r="AO167" i="1"/>
  <c r="AO168" i="1"/>
  <c r="AO169" i="1"/>
  <c r="AO187" i="1"/>
  <c r="AO188" i="1"/>
  <c r="AO189" i="1"/>
  <c r="AO191" i="1"/>
  <c r="AO192" i="1"/>
  <c r="AO197" i="1"/>
  <c r="AO198" i="1"/>
  <c r="BI168" i="1" l="1"/>
  <c r="BA168" i="1"/>
  <c r="AR168" i="1"/>
  <c r="AP168" i="1"/>
  <c r="BH168" i="1"/>
  <c r="AZ168" i="1"/>
  <c r="AQ168" i="1"/>
  <c r="BE168" i="1"/>
  <c r="AV168" i="1"/>
  <c r="AW168" i="1" s="1"/>
  <c r="BJ168" i="1"/>
  <c r="AS168" i="1"/>
  <c r="BG168" i="1"/>
  <c r="AY168" i="1"/>
  <c r="BF168" i="1"/>
  <c r="AX168" i="1"/>
  <c r="BC168" i="1"/>
  <c r="AT168" i="1"/>
  <c r="AU168" i="1" s="1"/>
  <c r="BB168" i="1"/>
  <c r="BG167" i="1"/>
  <c r="AY167" i="1"/>
  <c r="AQ167" i="1"/>
  <c r="AP167" i="1"/>
  <c r="BF167" i="1"/>
  <c r="AX167" i="1"/>
  <c r="BC167" i="1"/>
  <c r="AR167" i="1"/>
  <c r="BE167" i="1"/>
  <c r="AV167" i="1"/>
  <c r="AW167" i="1" s="1"/>
  <c r="BH167" i="1"/>
  <c r="BJ167" i="1"/>
  <c r="BB167" i="1"/>
  <c r="AT167" i="1"/>
  <c r="AU167" i="1" s="1"/>
  <c r="BI167" i="1"/>
  <c r="BA167" i="1"/>
  <c r="AS167" i="1"/>
  <c r="AZ167" i="1"/>
  <c r="BC169" i="1"/>
  <c r="AT169" i="1"/>
  <c r="AU169" i="1" s="1"/>
  <c r="BG169" i="1"/>
  <c r="AY169" i="1"/>
  <c r="BJ169" i="1"/>
  <c r="BB169" i="1"/>
  <c r="AS169" i="1"/>
  <c r="AP169" i="1"/>
  <c r="BI169" i="1"/>
  <c r="BA169" i="1"/>
  <c r="AR169" i="1"/>
  <c r="BH169" i="1"/>
  <c r="AZ169" i="1"/>
  <c r="AQ169" i="1"/>
  <c r="AV169" i="1"/>
  <c r="AW169" i="1" s="1"/>
  <c r="BF169" i="1"/>
  <c r="AX169" i="1"/>
  <c r="BE169" i="1"/>
  <c r="BF163" i="1"/>
  <c r="AX163" i="1"/>
  <c r="BC163" i="1"/>
  <c r="AS163" i="1"/>
  <c r="BE163" i="1"/>
  <c r="AV163" i="1"/>
  <c r="AW163" i="1" s="1"/>
  <c r="AY163" i="1"/>
  <c r="AT163" i="1"/>
  <c r="AU163" i="1" s="1"/>
  <c r="BI163" i="1"/>
  <c r="BA163" i="1"/>
  <c r="AQ163" i="1"/>
  <c r="BG163" i="1"/>
  <c r="BJ163" i="1"/>
  <c r="BB163" i="1"/>
  <c r="AR163" i="1"/>
  <c r="BH163" i="1"/>
  <c r="AZ163" i="1"/>
  <c r="AP163" i="1"/>
  <c r="AV192" i="1"/>
  <c r="BG192" i="1"/>
  <c r="BH192" i="1"/>
  <c r="BI192" i="1"/>
  <c r="BF192" i="1"/>
  <c r="BJ192" i="1"/>
  <c r="BE192" i="1"/>
  <c r="AV187" i="1"/>
  <c r="BI187" i="1"/>
  <c r="BE187" i="1"/>
  <c r="BG187" i="1"/>
  <c r="BH187" i="1"/>
  <c r="BF187" i="1"/>
  <c r="BJ187" i="1"/>
  <c r="AV159" i="1"/>
  <c r="BG159" i="1"/>
  <c r="BF159" i="1"/>
  <c r="BE159" i="1"/>
  <c r="BJ159" i="1"/>
  <c r="BH159" i="1"/>
  <c r="BI159" i="1"/>
  <c r="AV155" i="1"/>
  <c r="BG155" i="1"/>
  <c r="BI155" i="1"/>
  <c r="BH155" i="1"/>
  <c r="BF155" i="1"/>
  <c r="BJ155" i="1"/>
  <c r="BE155" i="1"/>
  <c r="AV151" i="1"/>
  <c r="BG151" i="1"/>
  <c r="BF151" i="1"/>
  <c r="BJ151" i="1"/>
  <c r="BI151" i="1"/>
  <c r="BH151" i="1"/>
  <c r="BE151" i="1"/>
  <c r="AV144" i="1"/>
  <c r="BI144" i="1"/>
  <c r="BE144" i="1"/>
  <c r="BF144" i="1"/>
  <c r="BJ144" i="1"/>
  <c r="BH144" i="1"/>
  <c r="BG144" i="1"/>
  <c r="AV128" i="1"/>
  <c r="BI128" i="1"/>
  <c r="BE128" i="1"/>
  <c r="BG128" i="1"/>
  <c r="BJ128" i="1"/>
  <c r="BH128" i="1"/>
  <c r="BF128" i="1"/>
  <c r="AV122" i="1"/>
  <c r="BI122" i="1"/>
  <c r="BE122" i="1"/>
  <c r="BJ122" i="1"/>
  <c r="BG122" i="1"/>
  <c r="BF122" i="1"/>
  <c r="BH122" i="1"/>
  <c r="AV115" i="1"/>
  <c r="BG115" i="1"/>
  <c r="BF115" i="1"/>
  <c r="BJ115" i="1"/>
  <c r="BI115" i="1"/>
  <c r="BH115" i="1"/>
  <c r="BE115" i="1"/>
  <c r="AV107" i="1"/>
  <c r="BG107" i="1"/>
  <c r="BI107" i="1"/>
  <c r="BH107" i="1"/>
  <c r="BF107" i="1"/>
  <c r="BE107" i="1"/>
  <c r="BJ107" i="1"/>
  <c r="AV191" i="1"/>
  <c r="BI191" i="1"/>
  <c r="BE191" i="1"/>
  <c r="BH191" i="1"/>
  <c r="BG191" i="1"/>
  <c r="BF191" i="1"/>
  <c r="BJ191" i="1"/>
  <c r="AV162" i="1"/>
  <c r="BI162" i="1"/>
  <c r="BE162" i="1"/>
  <c r="BJ162" i="1"/>
  <c r="BH162" i="1"/>
  <c r="BG162" i="1"/>
  <c r="BF162" i="1"/>
  <c r="AV158" i="1"/>
  <c r="BI158" i="1"/>
  <c r="BE158" i="1"/>
  <c r="BG158" i="1"/>
  <c r="BJ158" i="1"/>
  <c r="BH158" i="1"/>
  <c r="BF158" i="1"/>
  <c r="AV154" i="1"/>
  <c r="BI154" i="1"/>
  <c r="BE154" i="1"/>
  <c r="BJ154" i="1"/>
  <c r="BG154" i="1"/>
  <c r="BF154" i="1"/>
  <c r="BH154" i="1"/>
  <c r="AV150" i="1"/>
  <c r="BI150" i="1"/>
  <c r="BE150" i="1"/>
  <c r="BG150" i="1"/>
  <c r="BJ150" i="1"/>
  <c r="BH150" i="1"/>
  <c r="BF150" i="1"/>
  <c r="AV142" i="1"/>
  <c r="BI142" i="1"/>
  <c r="BE142" i="1"/>
  <c r="BG142" i="1"/>
  <c r="BH142" i="1"/>
  <c r="BF142" i="1"/>
  <c r="BJ142" i="1"/>
  <c r="AV134" i="1"/>
  <c r="BG134" i="1"/>
  <c r="BJ134" i="1"/>
  <c r="BE134" i="1"/>
  <c r="BI134" i="1"/>
  <c r="BH134" i="1"/>
  <c r="BF134" i="1"/>
  <c r="AV126" i="1"/>
  <c r="BI126" i="1"/>
  <c r="BE126" i="1"/>
  <c r="BH126" i="1"/>
  <c r="BG126" i="1"/>
  <c r="BF126" i="1"/>
  <c r="BJ126" i="1"/>
  <c r="AV121" i="1"/>
  <c r="BG121" i="1"/>
  <c r="BJ121" i="1"/>
  <c r="BE121" i="1"/>
  <c r="BF121" i="1"/>
  <c r="BI121" i="1"/>
  <c r="BH121" i="1"/>
  <c r="AV113" i="1"/>
  <c r="BG113" i="1"/>
  <c r="BH113" i="1"/>
  <c r="BI113" i="1"/>
  <c r="BF113" i="1"/>
  <c r="BE113" i="1"/>
  <c r="BJ113" i="1"/>
  <c r="AV198" i="1"/>
  <c r="AW198" i="1" s="1"/>
  <c r="BG198" i="1"/>
  <c r="BF198" i="1"/>
  <c r="BJ198" i="1"/>
  <c r="BI198" i="1"/>
  <c r="BE198" i="1"/>
  <c r="BH198" i="1"/>
  <c r="AV189" i="1"/>
  <c r="BI189" i="1"/>
  <c r="BE189" i="1"/>
  <c r="BF189" i="1"/>
  <c r="BJ189" i="1"/>
  <c r="BH189" i="1"/>
  <c r="BG189" i="1"/>
  <c r="AV161" i="1"/>
  <c r="BG161" i="1"/>
  <c r="BJ161" i="1"/>
  <c r="BE161" i="1"/>
  <c r="BH161" i="1"/>
  <c r="BF161" i="1"/>
  <c r="BI161" i="1"/>
  <c r="AV157" i="1"/>
  <c r="BG157" i="1"/>
  <c r="BH157" i="1"/>
  <c r="BJ157" i="1"/>
  <c r="BI157" i="1"/>
  <c r="BE157" i="1"/>
  <c r="BF157" i="1"/>
  <c r="AV153" i="1"/>
  <c r="BG153" i="1"/>
  <c r="BJ153" i="1"/>
  <c r="BE153" i="1"/>
  <c r="BF153" i="1"/>
  <c r="BI153" i="1"/>
  <c r="BH153" i="1"/>
  <c r="AV148" i="1"/>
  <c r="BI148" i="1"/>
  <c r="BE148" i="1"/>
  <c r="BH148" i="1"/>
  <c r="BG148" i="1"/>
  <c r="BF148" i="1"/>
  <c r="BJ148" i="1"/>
  <c r="AV140" i="1"/>
  <c r="BI140" i="1"/>
  <c r="BE140" i="1"/>
  <c r="BH140" i="1"/>
  <c r="BF140" i="1"/>
  <c r="BG140" i="1"/>
  <c r="BJ140" i="1"/>
  <c r="AV132" i="1"/>
  <c r="BI132" i="1"/>
  <c r="BE132" i="1"/>
  <c r="BJ132" i="1"/>
  <c r="BG132" i="1"/>
  <c r="BF132" i="1"/>
  <c r="BH132" i="1"/>
  <c r="AV125" i="1"/>
  <c r="BG125" i="1"/>
  <c r="BI125" i="1"/>
  <c r="BF125" i="1"/>
  <c r="BH125" i="1"/>
  <c r="BE125" i="1"/>
  <c r="BJ125" i="1"/>
  <c r="AV119" i="1"/>
  <c r="BG119" i="1"/>
  <c r="BI119" i="1"/>
  <c r="BH119" i="1"/>
  <c r="BF119" i="1"/>
  <c r="BE119" i="1"/>
  <c r="BJ119" i="1"/>
  <c r="AV111" i="1"/>
  <c r="BG111" i="1"/>
  <c r="BF111" i="1"/>
  <c r="BE111" i="1"/>
  <c r="BJ111" i="1"/>
  <c r="BI111" i="1"/>
  <c r="BH111" i="1"/>
  <c r="AV197" i="1"/>
  <c r="AW197" i="1" s="1"/>
  <c r="BI197" i="1"/>
  <c r="BE197" i="1"/>
  <c r="BG197" i="1"/>
  <c r="BJ197" i="1"/>
  <c r="BH197" i="1"/>
  <c r="BF197" i="1"/>
  <c r="AV188" i="1"/>
  <c r="BG188" i="1"/>
  <c r="BF188" i="1"/>
  <c r="BI188" i="1"/>
  <c r="BH188" i="1"/>
  <c r="BJ188" i="1"/>
  <c r="BE188" i="1"/>
  <c r="AV160" i="1"/>
  <c r="BI160" i="1"/>
  <c r="BE160" i="1"/>
  <c r="BF160" i="1"/>
  <c r="BG160" i="1"/>
  <c r="BJ160" i="1"/>
  <c r="BH160" i="1"/>
  <c r="AV156" i="1"/>
  <c r="BI156" i="1"/>
  <c r="BE156" i="1"/>
  <c r="BH156" i="1"/>
  <c r="BJ156" i="1"/>
  <c r="BG156" i="1"/>
  <c r="BF156" i="1"/>
  <c r="BI152" i="1"/>
  <c r="BE152" i="1"/>
  <c r="BF152" i="1"/>
  <c r="BJ152" i="1"/>
  <c r="BG152" i="1"/>
  <c r="BH152" i="1"/>
  <c r="AV146" i="1"/>
  <c r="BI146" i="1"/>
  <c r="BE146" i="1"/>
  <c r="BJ146" i="1"/>
  <c r="BF146" i="1"/>
  <c r="BH146" i="1"/>
  <c r="BG146" i="1"/>
  <c r="AV138" i="1"/>
  <c r="BI138" i="1"/>
  <c r="BE138" i="1"/>
  <c r="BJ138" i="1"/>
  <c r="BH138" i="1"/>
  <c r="BF138" i="1"/>
  <c r="BG138" i="1"/>
  <c r="AV130" i="1"/>
  <c r="BI130" i="1"/>
  <c r="BE130" i="1"/>
  <c r="BF130" i="1"/>
  <c r="BJ130" i="1"/>
  <c r="BG130" i="1"/>
  <c r="BH130" i="1"/>
  <c r="AV123" i="1"/>
  <c r="BG123" i="1"/>
  <c r="BH123" i="1"/>
  <c r="BJ123" i="1"/>
  <c r="BI123" i="1"/>
  <c r="BF123" i="1"/>
  <c r="BE123" i="1"/>
  <c r="AV117" i="1"/>
  <c r="BG117" i="1"/>
  <c r="BJ117" i="1"/>
  <c r="BE117" i="1"/>
  <c r="BF117" i="1"/>
  <c r="BI117" i="1"/>
  <c r="BH117" i="1"/>
  <c r="AV109" i="1"/>
  <c r="BG109" i="1"/>
  <c r="BH109" i="1"/>
  <c r="BJ109" i="1"/>
  <c r="BI109" i="1"/>
  <c r="BF109" i="1"/>
  <c r="BE109" i="1"/>
  <c r="AV105" i="1"/>
  <c r="BG105" i="1"/>
  <c r="BI105" i="1"/>
  <c r="BE105" i="1"/>
  <c r="BH105" i="1"/>
  <c r="BJ105" i="1"/>
  <c r="BF105" i="1"/>
  <c r="AV88" i="1"/>
  <c r="BI88" i="1"/>
  <c r="BE88" i="1"/>
  <c r="BG88" i="1"/>
  <c r="BJ88" i="1"/>
  <c r="BF88" i="1"/>
  <c r="BH88" i="1"/>
  <c r="AV54" i="1"/>
  <c r="BJ54" i="1"/>
  <c r="BF54" i="1"/>
  <c r="BH54" i="1"/>
  <c r="BG54" i="1"/>
  <c r="BI54" i="1"/>
  <c r="BE54" i="1"/>
  <c r="BH25" i="1"/>
  <c r="BJ25" i="1"/>
  <c r="BF25" i="1"/>
  <c r="BI25" i="1"/>
  <c r="BE25" i="1"/>
  <c r="BG25" i="1"/>
  <c r="BH19" i="1"/>
  <c r="BJ19" i="1"/>
  <c r="BF19" i="1"/>
  <c r="BI19" i="1"/>
  <c r="BE19" i="1"/>
  <c r="BG19" i="1"/>
  <c r="AV104" i="1"/>
  <c r="BI104" i="1"/>
  <c r="BE104" i="1"/>
  <c r="BG104" i="1"/>
  <c r="BJ104" i="1"/>
  <c r="BF104" i="1"/>
  <c r="BH104" i="1"/>
  <c r="AV84" i="1"/>
  <c r="BI84" i="1"/>
  <c r="BE84" i="1"/>
  <c r="BG84" i="1"/>
  <c r="BJ84" i="1"/>
  <c r="BF84" i="1"/>
  <c r="BH84" i="1"/>
  <c r="AV79" i="1"/>
  <c r="BJ79" i="1"/>
  <c r="BI79" i="1"/>
  <c r="BE79" i="1"/>
  <c r="BG79" i="1"/>
  <c r="BH79" i="1"/>
  <c r="BF79" i="1"/>
  <c r="AV71" i="1"/>
  <c r="BJ71" i="1"/>
  <c r="BF71" i="1"/>
  <c r="BH71" i="1"/>
  <c r="BG71" i="1"/>
  <c r="BI71" i="1"/>
  <c r="BE71" i="1"/>
  <c r="AV64" i="1"/>
  <c r="BJ64" i="1"/>
  <c r="BF64" i="1"/>
  <c r="BH64" i="1"/>
  <c r="BG64" i="1"/>
  <c r="BI64" i="1"/>
  <c r="BE64" i="1"/>
  <c r="AV53" i="1"/>
  <c r="BH53" i="1"/>
  <c r="BJ53" i="1"/>
  <c r="BF53" i="1"/>
  <c r="BI53" i="1"/>
  <c r="BE53" i="1"/>
  <c r="BG53" i="1"/>
  <c r="AV49" i="1"/>
  <c r="BH49" i="1"/>
  <c r="AR49" i="1"/>
  <c r="BJ49" i="1"/>
  <c r="BF49" i="1"/>
  <c r="BI49" i="1"/>
  <c r="BE49" i="1"/>
  <c r="BG49" i="1"/>
  <c r="AV42" i="1"/>
  <c r="BJ42" i="1"/>
  <c r="BF42" i="1"/>
  <c r="BH42" i="1"/>
  <c r="BG42" i="1"/>
  <c r="BE42" i="1"/>
  <c r="AR42" i="1"/>
  <c r="BI42" i="1"/>
  <c r="AV35" i="1"/>
  <c r="BJ35" i="1"/>
  <c r="BF35" i="1"/>
  <c r="AR35" i="1"/>
  <c r="BH35" i="1"/>
  <c r="BG35" i="1"/>
  <c r="BI35" i="1"/>
  <c r="BE35" i="1"/>
  <c r="BJ22" i="1"/>
  <c r="BF22" i="1"/>
  <c r="BH22" i="1"/>
  <c r="BG22" i="1"/>
  <c r="BE22" i="1"/>
  <c r="BI22" i="1"/>
  <c r="BJ18" i="1"/>
  <c r="BF18" i="1"/>
  <c r="BH18" i="1"/>
  <c r="BG18" i="1"/>
  <c r="BI18" i="1"/>
  <c r="BE18" i="1"/>
  <c r="AV67" i="1"/>
  <c r="BJ67" i="1"/>
  <c r="BF67" i="1"/>
  <c r="BH67" i="1"/>
  <c r="BG67" i="1"/>
  <c r="BI67" i="1"/>
  <c r="BE67" i="1"/>
  <c r="AV100" i="1"/>
  <c r="BI100" i="1"/>
  <c r="BE100" i="1"/>
  <c r="BG100" i="1"/>
  <c r="BJ100" i="1"/>
  <c r="BF100" i="1"/>
  <c r="BH100" i="1"/>
  <c r="AV96" i="1"/>
  <c r="BI96" i="1"/>
  <c r="BE96" i="1"/>
  <c r="BG96" i="1"/>
  <c r="BJ96" i="1"/>
  <c r="BF96" i="1"/>
  <c r="BH96" i="1"/>
  <c r="AV91" i="1"/>
  <c r="BG91" i="1"/>
  <c r="BI91" i="1"/>
  <c r="BE91" i="1"/>
  <c r="BH91" i="1"/>
  <c r="BJ91" i="1"/>
  <c r="BF91" i="1"/>
  <c r="AV82" i="1"/>
  <c r="BI82" i="1"/>
  <c r="BE82" i="1"/>
  <c r="BG82" i="1"/>
  <c r="BJ82" i="1"/>
  <c r="BF82" i="1"/>
  <c r="BH82" i="1"/>
  <c r="AV78" i="1"/>
  <c r="BJ78" i="1"/>
  <c r="BI78" i="1"/>
  <c r="BF78" i="1"/>
  <c r="BE78" i="1"/>
  <c r="BG78" i="1"/>
  <c r="BH78" i="1"/>
  <c r="AV70" i="1"/>
  <c r="BH70" i="1"/>
  <c r="BJ70" i="1"/>
  <c r="BF70" i="1"/>
  <c r="BI70" i="1"/>
  <c r="BE70" i="1"/>
  <c r="BG70" i="1"/>
  <c r="AV57" i="1"/>
  <c r="BH57" i="1"/>
  <c r="BJ57" i="1"/>
  <c r="BF57" i="1"/>
  <c r="BI57" i="1"/>
  <c r="BE57" i="1"/>
  <c r="BG57" i="1"/>
  <c r="AV41" i="1"/>
  <c r="BH41" i="1"/>
  <c r="AR41" i="1"/>
  <c r="BJ41" i="1"/>
  <c r="BF41" i="1"/>
  <c r="BI41" i="1"/>
  <c r="BE41" i="1"/>
  <c r="BG41" i="1"/>
  <c r="BH21" i="1"/>
  <c r="BJ21" i="1"/>
  <c r="BF21" i="1"/>
  <c r="BI21" i="1"/>
  <c r="BE21" i="1"/>
  <c r="BG21" i="1"/>
  <c r="BG17" i="1"/>
  <c r="BE17" i="1"/>
  <c r="BI17" i="1"/>
  <c r="BF17" i="1"/>
  <c r="BJ17" i="1"/>
  <c r="BH17" i="1"/>
  <c r="AV80" i="1"/>
  <c r="BJ80" i="1"/>
  <c r="BF80" i="1"/>
  <c r="BH80" i="1"/>
  <c r="BG80" i="1"/>
  <c r="BE80" i="1"/>
  <c r="BI80" i="1"/>
  <c r="AV38" i="1"/>
  <c r="BJ38" i="1"/>
  <c r="BF38" i="1"/>
  <c r="BH38" i="1"/>
  <c r="BG38" i="1"/>
  <c r="BI38" i="1"/>
  <c r="BE38" i="1"/>
  <c r="AR38" i="1"/>
  <c r="AV99" i="1"/>
  <c r="BG99" i="1"/>
  <c r="BI99" i="1"/>
  <c r="BE99" i="1"/>
  <c r="BH99" i="1"/>
  <c r="BF99" i="1"/>
  <c r="BJ99" i="1"/>
  <c r="AV89" i="1"/>
  <c r="BG89" i="1"/>
  <c r="BI89" i="1"/>
  <c r="BE89" i="1"/>
  <c r="BH89" i="1"/>
  <c r="BJ89" i="1"/>
  <c r="BF89" i="1"/>
  <c r="AV81" i="1"/>
  <c r="BI81" i="1"/>
  <c r="BH81" i="1"/>
  <c r="BJ81" i="1"/>
  <c r="BG81" i="1"/>
  <c r="BF81" i="1"/>
  <c r="BE81" i="1"/>
  <c r="AV68" i="1"/>
  <c r="BH68" i="1"/>
  <c r="BJ68" i="1"/>
  <c r="BF68" i="1"/>
  <c r="BI68" i="1"/>
  <c r="BE68" i="1"/>
  <c r="BG68" i="1"/>
  <c r="AV55" i="1"/>
  <c r="BH55" i="1"/>
  <c r="AR55" i="1"/>
  <c r="BJ55" i="1"/>
  <c r="BF55" i="1"/>
  <c r="BI55" i="1"/>
  <c r="BE55" i="1"/>
  <c r="BG55" i="1"/>
  <c r="AV39" i="1"/>
  <c r="BH39" i="1"/>
  <c r="BJ39" i="1"/>
  <c r="BF39" i="1"/>
  <c r="AR39" i="1"/>
  <c r="BI39" i="1"/>
  <c r="BE39" i="1"/>
  <c r="BG39" i="1"/>
  <c r="AV27" i="1"/>
  <c r="BJ27" i="1"/>
  <c r="BF27" i="1"/>
  <c r="BH27" i="1"/>
  <c r="BG27" i="1"/>
  <c r="AR27" i="1"/>
  <c r="BI27" i="1"/>
  <c r="BE27" i="1"/>
  <c r="BJ20" i="1"/>
  <c r="BF20" i="1"/>
  <c r="BH20" i="1"/>
  <c r="BG20" i="1"/>
  <c r="BI20" i="1"/>
  <c r="BE20" i="1"/>
  <c r="AV77" i="1"/>
  <c r="BG77" i="1"/>
  <c r="BJ77" i="1"/>
  <c r="BI77" i="1"/>
  <c r="BE77" i="1"/>
  <c r="BF77" i="1"/>
  <c r="BH77" i="1"/>
  <c r="AV95" i="1"/>
  <c r="BG95" i="1"/>
  <c r="BH95" i="1"/>
  <c r="BJ95" i="1"/>
  <c r="BF95" i="1"/>
  <c r="BI95" i="1"/>
  <c r="BE95" i="1"/>
  <c r="BI94" i="1"/>
  <c r="BE94" i="1"/>
  <c r="BH94" i="1"/>
  <c r="BG94" i="1"/>
  <c r="BJ94" i="1"/>
  <c r="BF94" i="1"/>
  <c r="AV20" i="1"/>
  <c r="AV152" i="1"/>
  <c r="AX152" i="1"/>
  <c r="AY152" i="1"/>
  <c r="AV25" i="1"/>
  <c r="AV19" i="1"/>
  <c r="AV22" i="1"/>
  <c r="AV18" i="1"/>
  <c r="AV21" i="1"/>
  <c r="AV17" i="1"/>
  <c r="BC198" i="1"/>
  <c r="BB198" i="1"/>
  <c r="BA198" i="1"/>
  <c r="AZ198" i="1"/>
  <c r="AY198" i="1"/>
  <c r="AX198" i="1"/>
  <c r="AT198" i="1"/>
  <c r="AU198" i="1" s="1"/>
  <c r="AS198" i="1"/>
  <c r="AR197" i="1"/>
  <c r="BC197" i="1"/>
  <c r="BB197" i="1"/>
  <c r="BA197" i="1"/>
  <c r="AZ197" i="1"/>
  <c r="AY197" i="1"/>
  <c r="AX197" i="1"/>
  <c r="AT197" i="1"/>
  <c r="AU197" i="1" s="1"/>
  <c r="AS197" i="1"/>
  <c r="AQ197" i="1"/>
  <c r="AR19" i="1" l="1"/>
  <c r="AR20" i="1"/>
  <c r="AR22" i="1"/>
  <c r="AR54" i="1"/>
  <c r="AR18" i="1"/>
  <c r="AR21" i="1"/>
  <c r="AR53" i="1"/>
  <c r="AR25" i="1"/>
  <c r="AP197" i="1"/>
  <c r="AR198" i="1"/>
  <c r="AQ198" i="1"/>
  <c r="L45" i="1"/>
  <c r="AP198" i="1" l="1"/>
  <c r="AT93" i="1"/>
  <c r="AU93"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3" i="1"/>
  <c r="BC161" i="1"/>
  <c r="BB161" i="1"/>
  <c r="BA161" i="1"/>
  <c r="AZ161" i="1"/>
  <c r="AY161" i="1"/>
  <c r="AX161" i="1"/>
  <c r="AT161" i="1"/>
  <c r="AU161" i="1" s="1"/>
  <c r="AS161" i="1"/>
  <c r="AW161" i="1"/>
  <c r="BC160" i="1"/>
  <c r="BB160" i="1"/>
  <c r="BA160" i="1"/>
  <c r="AZ160" i="1"/>
  <c r="AY160" i="1"/>
  <c r="AX160" i="1"/>
  <c r="AW160" i="1"/>
  <c r="AT160" i="1"/>
  <c r="AU160" i="1" s="1"/>
  <c r="AS160" i="1"/>
  <c r="BC159" i="1"/>
  <c r="BB159" i="1"/>
  <c r="BA159" i="1"/>
  <c r="AZ159" i="1"/>
  <c r="AY159" i="1"/>
  <c r="AX159" i="1"/>
  <c r="AT159" i="1"/>
  <c r="AU159" i="1" s="1"/>
  <c r="AS159" i="1"/>
  <c r="AW159" i="1"/>
  <c r="AR158" i="1"/>
  <c r="BC158" i="1"/>
  <c r="BB158" i="1"/>
  <c r="BA158" i="1"/>
  <c r="AZ158" i="1"/>
  <c r="AY158" i="1"/>
  <c r="AX158" i="1"/>
  <c r="AT158" i="1"/>
  <c r="AU158" i="1" s="1"/>
  <c r="AS158" i="1"/>
  <c r="AW158" i="1"/>
  <c r="BC157" i="1"/>
  <c r="BB157" i="1"/>
  <c r="BA157" i="1"/>
  <c r="AZ157" i="1"/>
  <c r="AY157" i="1"/>
  <c r="AX157" i="1"/>
  <c r="AT157" i="1"/>
  <c r="AU157" i="1" s="1"/>
  <c r="AS157" i="1"/>
  <c r="AW157" i="1"/>
  <c r="BC156" i="1"/>
  <c r="BB156" i="1"/>
  <c r="BA156" i="1"/>
  <c r="AZ156" i="1"/>
  <c r="AY156" i="1"/>
  <c r="AX156" i="1"/>
  <c r="AT156" i="1"/>
  <c r="AU156" i="1" s="1"/>
  <c r="AS156" i="1"/>
  <c r="AW156" i="1"/>
  <c r="AR159" i="1" l="1"/>
  <c r="AR161" i="1"/>
  <c r="AR156" i="1"/>
  <c r="AR157" i="1"/>
  <c r="AR160" i="1"/>
  <c r="AQ157" i="1"/>
  <c r="AQ161" i="1"/>
  <c r="AQ156" i="1"/>
  <c r="AP156" i="1" s="1"/>
  <c r="AQ160" i="1"/>
  <c r="AP160" i="1" s="1"/>
  <c r="AQ159" i="1"/>
  <c r="AP159" i="1" s="1"/>
  <c r="AQ158" i="1"/>
  <c r="AP158" i="1" s="1"/>
  <c r="AP161" i="1" l="1"/>
  <c r="AP157" i="1"/>
  <c r="AW95" i="1" l="1"/>
  <c r="AS95" i="1"/>
  <c r="AT95" i="1"/>
  <c r="AU95" i="1" s="1"/>
  <c r="AX95" i="1"/>
  <c r="AY95" i="1"/>
  <c r="AZ95" i="1"/>
  <c r="BA95" i="1"/>
  <c r="BB95" i="1"/>
  <c r="BC95" i="1"/>
  <c r="BC54" i="1"/>
  <c r="BB54" i="1"/>
  <c r="BA54" i="1"/>
  <c r="AZ54" i="1"/>
  <c r="AY54" i="1"/>
  <c r="AX54" i="1"/>
  <c r="AT54" i="1"/>
  <c r="AU54" i="1" s="1"/>
  <c r="AS54" i="1"/>
  <c r="AW54" i="1"/>
  <c r="BC71" i="1"/>
  <c r="BB71" i="1"/>
  <c r="BA71" i="1"/>
  <c r="AZ71" i="1"/>
  <c r="AY71" i="1"/>
  <c r="AX71" i="1"/>
  <c r="AT71" i="1"/>
  <c r="AU71" i="1" s="1"/>
  <c r="AS71" i="1"/>
  <c r="AW71" i="1"/>
  <c r="AR95" i="1" l="1"/>
  <c r="AQ95" i="1"/>
  <c r="AR71" i="1"/>
  <c r="AQ54" i="1"/>
  <c r="AQ71" i="1"/>
  <c r="AP95" i="1" l="1"/>
  <c r="AP54" i="1"/>
  <c r="AP71" i="1"/>
  <c r="L40" i="1" l="1"/>
  <c r="AW187" i="1" l="1"/>
  <c r="AW125" i="1"/>
  <c r="AW104" i="1"/>
  <c r="AW99" i="1"/>
  <c r="AW93" i="1"/>
  <c r="AW27" i="1"/>
  <c r="BC45" i="1"/>
  <c r="BB45" i="1"/>
  <c r="BA45" i="1"/>
  <c r="AZ45" i="1"/>
  <c r="AY45" i="1"/>
  <c r="AX45" i="1"/>
  <c r="AT45" i="1"/>
  <c r="AU45" i="1" s="1"/>
  <c r="AS45" i="1"/>
  <c r="AW45" i="1"/>
  <c r="AQ45" i="1" l="1"/>
  <c r="AP45" i="1" s="1"/>
  <c r="AS32" i="1"/>
  <c r="AS33" i="1"/>
  <c r="AS35" i="1"/>
  <c r="AS38" i="1"/>
  <c r="AS39" i="1"/>
  <c r="AS40" i="1"/>
  <c r="AS41" i="1"/>
  <c r="AS42" i="1"/>
  <c r="AS46" i="1"/>
  <c r="AS47" i="1"/>
  <c r="AS48" i="1"/>
  <c r="AS49" i="1"/>
  <c r="AS50" i="1"/>
  <c r="AS51" i="1"/>
  <c r="AS52" i="1"/>
  <c r="AS53" i="1"/>
  <c r="AS67" i="1"/>
  <c r="AS68" i="1"/>
  <c r="AS69" i="1"/>
  <c r="AS55" i="1"/>
  <c r="AS57" i="1"/>
  <c r="AS64" i="1"/>
  <c r="AS70" i="1"/>
  <c r="AS72" i="1"/>
  <c r="AS73" i="1"/>
  <c r="AS74" i="1"/>
  <c r="AS75" i="1"/>
  <c r="AS76" i="1"/>
  <c r="AS77" i="1"/>
  <c r="AS78" i="1"/>
  <c r="AS79" i="1"/>
  <c r="AS96" i="1"/>
  <c r="AS97" i="1"/>
  <c r="AS98" i="1"/>
  <c r="AS80" i="1"/>
  <c r="AS81" i="1"/>
  <c r="AS82" i="1"/>
  <c r="AS84" i="1"/>
  <c r="AS85" i="1"/>
  <c r="AS89" i="1"/>
  <c r="AS91" i="1"/>
  <c r="AS92" i="1"/>
  <c r="AS93" i="1"/>
  <c r="AS88" i="1"/>
  <c r="AS94" i="1"/>
  <c r="AS99" i="1"/>
  <c r="AS100" i="1"/>
  <c r="AS104" i="1"/>
  <c r="AS105" i="1"/>
  <c r="AS107" i="1"/>
  <c r="AS109" i="1"/>
  <c r="AS111" i="1"/>
  <c r="AS113" i="1"/>
  <c r="AS115" i="1"/>
  <c r="AS117" i="1"/>
  <c r="AS119" i="1"/>
  <c r="AS121" i="1"/>
  <c r="AS122" i="1"/>
  <c r="AS123" i="1"/>
  <c r="AS124" i="1"/>
  <c r="AS125" i="1"/>
  <c r="AS126" i="1"/>
  <c r="AS138" i="1"/>
  <c r="AS150" i="1"/>
  <c r="AS128" i="1"/>
  <c r="AS140" i="1"/>
  <c r="AS151" i="1"/>
  <c r="AS130" i="1"/>
  <c r="AS142" i="1"/>
  <c r="AS152" i="1"/>
  <c r="AS132" i="1"/>
  <c r="AS144" i="1"/>
  <c r="AS153" i="1"/>
  <c r="AS134" i="1"/>
  <c r="AS146" i="1"/>
  <c r="AS154" i="1"/>
  <c r="AS148" i="1"/>
  <c r="AS155" i="1"/>
  <c r="AS162" i="1"/>
  <c r="AS187" i="1"/>
  <c r="AS188" i="1"/>
  <c r="AS189" i="1"/>
  <c r="AS190" i="1"/>
  <c r="AS191" i="1"/>
  <c r="AS192" i="1"/>
  <c r="AS193" i="1"/>
  <c r="AS194" i="1"/>
  <c r="AS195" i="1"/>
  <c r="AS196" i="1"/>
  <c r="AS18" i="1"/>
  <c r="AS19" i="1"/>
  <c r="AS20" i="1"/>
  <c r="AS21" i="1"/>
  <c r="AS22" i="1"/>
  <c r="AS25" i="1"/>
  <c r="AS27" i="1"/>
  <c r="AS28"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7" i="1"/>
  <c r="AY27" i="1"/>
  <c r="AZ27" i="1"/>
  <c r="BA27" i="1"/>
  <c r="BB27" i="1"/>
  <c r="BC27" i="1"/>
  <c r="AX28" i="1"/>
  <c r="AY28" i="1"/>
  <c r="AZ28" i="1"/>
  <c r="BA28" i="1"/>
  <c r="BB28" i="1"/>
  <c r="BC28" i="1"/>
  <c r="AX32" i="1"/>
  <c r="AY32" i="1"/>
  <c r="AZ32" i="1"/>
  <c r="BA32" i="1"/>
  <c r="BB32" i="1"/>
  <c r="BC32" i="1"/>
  <c r="AX35" i="1"/>
  <c r="AY35" i="1"/>
  <c r="AZ35" i="1"/>
  <c r="BA35" i="1"/>
  <c r="BB35" i="1"/>
  <c r="BC35" i="1"/>
  <c r="AX38" i="1"/>
  <c r="AY38" i="1"/>
  <c r="AZ38" i="1"/>
  <c r="BA38" i="1"/>
  <c r="BB38" i="1"/>
  <c r="BC38" i="1"/>
  <c r="AX39" i="1"/>
  <c r="AY39" i="1"/>
  <c r="AZ39" i="1"/>
  <c r="BA39" i="1"/>
  <c r="BB39" i="1"/>
  <c r="BC39" i="1"/>
  <c r="AX40" i="1"/>
  <c r="AY40" i="1"/>
  <c r="AZ40" i="1"/>
  <c r="BA40" i="1"/>
  <c r="BB40" i="1"/>
  <c r="BC40" i="1"/>
  <c r="AX41" i="1"/>
  <c r="AY41" i="1"/>
  <c r="AZ41" i="1"/>
  <c r="BA41" i="1"/>
  <c r="BB41" i="1"/>
  <c r="BC41" i="1"/>
  <c r="AX42" i="1"/>
  <c r="AY42" i="1"/>
  <c r="AZ42" i="1"/>
  <c r="BA42" i="1"/>
  <c r="BB42" i="1"/>
  <c r="BC42"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52" i="1"/>
  <c r="AY52" i="1"/>
  <c r="AZ52" i="1"/>
  <c r="BA52" i="1"/>
  <c r="BB52" i="1"/>
  <c r="BC52" i="1"/>
  <c r="AX53" i="1"/>
  <c r="AY53" i="1"/>
  <c r="AZ53" i="1"/>
  <c r="BA53" i="1"/>
  <c r="BB53" i="1"/>
  <c r="BC53" i="1"/>
  <c r="AX67" i="1"/>
  <c r="AY67" i="1"/>
  <c r="AZ67" i="1"/>
  <c r="BA67" i="1"/>
  <c r="BB67" i="1"/>
  <c r="BC67" i="1"/>
  <c r="AX68" i="1"/>
  <c r="AY68" i="1"/>
  <c r="AZ68" i="1"/>
  <c r="BA68" i="1"/>
  <c r="BB68" i="1"/>
  <c r="BC68" i="1"/>
  <c r="AX69" i="1"/>
  <c r="AY69" i="1"/>
  <c r="AZ69" i="1"/>
  <c r="BA69" i="1"/>
  <c r="BB69" i="1"/>
  <c r="BC69" i="1"/>
  <c r="AX55" i="1"/>
  <c r="AY55" i="1"/>
  <c r="AZ55" i="1"/>
  <c r="BA55" i="1"/>
  <c r="BB55" i="1"/>
  <c r="BC55" i="1"/>
  <c r="AX57" i="1"/>
  <c r="AY57" i="1"/>
  <c r="AZ57" i="1"/>
  <c r="BA57" i="1"/>
  <c r="BB57" i="1"/>
  <c r="BC57" i="1"/>
  <c r="AX64" i="1"/>
  <c r="AY64" i="1"/>
  <c r="AZ64" i="1"/>
  <c r="BA64" i="1"/>
  <c r="BB64" i="1"/>
  <c r="BC64" i="1"/>
  <c r="AX70" i="1"/>
  <c r="AY70" i="1"/>
  <c r="AZ70" i="1"/>
  <c r="BA70" i="1"/>
  <c r="BB70" i="1"/>
  <c r="BC70"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77" i="1"/>
  <c r="AY77" i="1"/>
  <c r="AZ77" i="1"/>
  <c r="BA77" i="1"/>
  <c r="BB77" i="1"/>
  <c r="BC77" i="1"/>
  <c r="AX78" i="1"/>
  <c r="AY78" i="1"/>
  <c r="AZ78" i="1"/>
  <c r="BA78" i="1"/>
  <c r="BB78" i="1"/>
  <c r="BC78" i="1"/>
  <c r="AX79" i="1"/>
  <c r="AY79" i="1"/>
  <c r="AZ79" i="1"/>
  <c r="BA79" i="1"/>
  <c r="BB79" i="1"/>
  <c r="BC79" i="1"/>
  <c r="AX96" i="1"/>
  <c r="AY96" i="1"/>
  <c r="AZ96" i="1"/>
  <c r="BA96" i="1"/>
  <c r="BB96" i="1"/>
  <c r="BC96" i="1"/>
  <c r="AX97" i="1"/>
  <c r="AY97" i="1"/>
  <c r="AZ97" i="1"/>
  <c r="BA97" i="1"/>
  <c r="BB97" i="1"/>
  <c r="BC97" i="1"/>
  <c r="AX98" i="1"/>
  <c r="AY98" i="1"/>
  <c r="AZ98" i="1"/>
  <c r="BA98" i="1"/>
  <c r="BB98" i="1"/>
  <c r="BC98" i="1"/>
  <c r="AX80" i="1"/>
  <c r="AY80" i="1"/>
  <c r="AZ80" i="1"/>
  <c r="BA80" i="1"/>
  <c r="BB80" i="1"/>
  <c r="BC80" i="1"/>
  <c r="AX81" i="1"/>
  <c r="AY81" i="1"/>
  <c r="AZ81" i="1"/>
  <c r="BA81" i="1"/>
  <c r="BB81" i="1"/>
  <c r="BC81" i="1"/>
  <c r="AX82" i="1"/>
  <c r="AY82" i="1"/>
  <c r="AZ82" i="1"/>
  <c r="BA82" i="1"/>
  <c r="BB82" i="1"/>
  <c r="BC82" i="1"/>
  <c r="AX84" i="1"/>
  <c r="AY84" i="1"/>
  <c r="AZ84" i="1"/>
  <c r="BA84" i="1"/>
  <c r="BB84" i="1"/>
  <c r="BC84" i="1"/>
  <c r="AX85" i="1"/>
  <c r="AY85" i="1"/>
  <c r="AZ85" i="1"/>
  <c r="BA85" i="1"/>
  <c r="BB85" i="1"/>
  <c r="BC85" i="1"/>
  <c r="AX89" i="1"/>
  <c r="AY89" i="1"/>
  <c r="AZ89" i="1"/>
  <c r="BA89" i="1"/>
  <c r="BB89" i="1"/>
  <c r="BC89" i="1"/>
  <c r="AX91" i="1"/>
  <c r="AY91" i="1"/>
  <c r="AZ91" i="1"/>
  <c r="BA91" i="1"/>
  <c r="BB91" i="1"/>
  <c r="BC91" i="1"/>
  <c r="AX92" i="1"/>
  <c r="AY92" i="1"/>
  <c r="AZ92" i="1"/>
  <c r="BA92" i="1"/>
  <c r="BB92" i="1"/>
  <c r="BC92" i="1"/>
  <c r="AX93" i="1"/>
  <c r="AY93" i="1"/>
  <c r="AZ93" i="1"/>
  <c r="BA93" i="1"/>
  <c r="BB93" i="1"/>
  <c r="BC93" i="1"/>
  <c r="AX88" i="1"/>
  <c r="AY88" i="1"/>
  <c r="AZ88" i="1"/>
  <c r="BA88" i="1"/>
  <c r="BB88" i="1"/>
  <c r="BC88" i="1"/>
  <c r="AX94" i="1"/>
  <c r="AY94" i="1"/>
  <c r="AZ94" i="1"/>
  <c r="BA94" i="1"/>
  <c r="BB94" i="1"/>
  <c r="BC94" i="1"/>
  <c r="AX99" i="1"/>
  <c r="AY99" i="1"/>
  <c r="AZ99" i="1"/>
  <c r="BA99" i="1"/>
  <c r="BB99" i="1"/>
  <c r="BC99" i="1"/>
  <c r="AX100" i="1"/>
  <c r="AY100" i="1"/>
  <c r="AZ100" i="1"/>
  <c r="BA100" i="1"/>
  <c r="BB100" i="1"/>
  <c r="BC100" i="1"/>
  <c r="AX104" i="1"/>
  <c r="AY104" i="1"/>
  <c r="AZ104" i="1"/>
  <c r="BA104" i="1"/>
  <c r="BB104" i="1"/>
  <c r="BC104" i="1"/>
  <c r="AX105" i="1"/>
  <c r="AY105" i="1"/>
  <c r="AZ105" i="1"/>
  <c r="BA105" i="1"/>
  <c r="BB105" i="1"/>
  <c r="BC105" i="1"/>
  <c r="AX107" i="1"/>
  <c r="AY107" i="1"/>
  <c r="AZ107" i="1"/>
  <c r="BA107" i="1"/>
  <c r="BB107" i="1"/>
  <c r="BC107" i="1"/>
  <c r="AX109" i="1"/>
  <c r="AY109" i="1"/>
  <c r="AZ109" i="1"/>
  <c r="BA109" i="1"/>
  <c r="BB109" i="1"/>
  <c r="BC109" i="1"/>
  <c r="AX111" i="1"/>
  <c r="AY111" i="1"/>
  <c r="AZ111" i="1"/>
  <c r="BA111" i="1"/>
  <c r="BB111" i="1"/>
  <c r="BC111" i="1"/>
  <c r="AX113" i="1"/>
  <c r="AY113" i="1"/>
  <c r="AZ113" i="1"/>
  <c r="BA113" i="1"/>
  <c r="BB113" i="1"/>
  <c r="BC113" i="1"/>
  <c r="AX115" i="1"/>
  <c r="AY115" i="1"/>
  <c r="AZ115" i="1"/>
  <c r="BA115" i="1"/>
  <c r="BB115" i="1"/>
  <c r="BC115" i="1"/>
  <c r="AX117" i="1"/>
  <c r="AY117" i="1"/>
  <c r="AZ117" i="1"/>
  <c r="BA117" i="1"/>
  <c r="BB117" i="1"/>
  <c r="BC117" i="1"/>
  <c r="AX119" i="1"/>
  <c r="AY119" i="1"/>
  <c r="AZ119" i="1"/>
  <c r="BA119" i="1"/>
  <c r="BB119" i="1"/>
  <c r="BC119" i="1"/>
  <c r="AX121" i="1"/>
  <c r="AY121" i="1"/>
  <c r="AZ121" i="1"/>
  <c r="BA121" i="1"/>
  <c r="BB121" i="1"/>
  <c r="BC121" i="1"/>
  <c r="AX122" i="1"/>
  <c r="AY122" i="1"/>
  <c r="AZ122" i="1"/>
  <c r="BA122" i="1"/>
  <c r="BB122" i="1"/>
  <c r="BC122" i="1"/>
  <c r="AX123" i="1"/>
  <c r="AY123" i="1"/>
  <c r="AZ123" i="1"/>
  <c r="BA123" i="1"/>
  <c r="BB123" i="1"/>
  <c r="BC123" i="1"/>
  <c r="AX124" i="1"/>
  <c r="AY124" i="1"/>
  <c r="AZ124" i="1"/>
  <c r="BA124" i="1"/>
  <c r="BB124" i="1"/>
  <c r="BC124" i="1"/>
  <c r="AX125" i="1"/>
  <c r="AY125" i="1"/>
  <c r="AZ125" i="1"/>
  <c r="BA125" i="1"/>
  <c r="BB125" i="1"/>
  <c r="BC125" i="1"/>
  <c r="AX126" i="1"/>
  <c r="AY126" i="1"/>
  <c r="AZ126" i="1"/>
  <c r="BA126" i="1"/>
  <c r="BB126" i="1"/>
  <c r="BC126" i="1"/>
  <c r="AX138" i="1"/>
  <c r="AY138" i="1"/>
  <c r="AZ138" i="1"/>
  <c r="BA138" i="1"/>
  <c r="BB138" i="1"/>
  <c r="BC138" i="1"/>
  <c r="AX150" i="1"/>
  <c r="AY150" i="1"/>
  <c r="AZ150" i="1"/>
  <c r="BA150" i="1"/>
  <c r="BB150" i="1"/>
  <c r="BC150" i="1"/>
  <c r="AX128" i="1"/>
  <c r="AY128" i="1"/>
  <c r="AZ128" i="1"/>
  <c r="BA128" i="1"/>
  <c r="BB128" i="1"/>
  <c r="BC128" i="1"/>
  <c r="AX140" i="1"/>
  <c r="AY140" i="1"/>
  <c r="AZ140" i="1"/>
  <c r="BA140" i="1"/>
  <c r="BB140" i="1"/>
  <c r="BC140" i="1"/>
  <c r="AX151" i="1"/>
  <c r="AY151" i="1"/>
  <c r="AZ151" i="1"/>
  <c r="BA151" i="1"/>
  <c r="BB151" i="1"/>
  <c r="BC151" i="1"/>
  <c r="AX130" i="1"/>
  <c r="AY130" i="1"/>
  <c r="AZ130" i="1"/>
  <c r="BA130" i="1"/>
  <c r="BB130" i="1"/>
  <c r="BC130" i="1"/>
  <c r="AX142" i="1"/>
  <c r="AY142" i="1"/>
  <c r="AZ142" i="1"/>
  <c r="BA142" i="1"/>
  <c r="BB142" i="1"/>
  <c r="BC142" i="1"/>
  <c r="AZ152" i="1"/>
  <c r="BA152" i="1"/>
  <c r="BB152" i="1"/>
  <c r="BC152" i="1"/>
  <c r="AX132" i="1"/>
  <c r="AY132" i="1"/>
  <c r="AZ132" i="1"/>
  <c r="BA132" i="1"/>
  <c r="BB132" i="1"/>
  <c r="BC132" i="1"/>
  <c r="AX144" i="1"/>
  <c r="AY144" i="1"/>
  <c r="AZ144" i="1"/>
  <c r="BA144" i="1"/>
  <c r="BB144" i="1"/>
  <c r="BC144" i="1"/>
  <c r="AX153" i="1"/>
  <c r="AY153" i="1"/>
  <c r="AZ153" i="1"/>
  <c r="BA153" i="1"/>
  <c r="BB153" i="1"/>
  <c r="BC153" i="1"/>
  <c r="AX134" i="1"/>
  <c r="AY134" i="1"/>
  <c r="AZ134" i="1"/>
  <c r="BA134" i="1"/>
  <c r="BB134" i="1"/>
  <c r="BC134" i="1"/>
  <c r="AX146" i="1"/>
  <c r="AY146" i="1"/>
  <c r="AZ146" i="1"/>
  <c r="BA146" i="1"/>
  <c r="BB146" i="1"/>
  <c r="BC146" i="1"/>
  <c r="AX154" i="1"/>
  <c r="AY154" i="1"/>
  <c r="AZ154" i="1"/>
  <c r="BA154" i="1"/>
  <c r="BB154" i="1"/>
  <c r="BC154" i="1"/>
  <c r="AX148" i="1"/>
  <c r="AY148" i="1"/>
  <c r="AZ148" i="1"/>
  <c r="BA148" i="1"/>
  <c r="BB148" i="1"/>
  <c r="BC148" i="1"/>
  <c r="AX155" i="1"/>
  <c r="AY155" i="1"/>
  <c r="AZ155" i="1"/>
  <c r="BA155" i="1"/>
  <c r="BB155" i="1"/>
  <c r="BC155" i="1"/>
  <c r="AX162" i="1"/>
  <c r="AY162" i="1"/>
  <c r="AZ162" i="1"/>
  <c r="BA162" i="1"/>
  <c r="BB162" i="1"/>
  <c r="BC162"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X194" i="1"/>
  <c r="AY194" i="1"/>
  <c r="AZ194" i="1"/>
  <c r="BA194" i="1"/>
  <c r="BB194" i="1"/>
  <c r="BC194" i="1"/>
  <c r="AX195" i="1"/>
  <c r="AY195" i="1"/>
  <c r="AZ195" i="1"/>
  <c r="BA195" i="1"/>
  <c r="BB195" i="1"/>
  <c r="BC195" i="1"/>
  <c r="AX196" i="1"/>
  <c r="AY196" i="1"/>
  <c r="AZ196" i="1"/>
  <c r="BA196" i="1"/>
  <c r="BB196" i="1"/>
  <c r="BC196" i="1"/>
  <c r="AY33" i="1"/>
  <c r="AZ33" i="1"/>
  <c r="BA33" i="1"/>
  <c r="BB33" i="1"/>
  <c r="BC33" i="1"/>
  <c r="AX33" i="1"/>
  <c r="AW94" i="1"/>
  <c r="AT94" i="1"/>
  <c r="AU94" i="1" s="1"/>
  <c r="AW88" i="1"/>
  <c r="AT88" i="1"/>
  <c r="AU88" i="1" s="1"/>
  <c r="AP125" i="1"/>
  <c r="AP16" i="1"/>
  <c r="AS16" i="1"/>
  <c r="AP27" i="1"/>
  <c r="AR99" i="1"/>
  <c r="AR104" i="1"/>
  <c r="AR125" i="1"/>
  <c r="AR187" i="1"/>
  <c r="AR16" i="1"/>
  <c r="AX16" i="1"/>
  <c r="AY16" i="1"/>
  <c r="AZ16" i="1"/>
  <c r="BA16" i="1"/>
  <c r="BB16" i="1"/>
  <c r="BC16" i="1"/>
  <c r="AT191" i="1"/>
  <c r="AU191" i="1" s="1"/>
  <c r="AW191" i="1"/>
  <c r="AW190" i="1"/>
  <c r="AT190" i="1"/>
  <c r="AU190" i="1" s="1"/>
  <c r="AT189" i="1"/>
  <c r="AU189" i="1" s="1"/>
  <c r="AW189" i="1"/>
  <c r="AT188" i="1"/>
  <c r="AU188" i="1" s="1"/>
  <c r="AW188" i="1"/>
  <c r="AT187" i="1"/>
  <c r="AU187" i="1" s="1"/>
  <c r="AQ187" i="1"/>
  <c r="AP187" i="1" s="1"/>
  <c r="AT192" i="1"/>
  <c r="AU192" i="1" s="1"/>
  <c r="AW192" i="1"/>
  <c r="AR192" i="1"/>
  <c r="AW193" i="1"/>
  <c r="AT193" i="1"/>
  <c r="AU193" i="1" s="1"/>
  <c r="AW194" i="1"/>
  <c r="AT194" i="1"/>
  <c r="AU194" i="1" s="1"/>
  <c r="AW195" i="1"/>
  <c r="AT195" i="1"/>
  <c r="AU195" i="1" s="1"/>
  <c r="AW196" i="1"/>
  <c r="AT196" i="1"/>
  <c r="AU196" i="1" s="1"/>
  <c r="AT151" i="1"/>
  <c r="AU151" i="1" s="1"/>
  <c r="AW151" i="1"/>
  <c r="AT140" i="1"/>
  <c r="AU140" i="1" s="1"/>
  <c r="AW140" i="1"/>
  <c r="AT128" i="1"/>
  <c r="AU128" i="1" s="1"/>
  <c r="AW128" i="1"/>
  <c r="AT126" i="1"/>
  <c r="AU126" i="1" s="1"/>
  <c r="AT138" i="1"/>
  <c r="AU138" i="1" s="1"/>
  <c r="AT150" i="1"/>
  <c r="AU150" i="1" s="1"/>
  <c r="AT130" i="1"/>
  <c r="AU130" i="1" s="1"/>
  <c r="AT142" i="1"/>
  <c r="AU142" i="1" s="1"/>
  <c r="AT152" i="1"/>
  <c r="AU152" i="1" s="1"/>
  <c r="AT132" i="1"/>
  <c r="AU132" i="1" s="1"/>
  <c r="AT144" i="1"/>
  <c r="AU144" i="1" s="1"/>
  <c r="AT153" i="1"/>
  <c r="AU153" i="1" s="1"/>
  <c r="AT134" i="1"/>
  <c r="AU134" i="1" s="1"/>
  <c r="AT146" i="1"/>
  <c r="AU146" i="1" s="1"/>
  <c r="AT154" i="1"/>
  <c r="AU154" i="1" s="1"/>
  <c r="AT148" i="1"/>
  <c r="AU148" i="1" s="1"/>
  <c r="AT155" i="1"/>
  <c r="AU155" i="1" s="1"/>
  <c r="AT162" i="1"/>
  <c r="AU162" i="1" s="1"/>
  <c r="AW162" i="1"/>
  <c r="AR162" i="1"/>
  <c r="AT28" i="1"/>
  <c r="AU28" i="1" s="1"/>
  <c r="AW28" i="1"/>
  <c r="AQ99" i="1"/>
  <c r="AP99" i="1" s="1"/>
  <c r="AT17" i="1"/>
  <c r="AU17" i="1" s="1"/>
  <c r="AT18" i="1"/>
  <c r="AU18" i="1" s="1"/>
  <c r="AT19" i="1"/>
  <c r="AU19" i="1" s="1"/>
  <c r="AT20" i="1"/>
  <c r="AU20" i="1" s="1"/>
  <c r="AT21" i="1"/>
  <c r="AU21" i="1" s="1"/>
  <c r="AT22" i="1"/>
  <c r="AU22" i="1" s="1"/>
  <c r="AT25" i="1"/>
  <c r="AU25" i="1" s="1"/>
  <c r="AT32" i="1"/>
  <c r="AU32" i="1" s="1"/>
  <c r="AT33" i="1"/>
  <c r="AU33" i="1" s="1"/>
  <c r="AT35" i="1"/>
  <c r="AU35" i="1" s="1"/>
  <c r="AT38" i="1"/>
  <c r="AU38" i="1" s="1"/>
  <c r="AT39" i="1"/>
  <c r="AU39" i="1" s="1"/>
  <c r="AT40" i="1"/>
  <c r="AU40" i="1" s="1"/>
  <c r="AT41" i="1"/>
  <c r="AU41" i="1" s="1"/>
  <c r="AT42" i="1"/>
  <c r="AU42" i="1" s="1"/>
  <c r="AT46" i="1"/>
  <c r="AU46" i="1" s="1"/>
  <c r="AT47" i="1"/>
  <c r="AU47" i="1" s="1"/>
  <c r="AT48" i="1"/>
  <c r="AU48" i="1" s="1"/>
  <c r="AT49" i="1"/>
  <c r="AU49" i="1" s="1"/>
  <c r="AT50" i="1"/>
  <c r="AU50" i="1" s="1"/>
  <c r="AT51" i="1"/>
  <c r="AU51" i="1" s="1"/>
  <c r="AT52" i="1"/>
  <c r="AU52" i="1" s="1"/>
  <c r="AT53" i="1"/>
  <c r="AU53" i="1" s="1"/>
  <c r="AT67" i="1"/>
  <c r="AU67" i="1" s="1"/>
  <c r="AT68" i="1"/>
  <c r="AU68" i="1" s="1"/>
  <c r="AT69" i="1"/>
  <c r="AU69" i="1" s="1"/>
  <c r="AT55" i="1"/>
  <c r="AU55" i="1" s="1"/>
  <c r="AT57" i="1"/>
  <c r="AU57" i="1" s="1"/>
  <c r="AT64" i="1"/>
  <c r="AU64" i="1" s="1"/>
  <c r="AT70" i="1"/>
  <c r="AU70" i="1" s="1"/>
  <c r="AT72" i="1"/>
  <c r="AU72" i="1" s="1"/>
  <c r="AT73" i="1"/>
  <c r="AU73" i="1" s="1"/>
  <c r="AT74" i="1"/>
  <c r="AU74" i="1" s="1"/>
  <c r="AT75" i="1"/>
  <c r="AU75" i="1" s="1"/>
  <c r="AT76" i="1"/>
  <c r="AU76" i="1" s="1"/>
  <c r="AT77" i="1"/>
  <c r="AU77" i="1" s="1"/>
  <c r="AT78" i="1"/>
  <c r="AU78" i="1" s="1"/>
  <c r="AT79" i="1"/>
  <c r="AU79" i="1" s="1"/>
  <c r="AT96" i="1"/>
  <c r="AU96" i="1" s="1"/>
  <c r="AT97" i="1"/>
  <c r="AU97" i="1" s="1"/>
  <c r="AT98" i="1"/>
  <c r="AU98" i="1" s="1"/>
  <c r="AT80" i="1"/>
  <c r="AU80" i="1" s="1"/>
  <c r="AT81" i="1"/>
  <c r="AU81" i="1" s="1"/>
  <c r="AT82" i="1"/>
  <c r="AU82" i="1" s="1"/>
  <c r="AT84" i="1"/>
  <c r="AU84" i="1" s="1"/>
  <c r="AT85" i="1"/>
  <c r="AU85" i="1" s="1"/>
  <c r="AT89" i="1"/>
  <c r="AU89" i="1" s="1"/>
  <c r="AT91" i="1"/>
  <c r="AU91" i="1" s="1"/>
  <c r="AT92" i="1"/>
  <c r="AU92" i="1" s="1"/>
  <c r="AT99" i="1"/>
  <c r="AU99" i="1" s="1"/>
  <c r="AT100" i="1"/>
  <c r="AU100" i="1" s="1"/>
  <c r="AT104" i="1"/>
  <c r="AT105" i="1"/>
  <c r="AU105" i="1" s="1"/>
  <c r="AT107" i="1"/>
  <c r="AU107" i="1" s="1"/>
  <c r="AT109" i="1"/>
  <c r="AU109" i="1" s="1"/>
  <c r="AT111" i="1"/>
  <c r="AU111" i="1" s="1"/>
  <c r="AT113" i="1"/>
  <c r="AU113" i="1" s="1"/>
  <c r="AT115" i="1"/>
  <c r="AU115" i="1" s="1"/>
  <c r="AT117" i="1"/>
  <c r="AU117" i="1" s="1"/>
  <c r="AT119" i="1"/>
  <c r="AU119" i="1" s="1"/>
  <c r="AT121" i="1"/>
  <c r="AU121" i="1" s="1"/>
  <c r="AT122" i="1"/>
  <c r="AU122" i="1" s="1"/>
  <c r="AT123" i="1"/>
  <c r="AU123" i="1" s="1"/>
  <c r="AT124" i="1"/>
  <c r="AU124" i="1" s="1"/>
  <c r="AT16" i="1"/>
  <c r="CN155" i="1" l="1"/>
  <c r="CQ155" i="1"/>
  <c r="CM155" i="1"/>
  <c r="CT155" i="1"/>
  <c r="CL155" i="1"/>
  <c r="CS155" i="1"/>
  <c r="CK155" i="1"/>
  <c r="CR155" i="1"/>
  <c r="CJ155" i="1"/>
  <c r="CP155" i="1"/>
  <c r="CO155" i="1"/>
  <c r="CQ154" i="1"/>
  <c r="CM154" i="1"/>
  <c r="CS154" i="1"/>
  <c r="CR154" i="1"/>
  <c r="CP154" i="1"/>
  <c r="CO154" i="1"/>
  <c r="CN154" i="1"/>
  <c r="CT154" i="1"/>
  <c r="CL154" i="1"/>
  <c r="CK154" i="1"/>
  <c r="CJ154" i="1"/>
  <c r="CT153" i="1"/>
  <c r="CL153" i="1"/>
  <c r="CO153" i="1"/>
  <c r="CN153" i="1"/>
  <c r="CM153" i="1"/>
  <c r="CS153" i="1"/>
  <c r="CK153" i="1"/>
  <c r="CR153" i="1"/>
  <c r="CJ153" i="1"/>
  <c r="CQ153" i="1"/>
  <c r="CP153" i="1"/>
  <c r="CO152" i="1"/>
  <c r="CR152" i="1"/>
  <c r="CL152" i="1"/>
  <c r="CQ152" i="1"/>
  <c r="CS152" i="1"/>
  <c r="CP152" i="1"/>
  <c r="CJ152" i="1"/>
  <c r="CT152" i="1"/>
  <c r="CN152" i="1"/>
  <c r="CM152" i="1"/>
  <c r="CK152" i="1"/>
  <c r="CM150" i="1"/>
  <c r="CJ150" i="1"/>
  <c r="CP150" i="1"/>
  <c r="CO150" i="1"/>
  <c r="CN150" i="1"/>
  <c r="CT150" i="1"/>
  <c r="CL150" i="1"/>
  <c r="CS150" i="1"/>
  <c r="CK150" i="1"/>
  <c r="CR150" i="1"/>
  <c r="CQ150" i="1"/>
  <c r="CR151" i="1"/>
  <c r="CJ151" i="1"/>
  <c r="CN151" i="1"/>
  <c r="CT151" i="1"/>
  <c r="CS151" i="1"/>
  <c r="CQ151" i="1"/>
  <c r="CP151" i="1"/>
  <c r="CO151" i="1"/>
  <c r="CM151" i="1"/>
  <c r="CL151" i="1"/>
  <c r="CK151" i="1"/>
  <c r="AQ104" i="1"/>
  <c r="AP104" i="1" s="1"/>
  <c r="AU104" i="1"/>
  <c r="AQ190" i="1"/>
  <c r="AR190" i="1"/>
  <c r="AQ162" i="1"/>
  <c r="AP162" i="1" s="1"/>
  <c r="AQ192" i="1"/>
  <c r="AP192" i="1" s="1"/>
  <c r="AQ93" i="1"/>
  <c r="AP93" i="1" s="1"/>
  <c r="AR88" i="1"/>
  <c r="AR94" i="1"/>
  <c r="AQ88" i="1"/>
  <c r="AR144" i="1"/>
  <c r="AR194" i="1"/>
  <c r="AQ94" i="1"/>
  <c r="AR188" i="1"/>
  <c r="AR189" i="1"/>
  <c r="AR151" i="1"/>
  <c r="AR153" i="1"/>
  <c r="AR126" i="1"/>
  <c r="AR128" i="1"/>
  <c r="AR191" i="1"/>
  <c r="AR148" i="1"/>
  <c r="AR140" i="1"/>
  <c r="AR155" i="1"/>
  <c r="AR196" i="1"/>
  <c r="AR146" i="1"/>
  <c r="AR150" i="1"/>
  <c r="AR138" i="1"/>
  <c r="AR195" i="1"/>
  <c r="AR152" i="1"/>
  <c r="AR134" i="1"/>
  <c r="AR132" i="1"/>
  <c r="AR142" i="1"/>
  <c r="AR193" i="1"/>
  <c r="AR154" i="1"/>
  <c r="AR130" i="1"/>
  <c r="AQ193" i="1"/>
  <c r="AQ196" i="1"/>
  <c r="AQ195" i="1"/>
  <c r="AP195" i="1" s="1"/>
  <c r="AQ194" i="1"/>
  <c r="AQ189" i="1"/>
  <c r="AQ191" i="1"/>
  <c r="AQ188" i="1"/>
  <c r="AQ151" i="1"/>
  <c r="AQ140" i="1"/>
  <c r="AQ128" i="1"/>
  <c r="AQ28" i="1"/>
  <c r="AW32" i="1"/>
  <c r="AW40" i="1"/>
  <c r="AW53" i="1"/>
  <c r="AW69" i="1"/>
  <c r="AW70" i="1"/>
  <c r="AW77" i="1"/>
  <c r="AW78" i="1"/>
  <c r="AW79" i="1"/>
  <c r="AW96" i="1"/>
  <c r="AW80" i="1"/>
  <c r="AW85" i="1"/>
  <c r="AW92" i="1"/>
  <c r="AV16" i="1"/>
  <c r="AW16" i="1" s="1"/>
  <c r="BF16" i="1"/>
  <c r="BG16" i="1"/>
  <c r="BH16" i="1"/>
  <c r="BI16" i="1"/>
  <c r="BJ16" i="1"/>
  <c r="BE16" i="1"/>
  <c r="BD16" i="1" s="1"/>
  <c r="AQ32" i="1"/>
  <c r="AQ96" i="1"/>
  <c r="AQ92" i="1"/>
  <c r="AQ16" i="1"/>
  <c r="AP191" i="1" l="1"/>
  <c r="AP94" i="1"/>
  <c r="AP190" i="1"/>
  <c r="AP96" i="1"/>
  <c r="AR96" i="1"/>
  <c r="AR80" i="1"/>
  <c r="AP32" i="1"/>
  <c r="AQ80" i="1"/>
  <c r="AP80" i="1" s="1"/>
  <c r="AQ77" i="1"/>
  <c r="AP88" i="1"/>
  <c r="AQ85" i="1"/>
  <c r="AQ78" i="1"/>
  <c r="AR92" i="1"/>
  <c r="AP92" i="1" s="1"/>
  <c r="AR85" i="1"/>
  <c r="AR79" i="1"/>
  <c r="AQ79" i="1"/>
  <c r="AR78" i="1"/>
  <c r="AR77" i="1"/>
  <c r="AR69" i="1"/>
  <c r="AQ69" i="1"/>
  <c r="AQ70" i="1"/>
  <c r="AR70" i="1"/>
  <c r="AQ53" i="1"/>
  <c r="AQ40" i="1"/>
  <c r="AP40" i="1" s="1"/>
  <c r="AP193" i="1"/>
  <c r="AP151" i="1"/>
  <c r="AP28" i="1"/>
  <c r="AP194" i="1"/>
  <c r="AP189" i="1"/>
  <c r="AP188" i="1"/>
  <c r="AP128" i="1"/>
  <c r="AP196" i="1"/>
  <c r="AP140" i="1"/>
  <c r="AR123" i="1"/>
  <c r="AR117" i="1"/>
  <c r="AR109" i="1"/>
  <c r="AR84" i="1"/>
  <c r="AR98" i="1"/>
  <c r="AR76" i="1"/>
  <c r="AR72" i="1"/>
  <c r="AR57" i="1"/>
  <c r="AR122" i="1"/>
  <c r="AR121" i="1"/>
  <c r="AR113" i="1"/>
  <c r="AR105" i="1"/>
  <c r="AR107" i="1"/>
  <c r="AR115" i="1"/>
  <c r="AR124" i="1"/>
  <c r="AR119" i="1"/>
  <c r="AR111" i="1"/>
  <c r="AR100" i="1"/>
  <c r="AR67" i="1"/>
  <c r="AR89" i="1"/>
  <c r="AR81" i="1"/>
  <c r="AR74" i="1"/>
  <c r="AR91" i="1"/>
  <c r="AR17" i="1"/>
  <c r="AR82" i="1"/>
  <c r="AR97" i="1"/>
  <c r="AR75" i="1"/>
  <c r="AR73" i="1"/>
  <c r="AR64" i="1"/>
  <c r="AR68" i="1"/>
  <c r="AP77" i="1" l="1"/>
  <c r="AP78" i="1"/>
  <c r="AP69" i="1"/>
  <c r="AP85" i="1"/>
  <c r="AP79" i="1"/>
  <c r="AP70" i="1"/>
  <c r="AP53" i="1"/>
  <c r="L92" i="1"/>
  <c r="L69" i="1"/>
  <c r="L85" i="1"/>
  <c r="AW18" i="1" l="1"/>
  <c r="AW19" i="1"/>
  <c r="AW20" i="1"/>
  <c r="AW21" i="1"/>
  <c r="AW22" i="1"/>
  <c r="AW25" i="1"/>
  <c r="AW33" i="1"/>
  <c r="AW35" i="1"/>
  <c r="AW38" i="1"/>
  <c r="AW39" i="1"/>
  <c r="AW41" i="1"/>
  <c r="AW42" i="1"/>
  <c r="AW46" i="1"/>
  <c r="AW47" i="1"/>
  <c r="AW48" i="1"/>
  <c r="AW49" i="1"/>
  <c r="AW50" i="1"/>
  <c r="AW51" i="1"/>
  <c r="AW52" i="1"/>
  <c r="AW67" i="1"/>
  <c r="AW68" i="1"/>
  <c r="AW55" i="1"/>
  <c r="AW57" i="1"/>
  <c r="AW64" i="1"/>
  <c r="AW72" i="1"/>
  <c r="AW73" i="1"/>
  <c r="AW74" i="1"/>
  <c r="AW75" i="1"/>
  <c r="AW76" i="1"/>
  <c r="AW97" i="1"/>
  <c r="AW98" i="1"/>
  <c r="AW81" i="1"/>
  <c r="AW82" i="1"/>
  <c r="AW84" i="1"/>
  <c r="AW89" i="1"/>
  <c r="AW91" i="1"/>
  <c r="AW100" i="1"/>
  <c r="AW105" i="1"/>
  <c r="AW107" i="1"/>
  <c r="AW109" i="1"/>
  <c r="AW111" i="1"/>
  <c r="AW113" i="1"/>
  <c r="AW115" i="1"/>
  <c r="AW117" i="1"/>
  <c r="AW119" i="1"/>
  <c r="AW121" i="1"/>
  <c r="AW122" i="1"/>
  <c r="AW123" i="1"/>
  <c r="AW124" i="1"/>
  <c r="AW126" i="1"/>
  <c r="AW138" i="1"/>
  <c r="AW150" i="1"/>
  <c r="AW130" i="1"/>
  <c r="AW142" i="1"/>
  <c r="AW152" i="1"/>
  <c r="AW132" i="1"/>
  <c r="AW144" i="1"/>
  <c r="AW153" i="1"/>
  <c r="AW134" i="1"/>
  <c r="AW146" i="1"/>
  <c r="AW154" i="1"/>
  <c r="AW148" i="1"/>
  <c r="AW155" i="1"/>
  <c r="AQ134" i="1" l="1"/>
  <c r="AP134" i="1" s="1"/>
  <c r="AQ130" i="1"/>
  <c r="AP130" i="1" s="1"/>
  <c r="AQ155" i="1"/>
  <c r="AP155" i="1" s="1"/>
  <c r="AQ142" i="1"/>
  <c r="AP142" i="1" s="1"/>
  <c r="AQ153" i="1"/>
  <c r="AP153" i="1" s="1"/>
  <c r="AQ154" i="1"/>
  <c r="AP154" i="1" s="1"/>
  <c r="AQ126" i="1"/>
  <c r="AP126" i="1" s="1"/>
  <c r="AQ150" i="1"/>
  <c r="AP150" i="1" s="1"/>
  <c r="AQ146" i="1"/>
  <c r="AP146" i="1" s="1"/>
  <c r="AQ152" i="1"/>
  <c r="AP152" i="1" s="1"/>
  <c r="AQ132" i="1"/>
  <c r="AP132" i="1" s="1"/>
  <c r="AQ148" i="1"/>
  <c r="AP148" i="1" s="1"/>
  <c r="AQ144" i="1"/>
  <c r="AP144" i="1" s="1"/>
  <c r="AQ138" i="1"/>
  <c r="AP138" i="1" s="1"/>
  <c r="AQ55" i="1"/>
  <c r="AP55" i="1" s="1"/>
  <c r="AQ73" i="1"/>
  <c r="AP73" i="1" s="1"/>
  <c r="AQ39" i="1"/>
  <c r="AP39" i="1" s="1"/>
  <c r="AQ100" i="1"/>
  <c r="AP100" i="1" s="1"/>
  <c r="AQ89" i="1"/>
  <c r="AP89" i="1" s="1"/>
  <c r="AQ74" i="1"/>
  <c r="AP74" i="1" s="1"/>
  <c r="AQ64" i="1"/>
  <c r="AP64" i="1" s="1"/>
  <c r="AQ50" i="1"/>
  <c r="AP50" i="1" s="1"/>
  <c r="AQ41" i="1"/>
  <c r="AP41" i="1" s="1"/>
  <c r="AQ21" i="1"/>
  <c r="AP21" i="1" s="1"/>
  <c r="AQ121" i="1"/>
  <c r="AP121" i="1" s="1"/>
  <c r="AQ113" i="1"/>
  <c r="AP113" i="1" s="1"/>
  <c r="AQ105" i="1"/>
  <c r="AP105" i="1" s="1"/>
  <c r="AQ91" i="1"/>
  <c r="AP91" i="1" s="1"/>
  <c r="AQ97" i="1"/>
  <c r="AP97" i="1" s="1"/>
  <c r="AQ75" i="1"/>
  <c r="AP75" i="1" s="1"/>
  <c r="AQ51" i="1"/>
  <c r="AP51" i="1" s="1"/>
  <c r="AQ42" i="1"/>
  <c r="AP42" i="1" s="1"/>
  <c r="AQ22" i="1"/>
  <c r="AP22" i="1" s="1"/>
  <c r="AQ82" i="1"/>
  <c r="AP82" i="1" s="1"/>
  <c r="AQ68" i="1"/>
  <c r="AP68" i="1" s="1"/>
  <c r="AQ72" i="1"/>
  <c r="AP72" i="1" s="1"/>
  <c r="AQ19" i="1"/>
  <c r="AP19" i="1" s="1"/>
  <c r="AQ57" i="1"/>
  <c r="AP57" i="1" s="1"/>
  <c r="AQ122" i="1"/>
  <c r="AP122" i="1" s="1"/>
  <c r="AQ115" i="1"/>
  <c r="AP115" i="1" s="1"/>
  <c r="AQ107" i="1"/>
  <c r="AP107" i="1" s="1"/>
  <c r="AQ98" i="1"/>
  <c r="AP98" i="1" s="1"/>
  <c r="AQ76" i="1"/>
  <c r="AP76" i="1" s="1"/>
  <c r="AQ52" i="1"/>
  <c r="AP52" i="1" s="1"/>
  <c r="AQ46" i="1"/>
  <c r="AP46" i="1" s="1"/>
  <c r="AQ25" i="1"/>
  <c r="AP25" i="1" s="1"/>
  <c r="AQ18" i="1"/>
  <c r="AP18" i="1" s="1"/>
  <c r="AQ84" i="1"/>
  <c r="AP84" i="1" s="1"/>
  <c r="AQ49" i="1"/>
  <c r="AP49" i="1" s="1"/>
  <c r="AQ123" i="1"/>
  <c r="AP123" i="1" s="1"/>
  <c r="AQ117" i="1"/>
  <c r="AP117" i="1" s="1"/>
  <c r="AQ109" i="1"/>
  <c r="AP109" i="1" s="1"/>
  <c r="AQ47" i="1"/>
  <c r="AP47" i="1" s="1"/>
  <c r="AQ35" i="1"/>
  <c r="AP35" i="1" s="1"/>
  <c r="AQ38" i="1"/>
  <c r="AP38" i="1" s="1"/>
  <c r="AQ20" i="1"/>
  <c r="AP20" i="1" s="1"/>
  <c r="AQ124" i="1"/>
  <c r="AP124" i="1" s="1"/>
  <c r="AQ119" i="1"/>
  <c r="AP119" i="1" s="1"/>
  <c r="AQ111" i="1"/>
  <c r="AP111" i="1" s="1"/>
  <c r="AQ81" i="1"/>
  <c r="AP81" i="1" s="1"/>
  <c r="AQ67" i="1"/>
  <c r="AP67" i="1" s="1"/>
  <c r="AQ48" i="1"/>
  <c r="AP48" i="1" s="1"/>
  <c r="AQ33" i="1"/>
  <c r="AP33"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tc={404AEA55-49DC-4821-A85F-BEA1FF07652D}</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32"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8"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BU201" authorId="2" shapeId="0" xr:uid="{404AEA55-49DC-4821-A85F-BEA1FF07652D}">
      <text>
        <t>[Threaded comment]
Your version of Excel allows you to read this threaded comment; however, any edits to it will get removed if the file is opened in a newer version of Excel. Learn more: https://go.microsoft.com/fwlink/?linkid=870924
Comment:
    These are not applicable, since input values do not have a reference value of "1".</t>
      </text>
    </comment>
    <comment ref="AM278" authorId="3"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80" authorId="3"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sharedStrings.xml><?xml version="1.0" encoding="utf-8"?>
<sst xmlns="http://schemas.openxmlformats.org/spreadsheetml/2006/main" count="4668" uniqueCount="1165">
  <si>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</si>
  <si>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</si>
  <si>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</si>
  <si>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</si>
  <si>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</si>
  <si>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</si>
  <si>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</si>
  <si>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</si>
  <si>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</si>
  <si>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</si>
  <si>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</si>
  <si>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</si>
  <si>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</si>
  <si>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</si>
  <si>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</si>
  <si>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</si>
  <si>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</si>
  <si>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</si>
  <si>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</si>
  <si>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</si>
  <si>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</si>
  <si>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</si>
  <si>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</si>
  <si>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</si>
  <si>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</si>
  <si>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</si>
  <si>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</si>
  <si>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</si>
  <si>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</si>
  <si>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</si>
  <si>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</si>
  <si>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</si>
  <si>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</si>
  <si>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</si>
  <si>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</si>
  <si>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</si>
  <si>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</si>
  <si>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</si>
  <si>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</si>
  <si>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</si>
  <si>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</si>
  <si>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</si>
  <si>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</si>
  <si>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</si>
  <si>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</si>
  <si>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</si>
  <si>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</si>
  <si>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</si>
  <si>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</si>
  <si>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</si>
  <si>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</si>
  <si>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</si>
  <si>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</si>
  <si>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</si>
  <si>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</si>
  <si>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</si>
  <si>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</si>
  <si>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</si>
  <si>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</si>
  <si>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</si>
  <si>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</si>
  <si>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</si>
  <si>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</si>
  <si>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</si>
  <si>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</si>
  <si>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</si>
  <si>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</si>
  <si>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</si>
  <si>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</si>
  <si>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</si>
  <si>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</si>
  <si>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</si>
  <si>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</si>
  <si>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</si>
  <si>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</si>
  <si>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</si>
  <si>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</si>
  <si>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</si>
  <si>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</si>
  <si>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</si>
  <si>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</si>
  <si>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</si>
  <si>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</si>
  <si>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</si>
  <si>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</si>
  <si>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</si>
  <si>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</si>
  <si>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</si>
  <si>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</si>
  <si>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</si>
  <si>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</si>
  <si>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</si>
  <si>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</si>
  <si>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</si>
  <si>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</si>
  <si>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</si>
  <si>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</si>
  <si>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</si>
  <si>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</si>
  <si>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</si>
  <si>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</si>
  <si>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</si>
  <si>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</si>
  <si>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</si>
  <si>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</si>
  <si>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</si>
  <si>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</si>
  <si>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</si>
  <si>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</si>
  <si>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</si>
  <si>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</si>
  <si>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</si>
  <si>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</si>
  <si>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</si>
  <si>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</si>
  <si>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</si>
  <si>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</si>
  <si>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</si>
  <si>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</si>
  <si>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</si>
  <si>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</si>
  <si>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</si>
  <si>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</si>
  <si>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</si>
  <si>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</si>
  <si>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</si>
  <si>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</si>
  <si>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</si>
  <si>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</si>
  <si>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</si>
  <si>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</si>
  <si>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</si>
  <si>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</si>
  <si>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</si>
  <si>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</si>
  <si>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</si>
  <si>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</si>
  <si>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</si>
  <si>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</si>
  <si>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</si>
  <si>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</si>
  <si>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</si>
  <si>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</si>
  <si>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</si>
  <si>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</si>
  <si>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</si>
  <si>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</si>
  <si>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</si>
  <si>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</si>
  <si>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</si>
  <si>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</si>
  <si>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</si>
  <si>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</si>
  <si>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</si>
  <si>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</si>
  <si>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</si>
  <si>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</si>
  <si>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</si>
  <si>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</si>
  <si>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</si>
  <si>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</si>
  <si>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</si>
  <si>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</si>
  <si>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</si>
  <si>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</si>
  <si>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</si>
  <si>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</si>
  <si>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</si>
  <si>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</si>
  <si>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</si>
  <si>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</si>
  <si>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</si>
  <si>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</si>
  <si>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</si>
  <si>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</si>
  <si>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</si>
  <si>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</si>
  <si>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</si>
  <si>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</si>
  <si>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</si>
  <si>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</si>
  <si>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</si>
  <si>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</si>
  <si>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</si>
  <si>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</si>
  <si>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</si>
  <si>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</si>
  <si>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</si>
  <si>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</si>
  <si>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</si>
  <si>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</si>
  <si>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</si>
  <si>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</si>
  <si>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</si>
  <si>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</si>
  <si>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</si>
  <si>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</si>
  <si>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</si>
  <si>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</si>
  <si>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</si>
  <si>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</si>
  <si>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</si>
  <si>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</si>
  <si>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</si>
  <si>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</si>
  <si>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</si>
  <si>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</si>
  <si>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</si>
  <si>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</si>
  <si>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</si>
  <si>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</si>
  <si>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</si>
  <si>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</si>
  <si>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</si>
  <si>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</si>
  <si>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</si>
  <si>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</si>
  <si>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</si>
  <si>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</si>
  <si>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</si>
  <si>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</si>
  <si>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</si>
  <si>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</si>
  <si>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</si>
  <si>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</si>
  <si>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</si>
  <si>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</si>
  <si>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</si>
  <si>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</si>
  <si>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</si>
  <si>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</si>
  <si>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</si>
  <si>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</si>
  <si>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</si>
  <si>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</si>
  <si>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</si>
  <si>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</si>
  <si>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</si>
  <si>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</si>
  <si>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</si>
  <si>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</si>
  <si>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</si>
  <si>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</si>
  <si>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</si>
  <si>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</si>
  <si>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</si>
  <si>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</si>
  <si>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</si>
  <si>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</si>
  <si>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</si>
  <si>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</si>
  <si>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</si>
  <si>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</si>
  <si>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</si>
  <si>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</si>
  <si>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</si>
  <si>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</si>
  <si>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</si>
  <si>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</si>
  <si>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</si>
  <si>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</si>
  <si>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</si>
  <si>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</si>
  <si>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</si>
  <si>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</si>
  <si>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</si>
  <si>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</si>
  <si>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</si>
  <si>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</si>
  <si>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</si>
  <si>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</si>
  <si>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</si>
  <si>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</si>
  <si>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</si>
  <si>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</si>
  <si>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</si>
  <si>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</si>
  <si>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</si>
  <si>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</si>
  <si>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</si>
  <si>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</si>
  <si>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</si>
  <si>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</si>
  <si>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</si>
  <si>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</si>
  <si>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</si>
  <si>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</si>
  <si>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</si>
  <si>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</si>
  <si>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</si>
  <si>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</si>
  <si>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</si>
  <si>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</si>
  <si>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</si>
  <si>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</si>
  <si>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</si>
  <si>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</si>
  <si>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</si>
  <si>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</si>
  <si>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</si>
  <si>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</si>
  <si>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</si>
  <si>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</si>
  <si>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</si>
  <si>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</si>
  <si>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</si>
  <si>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</si>
  <si>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</si>
  <si>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</si>
  <si>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</si>
  <si>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</si>
  <si>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</si>
  <si>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</si>
  <si>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</si>
  <si>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</si>
  <si>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</si>
  <si>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</si>
  <si>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</si>
  <si>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</si>
  <si>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</si>
  <si>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</si>
  <si>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</si>
  <si>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</si>
  <si>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</si>
  <si>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</si>
  <si>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</si>
  <si>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</si>
  <si>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</si>
  <si>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</si>
  <si>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</si>
  <si>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</si>
  <si>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</si>
  <si>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</si>
  <si>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</si>
  <si>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</si>
  <si>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</si>
  <si>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</si>
  <si>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</si>
  <si>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</si>
  <si>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</si>
  <si>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</si>
  <si>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</si>
  <si>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</si>
  <si>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</si>
  <si>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</si>
  <si>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</si>
  <si>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</si>
  <si>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</si>
  <si>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</si>
  <si>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</si>
  <si>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</si>
  <si>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</si>
  <si>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</si>
  <si>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</si>
  <si>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</si>
  <si>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</si>
  <si>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</si>
  <si>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</si>
  <si>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</si>
  <si>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</si>
  <si>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</si>
  <si>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</si>
  <si>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</si>
  <si>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</si>
  <si>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</si>
  <si>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</si>
  <si>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</si>
  <si>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</si>
  <si>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</si>
  <si>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</si>
  <si>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</si>
  <si>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</si>
  <si>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</si>
  <si>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</si>
  <si>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</si>
  <si>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</si>
  <si>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</si>
  <si>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</si>
  <si>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</si>
  <si>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</si>
  <si>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</si>
  <si>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</si>
  <si>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</si>
  <si>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</si>
  <si>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</si>
  <si>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</si>
  <si>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</si>
  <si>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</si>
  <si>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</si>
  <si>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</si>
  <si>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</si>
  <si>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</si>
  <si>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</si>
  <si>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</si>
  <si>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</si>
  <si>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</si>
  <si>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</si>
  <si>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</si>
  <si>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</si>
  <si>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</si>
  <si>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</si>
  <si>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</si>
  <si>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</si>
  <si>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</si>
  <si>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</si>
  <si>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</si>
  <si>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</si>
  <si>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</si>
  <si>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</si>
  <si>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</si>
  <si>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</si>
  <si>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</si>
  <si>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</si>
  <si>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</si>
  <si>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</si>
  <si>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</si>
  <si>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</si>
  <si>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</si>
  <si>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</si>
  <si>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</si>
  <si>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</si>
  <si>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</si>
  <si>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</si>
  <si>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</si>
  <si>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</si>
  <si>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</si>
  <si>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</si>
  <si>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</si>
  <si>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</si>
  <si>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</si>
  <si>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</si>
  <si>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</si>
  <si>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</si>
  <si>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</si>
  <si>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</si>
  <si>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</si>
  <si>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</si>
  <si>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</si>
  <si>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</si>
  <si>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</si>
  <si>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</si>
  <si>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</si>
  <si>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</si>
  <si>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</si>
  <si>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</si>
  <si>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</si>
  <si>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</si>
  <si>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</si>
  <si>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</si>
  <si>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</si>
  <si>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</si>
  <si>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</si>
  <si>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</si>
  <si>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</si>
  <si>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</si>
  <si>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</si>
  <si>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</si>
  <si>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</si>
  <si>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</si>
  <si>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</si>
  <si>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</si>
  <si>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</si>
  <si>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</si>
  <si>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</si>
  <si>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</si>
  <si>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</si>
  <si>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</si>
  <si>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</si>
  <si>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</si>
  <si>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</si>
  <si>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</si>
  <si>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</si>
  <si>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</si>
  <si>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</si>
  <si>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</si>
  <si>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</si>
  <si>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</si>
  <si>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</si>
  <si>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</si>
  <si>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</si>
  <si>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</si>
  <si>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</si>
  <si>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</si>
  <si>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</si>
  <si>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</si>
  <si>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</si>
  <si>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</si>
  <si>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</si>
  <si>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</si>
  <si>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</si>
  <si>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</si>
  <si>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</si>
  <si>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</si>
  <si>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</si>
  <si>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</si>
  <si>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</si>
  <si>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</si>
  <si>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</si>
  <si>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</si>
  <si>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</si>
  <si>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</si>
  <si>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</si>
  <si>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</si>
  <si>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</si>
  <si>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</si>
  <si>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</si>
  <si>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</si>
  <si>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</si>
  <si>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</si>
  <si>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</si>
  <si>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</si>
  <si>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</si>
  <si>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</si>
  <si>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</si>
  <si>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</si>
  <si>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</si>
  <si>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</si>
  <si>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</si>
  <si>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</si>
  <si>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</si>
  <si>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</si>
  <si>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</si>
  <si>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</si>
  <si>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</si>
  <si>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</si>
  <si>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</si>
  <si>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</si>
  <si>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</si>
  <si>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</si>
  <si>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</si>
  <si>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</si>
  <si>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</si>
  <si>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</si>
  <si>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</si>
  <si>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</si>
  <si>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</si>
  <si>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</si>
  <si>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</si>
  <si>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</si>
  <si>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</si>
  <si>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</si>
  <si>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</si>
  <si>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</si>
  <si>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</si>
  <si>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</si>
  <si>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</si>
  <si>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</si>
  <si>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</si>
  <si>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</si>
  <si>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</si>
  <si>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</si>
  <si>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</si>
  <si>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</si>
  <si>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</si>
  <si>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</si>
  <si>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</si>
  <si>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</si>
  <si>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</si>
  <si>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</si>
  <si>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</si>
  <si>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</si>
  <si>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</si>
  <si>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</si>
  <si>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</si>
  <si>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</si>
  <si>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</si>
  <si>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</si>
  <si>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</si>
  <si>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</si>
  <si>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</si>
  <si>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</si>
  <si>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</si>
  <si>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</si>
  <si>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</si>
  <si>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</si>
  <si>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</si>
  <si>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</si>
  <si>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</si>
  <si>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</si>
  <si>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</si>
  <si>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</si>
  <si>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</si>
  <si>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</si>
  <si>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</si>
  <si>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</si>
  <si>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</si>
  <si>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</si>
  <si>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</si>
  <si>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</si>
  <si>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</si>
  <si>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</si>
  <si>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</si>
  <si>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</si>
  <si>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</si>
  <si>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</si>
  <si>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</si>
  <si>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</si>
  <si>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</si>
  <si>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</si>
  <si>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</si>
  <si>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</si>
  <si>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</si>
  <si>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</si>
  <si>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</si>
  <si>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</si>
  <si>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</si>
  <si>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</si>
  <si>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</si>
  <si>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</si>
  <si>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</si>
  <si>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</si>
  <si>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</si>
  <si>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</si>
  <si>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</si>
  <si>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</si>
  <si>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</si>
  <si>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</si>
  <si>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</si>
  <si>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</si>
  <si>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</si>
  <si>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</si>
  <si>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</si>
  <si>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</si>
  <si>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</si>
  <si>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</si>
  <si>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</si>
  <si>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</si>
  <si>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</si>
  <si>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</si>
  <si>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</si>
  <si>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</si>
  <si>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</si>
  <si>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</si>
  <si>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</si>
  <si>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</si>
  <si>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</si>
  <si>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</si>
  <si>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</si>
  <si>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</si>
  <si>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</si>
  <si>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</si>
  <si>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</si>
  <si>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</si>
  <si>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</si>
  <si>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</si>
  <si>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</si>
  <si>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</si>
  <si>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</si>
  <si>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</si>
  <si>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</si>
  <si>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</si>
  <si>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</si>
  <si>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</si>
  <si>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</si>
  <si>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</si>
  <si>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</si>
  <si>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</si>
  <si>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</si>
  <si>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</si>
  <si>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</si>
  <si>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</si>
  <si>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</si>
  <si>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</si>
  <si>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</si>
  <si>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</si>
  <si>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</si>
  <si>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</si>
  <si>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</si>
  <si>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</si>
  <si>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</si>
  <si>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</si>
  <si>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</si>
  <si>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</si>
  <si>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</si>
  <si>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</si>
  <si>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</si>
  <si>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</si>
  <si>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</si>
  <si>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</si>
  <si>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</si>
  <si>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</si>
  <si>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</si>
  <si>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</si>
  <si>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</si>
  <si>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</si>
  <si>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</si>
  <si>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</si>
  <si>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</si>
  <si>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</si>
  <si>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</si>
  <si>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</si>
  <si>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</si>
  <si>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</si>
  <si>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</si>
  <si>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</si>
  <si>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</si>
  <si>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</si>
  <si>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</si>
  <si>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</si>
  <si>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</si>
  <si>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</si>
  <si>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</si>
  <si>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</si>
  <si>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</si>
  <si>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</si>
  <si>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</si>
  <si>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</si>
  <si>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</si>
  <si>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</si>
  <si>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</si>
  <si>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</si>
  <si>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</si>
  <si>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</si>
  <si>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</si>
  <si>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</si>
  <si>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</si>
  <si>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</si>
  <si>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</si>
  <si>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</si>
  <si>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</si>
  <si>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</si>
  <si>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</si>
  <si>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</si>
  <si>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</si>
  <si>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</si>
  <si>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</si>
  <si>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</si>
  <si>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</si>
  <si>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</si>
  <si>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</si>
  <si>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</si>
  <si>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</si>
  <si>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</si>
  <si>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</si>
  <si>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</si>
  <si>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</si>
  <si>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</si>
  <si>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</si>
  <si>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</si>
  <si>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</si>
  <si>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</si>
  <si>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</si>
  <si>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</si>
  <si>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</si>
  <si>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</si>
  <si>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</si>
  <si>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</si>
  <si>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</si>
  <si>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</si>
  <si>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</si>
  <si>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</si>
  <si>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</si>
  <si>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</si>
  <si>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</si>
  <si>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</si>
  <si>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</si>
  <si>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</si>
  <si>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</si>
  <si>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</si>
  <si>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</si>
  <si>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</si>
  <si>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</si>
  <si>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</si>
  <si>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</si>
  <si>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</si>
  <si>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</si>
  <si>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</si>
  <si>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</si>
  <si>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</si>
  <si>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</si>
  <si>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</si>
  <si>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</si>
  <si>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</si>
  <si>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</si>
  <si>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</si>
  <si>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</si>
  <si>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</si>
  <si>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</si>
  <si>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</si>
  <si>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</si>
  <si>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</si>
  <si>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</si>
  <si>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</si>
  <si>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</si>
  <si>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</si>
  <si>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</si>
  <si>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</si>
  <si>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</si>
  <si>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</si>
  <si>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</si>
  <si>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</si>
  <si>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</si>
  <si>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</si>
  <si>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</si>
  <si>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</si>
  <si>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</si>
  <si>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</si>
  <si>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</si>
  <si>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</si>
  <si>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</si>
  <si>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</si>
  <si>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</si>
  <si>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</si>
  <si>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</si>
  <si>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</si>
  <si>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</si>
  <si>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</si>
  <si>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</si>
  <si>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</si>
  <si>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</si>
  <si>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</si>
  <si>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</si>
  <si>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</si>
  <si>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</si>
  <si>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</si>
  <si>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</si>
  <si>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</si>
  <si>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</si>
  <si>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</si>
  <si>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</si>
  <si>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</si>
  <si>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</si>
  <si>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</si>
  <si>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</si>
  <si>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</si>
  <si>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</si>
  <si>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</si>
  <si>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</si>
  <si>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</si>
  <si>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</si>
  <si>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</si>
  <si>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</si>
  <si>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</si>
  <si>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</si>
  <si>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</si>
  <si>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</si>
  <si>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</si>
  <si>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</si>
  <si>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</si>
  <si>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</si>
  <si>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</si>
  <si>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</si>
  <si>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</si>
  <si>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</si>
  <si>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</si>
  <si>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</si>
  <si>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</si>
  <si>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</si>
  <si>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</si>
  <si>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</si>
  <si>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</si>
  <si>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</si>
  <si>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</si>
  <si>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</si>
  <si>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</si>
  <si>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</si>
  <si>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</si>
  <si>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</si>
  <si>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</si>
  <si>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</si>
  <si>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</si>
  <si>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</si>
  <si>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</si>
  <si>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</si>
  <si>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</si>
  <si>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</si>
  <si>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</si>
  <si>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</si>
  <si>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</si>
  <si>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</si>
  <si>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</si>
  <si>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</si>
  <si>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</si>
  <si>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</si>
  <si>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</si>
  <si>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</si>
  <si>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</si>
  <si>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</si>
  <si>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</si>
  <si>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</si>
  <si>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</si>
  <si>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</si>
  <si>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</si>
  <si>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</si>
  <si>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</si>
  <si>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</si>
  <si>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</si>
  <si>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</si>
  <si>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</si>
  <si>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</si>
  <si>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</si>
  <si>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</si>
  <si>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</si>
  <si>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</si>
  <si>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</si>
  <si>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</si>
  <si>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</si>
  <si>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</si>
  <si>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</si>
  <si>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</si>
  <si>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</si>
  <si>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</si>
  <si>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</si>
  <si>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</si>
  <si>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</si>
  <si>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</si>
  <si>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</si>
  <si>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</si>
  <si>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</si>
  <si>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</si>
  <si>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</si>
  <si>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</si>
  <si>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</si>
  <si>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</si>
  <si>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</si>
  <si>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</si>
  <si>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</si>
  <si>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</si>
  <si>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</si>
  <si>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</si>
  <si>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</si>
  <si>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</si>
  <si>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</si>
  <si>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</si>
  <si>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</si>
  <si>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</si>
  <si>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</si>
  <si>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</si>
  <si>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</si>
  <si>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</si>
  <si>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</si>
  <si>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</si>
  <si>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</si>
  <si>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</si>
  <si>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</si>
  <si>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</si>
  <si>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</si>
  <si>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</si>
  <si>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</si>
  <si>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</si>
  <si>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</si>
  <si>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</si>
  <si>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</si>
  <si>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</si>
  <si>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</si>
  <si>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</si>
  <si>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</si>
  <si>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</si>
  <si>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</si>
  <si>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</si>
  <si>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</si>
  <si>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</si>
  <si>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</si>
  <si>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</si>
  <si>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</si>
  <si>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</si>
  <si>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</si>
  <si>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</si>
  <si>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</si>
  <si>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</si>
  <si>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</si>
  <si>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</si>
  <si>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</si>
  <si>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</si>
  <si>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</si>
  <si>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</si>
  <si>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</si>
  <si>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</si>
  <si>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</si>
  <si>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</si>
  <si>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</si>
  <si>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</si>
  <si>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</si>
  <si>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</si>
  <si>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</si>
  <si>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</si>
  <si>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</si>
  <si>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</si>
  <si>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</si>
  <si>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</si>
  <si>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</si>
  <si>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</si>
  <si>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</si>
  <si>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</si>
  <si>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</si>
  <si>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</si>
  <si>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</si>
  <si>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</si>
  <si>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</si>
  <si>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</si>
  <si>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</si>
  <si>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</si>
  <si>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</si>
  <si>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</si>
  <si>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</si>
  <si>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</si>
  <si>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</si>
  <si>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</si>
  <si>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</si>
  <si>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</si>
  <si>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</si>
  <si>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</si>
  <si>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</si>
  <si>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</si>
  <si>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</si>
  <si>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</si>
  <si>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</si>
  <si>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</si>
  <si>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</si>
  <si>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</si>
  <si>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</si>
  <si>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</si>
  <si>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</si>
  <si>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</si>
  <si>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</si>
  <si>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</si>
  <si>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</si>
  <si>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</si>
  <si>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</si>
  <si>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</si>
  <si>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</si>
  <si>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</si>
  <si>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</si>
  <si>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</si>
  <si>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</si>
  <si>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</si>
  <si>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</si>
  <si>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</si>
  <si>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</si>
  <si>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</si>
  <si>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</si>
  <si>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</si>
  <si>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</si>
  <si>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</si>
  <si>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</si>
  <si>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</si>
  <si>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</si>
  <si>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</si>
  <si>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</si>
  <si>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</si>
  <si>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</si>
  <si>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</si>
  <si>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</si>
  <si>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</si>
  <si>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</si>
  <si>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</si>
  <si>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</si>
  <si>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</si>
  <si>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</si>
  <si>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</si>
  <si>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</si>
  <si>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</si>
  <si>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</si>
  <si>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</si>
  <si>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</si>
  <si>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</si>
  <si>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</si>
  <si>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</si>
  <si>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</si>
  <si>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</si>
  <si>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</si>
  <si>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</si>
  <si>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</si>
  <si>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</si>
  <si>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</si>
  <si>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</si>
  <si>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</si>
  <si>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</si>
  <si>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</si>
  <si>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</si>
  <si>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</si>
  <si>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</si>
  <si>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</si>
  <si>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</si>
  <si>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</si>
  <si>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</si>
  <si>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</si>
  <si>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</si>
  <si>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</si>
  <si>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</si>
  <si>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</si>
  <si>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</si>
  <si>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</si>
  <si>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</si>
  <si>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</si>
  <si>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</si>
  <si>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</si>
  <si>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</si>
  <si>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</si>
  <si>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</si>
  <si>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</si>
  <si>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</si>
  <si>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</si>
  <si>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</si>
  <si>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</si>
  <si>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</si>
  <si>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</si>
  <si>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</si>
  <si>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</si>
  <si>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</si>
  <si>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</si>
  <si>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</si>
  <si>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</si>
  <si>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</si>
  <si>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</si>
  <si>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</si>
  <si>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</si>
  <si>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</si>
  <si>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</si>
  <si>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</si>
  <si>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</si>
  <si>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</si>
  <si>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</si>
  <si>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</si>
  <si>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</si>
  <si>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</si>
  <si>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</si>
  <si>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</si>
  <si>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</si>
  <si>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</si>
  <si>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</si>
  <si>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</si>
  <si>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</si>
  <si>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</si>
  <si>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</si>
  <si>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</si>
  <si>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</si>
  <si>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</si>
  <si>
    <t>For packaged 3 phase equipment</t>
  </si>
  <si>
    <t>rounding factor</t>
  </si>
  <si>
    <t>SEER2</t>
  </si>
  <si>
    <t>SEER2/SEER</t>
  </si>
  <si>
    <t>EER2</t>
  </si>
  <si>
    <t>EER2/EER</t>
  </si>
  <si>
    <t>Coeff for No Fan (nf) Adj</t>
  </si>
  <si>
    <t>Eff from Eff2</t>
  </si>
  <si>
    <t>DR: For WSHP, not used</t>
  </si>
  <si>
    <t xml:space="preserve">Max/MinVar switch to get Max/MinOut. See related Ticket 3453 </t>
  </si>
  <si>
    <t>For SEER-14.0 1-phase split AC</t>
  </si>
  <si>
    <t>For SEER-15.0 1-phase split AC</t>
  </si>
  <si>
    <t>For SEER-15.0 1-phase split HP</t>
  </si>
  <si>
    <t xml:space="preserve">Heat Pump Water Heater Capacity Adjustment Curves </t>
  </si>
  <si>
    <t>WtrHtr</t>
  </si>
  <si>
    <t>Heat pump water heater</t>
  </si>
  <si>
    <t>HtPump</t>
  </si>
  <si>
    <t>WaterHeater:HeatPump:PumpedCondenser</t>
  </si>
  <si>
    <t>Heating Capacity Function of Temperature Curve Name</t>
  </si>
  <si>
    <t>Heat Pump Water Heater Efficiency Adjustment Curves</t>
  </si>
  <si>
    <t>COP_fTempCrvRef</t>
  </si>
  <si>
    <t>Heating COP Function of Temperature Curve Name</t>
  </si>
  <si>
    <t>COP</t>
  </si>
  <si>
    <t>CEC-Data</t>
  </si>
  <si>
    <t xml:space="preserve">R134a Multipass-Based Heat Pump Water Heater Capacity Adjustment Curve </t>
  </si>
  <si>
    <t>Reference Conditions: Var1 (Air DB Temp In) 41F, Var2 (Water Temp In) 120F</t>
  </si>
  <si>
    <t>R134a Multipass-Based Heat Pump Water Heater Efficiency Adjustment Curve</t>
  </si>
  <si>
    <t>CED-Data</t>
  </si>
  <si>
    <t xml:space="preserve">R410a Multipass-Based Heat Pump Capacity Adjustment Curve </t>
  </si>
  <si>
    <t>Reference Conditions: Var1 (Air WB Temp In) 40F, Var2 (Water Temp In) 110F</t>
  </si>
  <si>
    <t xml:space="preserve">R410a Multipass-Based Heat Pump Efficiency Adjustment Curve </t>
  </si>
  <si>
    <t>CoilCLg</t>
  </si>
  <si>
    <t>CRACwPRE</t>
  </si>
  <si>
    <t>This curve is for CRAC with Pumped Refrigerant Economizer, PRE. This curve reflects the performance of PRE during different modes.</t>
  </si>
  <si>
    <t>Air-Source DX (CRAC w/ PRE)</t>
  </si>
  <si>
    <t>VSD with limited speed reset</t>
  </si>
  <si>
    <t>VSDLimitedSpReset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</si>
</sst>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2"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
      <sz val="10"/>
      <color rgb="FFFF0000"/>
      <name val="Arial"/>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301">
    <xf numFmtId="0" fontId="0" fillId="0" borderId="0" xfId="0"/>
    <xf numFmtId="0" fontId="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3" borderId="0" xfId="0" applyFill="1" applyAlignment="1">
      <alignment vertical="top"/>
    </xf>
    <xf numFmtId="0" fontId="0" fillId="3" borderId="0" xfId="0"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33" fillId="0" borderId="0" xfId="0" applyFont="1" applyAlignment="1">
      <alignment vertical="top"/>
    </xf>
    <xf numFmtId="164" fontId="0" fillId="0" borderId="0" xfId="0" applyNumberFormat="1" applyAlignment="1">
      <alignment vertical="top"/>
    </xf>
    <xf numFmtId="0" fontId="5" fillId="0" borderId="0" xfId="0" applyFont="1" applyAlignment="1">
      <alignment vertical="top"/>
    </xf>
    <xf numFmtId="0" fontId="2" fillId="0" borderId="0" xfId="0" applyFont="1" applyAlignment="1">
      <alignment vertical="top"/>
    </xf>
    <xf numFmtId="0" fontId="15" fillId="0" borderId="0" xfId="0" applyFont="1" applyAlignment="1">
      <alignment vertical="top"/>
    </xf>
    <xf numFmtId="164" fontId="1" fillId="0" borderId="0" xfId="0" applyNumberFormat="1" applyFont="1" applyAlignment="1">
      <alignment vertical="top"/>
    </xf>
    <xf numFmtId="0" fontId="6" fillId="0" borderId="0" xfId="0" applyFont="1" applyAlignment="1">
      <alignment vertical="top"/>
    </xf>
    <xf numFmtId="0" fontId="13" fillId="0" borderId="0" xfId="3" applyFill="1" applyBorder="1" applyAlignment="1" applyProtection="1">
      <alignment vertical="top"/>
    </xf>
    <xf numFmtId="0" fontId="14" fillId="0" borderId="0" xfId="0" applyFont="1" applyAlignment="1">
      <alignment vertical="top"/>
    </xf>
    <xf numFmtId="0" fontId="34" fillId="0" borderId="0" xfId="3" applyFont="1" applyFill="1" applyBorder="1" applyAlignment="1" applyProtection="1">
      <alignment vertical="top"/>
    </xf>
    <xf numFmtId="164" fontId="5" fillId="0" borderId="0" xfId="0" applyNumberFormat="1" applyFont="1" applyAlignment="1">
      <alignment vertical="top"/>
    </xf>
    <xf numFmtId="0" fontId="6" fillId="0" borderId="0" xfId="0" applyFont="1" applyAlignment="1">
      <alignment vertical="top" wrapText="1"/>
    </xf>
    <xf numFmtId="164" fontId="6" fillId="0" borderId="0" xfId="0" applyNumberFormat="1" applyFont="1" applyAlignment="1">
      <alignment vertical="top"/>
    </xf>
    <xf numFmtId="0" fontId="13" fillId="0" borderId="0" xfId="3" applyBorder="1" applyAlignment="1" applyProtection="1">
      <alignment horizontal="left" vertical="top"/>
    </xf>
    <xf numFmtId="0" fontId="0" fillId="35" borderId="0" xfId="0" applyFill="1" applyAlignment="1">
      <alignment vertical="top"/>
    </xf>
    <xf numFmtId="0" fontId="17" fillId="0" borderId="0" xfId="3" applyFont="1" applyFill="1" applyBorder="1" applyAlignment="1" applyProtection="1">
      <alignment vertical="top"/>
    </xf>
    <xf numFmtId="0" fontId="1" fillId="2" borderId="0" xfId="0" applyFont="1" applyFill="1" applyAlignment="1">
      <alignment vertical="top"/>
    </xf>
    <xf numFmtId="0" fontId="0" fillId="2" borderId="0" xfId="0" applyFill="1" applyAlignment="1">
      <alignment vertical="top"/>
    </xf>
    <xf numFmtId="0" fontId="0" fillId="2" borderId="0" xfId="0" applyFill="1" applyAlignment="1">
      <alignment vertical="top" wrapText="1"/>
    </xf>
    <xf numFmtId="164" fontId="0" fillId="2" borderId="0" xfId="0" applyNumberFormat="1" applyFill="1" applyAlignment="1">
      <alignment vertical="top"/>
    </xf>
    <xf numFmtId="164" fontId="7" fillId="2" borderId="0" xfId="0" applyNumberFormat="1" applyFont="1" applyFill="1" applyAlignment="1">
      <alignment vertical="top"/>
    </xf>
    <xf numFmtId="0" fontId="7" fillId="2" borderId="0" xfId="0" applyFont="1" applyFill="1" applyAlignment="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Border="1" applyAlignment="1">
      <alignment horizontal="center" vertical="top"/>
    </xf>
    <xf numFmtId="0" fontId="0" fillId="35" borderId="0" xfId="0" applyFill="1" applyAlignment="1">
      <alignment vertical="top" wrapText="1"/>
    </xf>
    <xf numFmtId="0" fontId="1" fillId="35" borderId="0" xfId="0" applyFont="1" applyFill="1" applyAlignment="1">
      <alignment vertical="top"/>
    </xf>
    <xf numFmtId="2" fontId="0" fillId="0" borderId="0" xfId="0" applyNumberFormat="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Border="1" applyAlignment="1">
      <alignment horizontal="left"/>
    </xf>
    <xf numFmtId="165" fontId="8" fillId="36" borderId="18" xfId="2" applyNumberFormat="1" applyFill="1" applyBorder="1" applyAlignment="1">
      <alignment horizontal="center"/>
    </xf>
    <xf numFmtId="165" fontId="8" fillId="0" borderId="21" xfId="2" applyNumberFormat="1" applyBorder="1" applyAlignment="1">
      <alignment horizontal="center"/>
    </xf>
    <xf numFmtId="0" fontId="8" fillId="0" borderId="19" xfId="2" applyBorder="1" applyAlignment="1">
      <alignment horizontal="left"/>
    </xf>
    <xf numFmtId="165" fontId="8" fillId="0" borderId="18" xfId="2" applyNumberFormat="1" applyBorder="1" applyAlignment="1">
      <alignment horizontal="center"/>
    </xf>
    <xf numFmtId="0" fontId="8" fillId="0" borderId="0" xfId="2" applyAlignment="1">
      <alignment horizontal="left"/>
    </xf>
    <xf numFmtId="165" fontId="8" fillId="0" borderId="0" xfId="2" applyNumberFormat="1" applyAlignment="1">
      <alignment horizontal="center"/>
    </xf>
    <xf numFmtId="0" fontId="7" fillId="0" borderId="0" xfId="0" applyFont="1" applyAlignment="1">
      <alignment vertical="top"/>
    </xf>
    <xf numFmtId="0" fontId="0" fillId="37" borderId="0" xfId="0" applyFill="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Alignment="1">
      <alignment vertical="top"/>
    </xf>
    <xf numFmtId="0" fontId="36" fillId="0" borderId="0" xfId="0" applyFont="1" applyAlignment="1">
      <alignment vertical="top"/>
    </xf>
    <xf numFmtId="0" fontId="0" fillId="38" borderId="0" xfId="0" applyFill="1" applyAlignment="1">
      <alignment vertical="top" wrapText="1"/>
    </xf>
    <xf numFmtId="0" fontId="1" fillId="0" borderId="18" xfId="0" applyFont="1" applyBorder="1" applyAlignment="1">
      <alignment horizontal="center" vertical="top" wrapText="1"/>
    </xf>
    <xf numFmtId="0" fontId="1" fillId="0" borderId="22" xfId="0" applyFont="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0" fontId="25" fillId="7" borderId="12" xfId="12" applyAlignment="1">
      <alignment vertical="top"/>
    </xf>
    <xf numFmtId="43" fontId="0" fillId="0" borderId="0" xfId="0" applyNumberFormat="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Font="1" applyBorder="1" applyAlignment="1">
      <alignment vertical="top"/>
    </xf>
    <xf numFmtId="165" fontId="0" fillId="0" borderId="0" xfId="0" applyNumberFormat="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Alignment="1">
      <alignment vertical="top"/>
    </xf>
    <xf numFmtId="170" fontId="7" fillId="2" borderId="0" xfId="0" applyNumberFormat="1" applyFont="1" applyFill="1" applyAlignment="1">
      <alignment vertical="top"/>
    </xf>
    <xf numFmtId="43" fontId="0" fillId="0" borderId="0" xfId="1" applyFont="1" applyFill="1" applyBorder="1" applyAlignment="1">
      <alignment vertical="top"/>
    </xf>
    <xf numFmtId="43" fontId="0" fillId="35" borderId="0" xfId="1" applyFont="1" applyFill="1" applyBorder="1" applyAlignment="1">
      <alignment vertical="top"/>
    </xf>
    <xf numFmtId="43" fontId="5" fillId="0" borderId="0" xfId="1" applyFont="1" applyBorder="1" applyAlignment="1">
      <alignment vertical="top"/>
    </xf>
    <xf numFmtId="168" fontId="0" fillId="0" borderId="0" xfId="0" applyNumberFormat="1" applyAlignment="1">
      <alignment vertical="top"/>
    </xf>
    <xf numFmtId="168" fontId="0" fillId="35" borderId="0" xfId="0" applyNumberFormat="1" applyFill="1" applyAlignment="1">
      <alignment vertical="top"/>
    </xf>
    <xf numFmtId="0" fontId="41" fillId="0" borderId="0" xfId="0" applyFont="1" applyAlignment="1">
      <alignment vertical="top"/>
    </xf>
    <xf numFmtId="0" fontId="42" fillId="0" borderId="0" xfId="0" applyFont="1" applyAlignment="1">
      <alignment vertical="top"/>
    </xf>
    <xf numFmtId="164" fontId="0" fillId="42" borderId="0" xfId="0" applyNumberFormat="1" applyFill="1" applyAlignment="1">
      <alignment vertical="top"/>
    </xf>
    <xf numFmtId="164" fontId="0" fillId="37" borderId="0" xfId="0" applyNumberFormat="1" applyFill="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Alignment="1">
      <alignment vertical="top"/>
    </xf>
    <xf numFmtId="0" fontId="0" fillId="39" borderId="0" xfId="0" applyFill="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Alignment="1">
      <alignment horizontal="right" vertical="top"/>
    </xf>
    <xf numFmtId="0" fontId="0" fillId="45" borderId="0" xfId="0" applyFill="1"/>
    <xf numFmtId="0" fontId="0" fillId="46" borderId="0" xfId="0" applyFill="1"/>
    <xf numFmtId="164" fontId="0" fillId="39" borderId="0" xfId="0" applyNumberFormat="1" applyFill="1" applyAlignment="1">
      <alignment horizontal="right" vertical="top"/>
    </xf>
    <xf numFmtId="0" fontId="5" fillId="0" borderId="0" xfId="0" applyFont="1" applyAlignment="1">
      <alignment horizontal="left" vertical="top" indent="1"/>
    </xf>
    <xf numFmtId="0" fontId="25" fillId="7" borderId="12" xfId="12"/>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27" xfId="48" applyNumberFormat="1" applyBorder="1"/>
    <xf numFmtId="172" fontId="44" fillId="0" borderId="26" xfId="48" applyNumberFormat="1" applyBorder="1"/>
    <xf numFmtId="172" fontId="44"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xf numFmtId="1" fontId="44" fillId="0" borderId="27" xfId="48" applyNumberFormat="1" applyBorder="1"/>
    <xf numFmtId="0" fontId="44" fillId="10" borderId="16" xfId="49"/>
    <xf numFmtId="0" fontId="44" fillId="10" borderId="28" xfId="49" applyBorder="1"/>
    <xf numFmtId="0" fontId="44" fillId="10" borderId="31" xfId="49" applyBorder="1"/>
    <xf numFmtId="0" fontId="44" fillId="10" borderId="32" xfId="49" applyBorder="1"/>
    <xf numFmtId="0" fontId="45" fillId="0" borderId="25" xfId="48" applyFont="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169" fontId="25" fillId="7" borderId="12" xfId="12" applyNumberFormat="1"/>
    <xf numFmtId="0" fontId="46" fillId="0" borderId="0" xfId="48" applyFont="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10" borderId="36" xfId="49" applyBorder="1"/>
    <xf numFmtId="175" fontId="44" fillId="0" borderId="45" xfId="48" applyNumberFormat="1" applyBorder="1"/>
    <xf numFmtId="175" fontId="44" fillId="0" borderId="7" xfId="48" applyNumberFormat="1" applyBorder="1"/>
    <xf numFmtId="175" fontId="44" fillId="0" borderId="46" xfId="48" applyNumberFormat="1" applyBorder="1"/>
    <xf numFmtId="2" fontId="44" fillId="0" borderId="26" xfId="48" applyNumberFormat="1" applyBorder="1"/>
    <xf numFmtId="2" fontId="44" fillId="0" borderId="0" xfId="48" applyNumberFormat="1"/>
    <xf numFmtId="2" fontId="44" fillId="0" borderId="27" xfId="48" applyNumberFormat="1" applyBorder="1"/>
    <xf numFmtId="169" fontId="44" fillId="0" borderId="0" xfId="48" applyNumberFormat="1"/>
    <xf numFmtId="172" fontId="44" fillId="0" borderId="0" xfId="48" applyNumberFormat="1"/>
    <xf numFmtId="172" fontId="0" fillId="10" borderId="16" xfId="49" applyNumberFormat="1" applyFont="1" applyAlignment="1"/>
    <xf numFmtId="2" fontId="0" fillId="10" borderId="16" xfId="49" applyNumberFormat="1" applyFont="1" applyAlignment="1"/>
    <xf numFmtId="0" fontId="47" fillId="0" borderId="0" xfId="48" applyFont="1"/>
    <xf numFmtId="0" fontId="48" fillId="0" borderId="0" xfId="48" applyFont="1"/>
    <xf numFmtId="0" fontId="48" fillId="0" borderId="23" xfId="48" applyFont="1" applyBorder="1"/>
    <xf numFmtId="0" fontId="48" fillId="0" borderId="23" xfId="48" applyFont="1" applyBorder="1" applyAlignment="1">
      <alignment horizontal="center"/>
    </xf>
    <xf numFmtId="0" fontId="48" fillId="0" borderId="24" xfId="48" applyFont="1" applyBorder="1" applyAlignment="1">
      <alignment horizontal="center"/>
    </xf>
    <xf numFmtId="0" fontId="48" fillId="0" borderId="25" xfId="48" applyFont="1" applyBorder="1" applyAlignment="1">
      <alignment horizontal="center"/>
    </xf>
    <xf numFmtId="0" fontId="48" fillId="0" borderId="26" xfId="48" applyFont="1" applyBorder="1"/>
    <xf numFmtId="0" fontId="48" fillId="0" borderId="27" xfId="48" applyFont="1" applyBorder="1"/>
    <xf numFmtId="171" fontId="48" fillId="0" borderId="26" xfId="48" applyNumberFormat="1" applyFont="1" applyBorder="1"/>
    <xf numFmtId="171" fontId="48" fillId="0" borderId="0" xfId="48" applyNumberFormat="1" applyFont="1"/>
    <xf numFmtId="171" fontId="48"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8" fillId="0" borderId="26" xfId="48" applyNumberFormat="1" applyFont="1" applyBorder="1"/>
    <xf numFmtId="169" fontId="48" fillId="0" borderId="0" xfId="48" applyNumberFormat="1" applyFont="1"/>
    <xf numFmtId="169" fontId="48" fillId="0" borderId="27" xfId="48" applyNumberFormat="1" applyFont="1" applyBorder="1"/>
    <xf numFmtId="172" fontId="48" fillId="0" borderId="26" xfId="48" applyNumberFormat="1" applyFont="1" applyBorder="1"/>
    <xf numFmtId="172" fontId="48" fillId="0" borderId="0" xfId="48" applyNumberFormat="1" applyFont="1"/>
    <xf numFmtId="172" fontId="48"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8"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43" fontId="44" fillId="0" borderId="0" xfId="48" applyNumberFormat="1"/>
    <xf numFmtId="2" fontId="44" fillId="10" borderId="34" xfId="49" applyNumberFormat="1" applyBorder="1"/>
    <xf numFmtId="2" fontId="44" fillId="10" borderId="16" xfId="49" applyNumberFormat="1"/>
    <xf numFmtId="2" fontId="44" fillId="10" borderId="36" xfId="49" applyNumberFormat="1" applyBorder="1"/>
    <xf numFmtId="2" fontId="44" fillId="10" borderId="31" xfId="49" applyNumberFormat="1" applyBorder="1"/>
    <xf numFmtId="2" fontId="44" fillId="10" borderId="32" xfId="49" applyNumberFormat="1" applyBorder="1"/>
    <xf numFmtId="176" fontId="44" fillId="10" borderId="28" xfId="49" applyNumberFormat="1" applyBorder="1"/>
    <xf numFmtId="0" fontId="49" fillId="10" borderId="34" xfId="49" applyFont="1" applyBorder="1"/>
    <xf numFmtId="0" fontId="49" fillId="10" borderId="41" xfId="49" applyFont="1" applyBorder="1"/>
    <xf numFmtId="164" fontId="44" fillId="0" borderId="26" xfId="48" applyNumberFormat="1" applyBorder="1"/>
    <xf numFmtId="164" fontId="44" fillId="0" borderId="0" xfId="48" applyNumberFormat="1"/>
    <xf numFmtId="164" fontId="44" fillId="0" borderId="27" xfId="48" applyNumberFormat="1" applyBorder="1"/>
    <xf numFmtId="164" fontId="49" fillId="0" borderId="26" xfId="48" applyNumberFormat="1" applyFont="1" applyBorder="1"/>
    <xf numFmtId="171" fontId="44" fillId="0" borderId="26" xfId="48" applyNumberFormat="1" applyBorder="1"/>
    <xf numFmtId="171" fontId="44" fillId="0" borderId="0" xfId="48" applyNumberFormat="1"/>
    <xf numFmtId="171" fontId="44" fillId="0" borderId="27" xfId="48" applyNumberFormat="1" applyBorder="1"/>
    <xf numFmtId="0" fontId="5" fillId="35" borderId="0" xfId="0" applyFont="1" applyFill="1" applyAlignment="1">
      <alignment vertical="top"/>
    </xf>
    <xf numFmtId="0" fontId="5" fillId="35" borderId="0" xfId="0" applyFont="1" applyFill="1"/>
    <xf numFmtId="0" fontId="41" fillId="35" borderId="0" xfId="0" applyFont="1" applyFill="1" applyAlignment="1">
      <alignment vertical="top"/>
    </xf>
    <xf numFmtId="11" fontId="5" fillId="35" borderId="0" xfId="0" applyNumberFormat="1" applyFont="1" applyFill="1" applyAlignment="1">
      <alignment vertical="top"/>
    </xf>
    <xf numFmtId="168" fontId="25" fillId="7" borderId="12" xfId="12" applyNumberFormat="1"/>
    <xf numFmtId="0" fontId="0" fillId="37" borderId="0" xfId="0" applyFill="1"/>
    <xf numFmtId="0" fontId="37" fillId="37" borderId="0" xfId="0" applyFont="1" applyFill="1"/>
    <xf numFmtId="169" fontId="43" fillId="6" borderId="0" xfId="47" applyNumberFormat="1"/>
    <xf numFmtId="169" fontId="24" fillId="6" borderId="0" xfId="11" applyNumberFormat="1"/>
    <xf numFmtId="2" fontId="27" fillId="8" borderId="12" xfId="14" applyNumberFormat="1"/>
    <xf numFmtId="2" fontId="28" fillId="0" borderId="14" xfId="15" applyNumberFormat="1"/>
    <xf numFmtId="0" fontId="1" fillId="37" borderId="0" xfId="0" applyFont="1" applyFill="1"/>
    <xf numFmtId="0" fontId="38" fillId="37" borderId="0" xfId="0" applyFont="1" applyFill="1"/>
    <xf numFmtId="2" fontId="25" fillId="7" borderId="12" xfId="12" applyNumberFormat="1"/>
    <xf numFmtId="0" fontId="14"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51" fillId="0" borderId="0" xfId="2" applyFont="1" applyAlignment="1">
      <alignment horizontal="left" vertical="center" wrapText="1"/>
    </xf>
    <xf numFmtId="0" fontId="8" fillId="0" borderId="0" xfId="2" applyAlignment="1">
      <alignment horizontal="left" vertical="center" wrapText="1"/>
    </xf>
    <xf numFmtId="0" fontId="0" fillId="0" borderId="0" xfId="0" applyAlignment="1">
      <alignment vertical="center"/>
    </xf>
    <xf numFmtId="164" fontId="5" fillId="0" borderId="0" xfId="0" applyNumberFormat="1" applyFont="1" applyAlignment="1">
      <alignment vertical="center"/>
    </xf>
    <xf numFmtId="170" fontId="5" fillId="0" borderId="0" xfId="0" applyNumberFormat="1" applyFont="1" applyAlignment="1">
      <alignment vertical="center"/>
    </xf>
    <xf numFmtId="0" fontId="41" fillId="0" borderId="0" xfId="0" applyFont="1" applyAlignment="1">
      <alignment vertical="center"/>
    </xf>
    <xf numFmtId="43" fontId="0" fillId="0" borderId="0" xfId="1" applyFont="1" applyFill="1" applyBorder="1" applyAlignment="1">
      <alignment vertical="center"/>
    </xf>
    <xf numFmtId="43" fontId="2" fillId="0" borderId="0" xfId="1" applyFont="1" applyFill="1" applyBorder="1" applyAlignment="1">
      <alignment vertical="center"/>
    </xf>
    <xf numFmtId="164" fontId="6" fillId="0" borderId="0" xfId="0" applyNumberFormat="1" applyFont="1" applyAlignment="1">
      <alignment vertical="center"/>
    </xf>
    <xf numFmtId="0" fontId="0" fillId="35" borderId="0" xfId="0" applyFill="1" applyAlignment="1">
      <alignment horizontal="left" vertical="top"/>
    </xf>
    <xf numFmtId="164" fontId="0" fillId="35" borderId="0" xfId="0" applyNumberFormat="1" applyFill="1" applyAlignment="1">
      <alignment vertical="top"/>
    </xf>
    <xf numFmtId="2" fontId="0" fillId="35" borderId="0" xfId="0" applyNumberFormat="1" applyFill="1" applyAlignment="1">
      <alignment vertical="top"/>
    </xf>
    <xf numFmtId="170" fontId="0" fillId="35" borderId="0" xfId="0" applyNumberFormat="1" applyFill="1" applyAlignment="1">
      <alignment vertical="top"/>
    </xf>
    <xf numFmtId="0" fontId="0" fillId="35" borderId="0" xfId="0" applyFill="1" applyAlignment="1">
      <alignment horizontal="left" vertical="top" wrapText="1"/>
    </xf>
    <xf numFmtId="0" fontId="1" fillId="0" borderId="0" xfId="0" applyFont="1" applyAlignment="1">
      <alignment horizontal="center" vertical="top"/>
    </xf>
    <xf numFmtId="0" fontId="1" fillId="41" borderId="0" xfId="0" applyFont="1" applyFill="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60">
    <dxf>
      <fill>
        <patternFill>
          <bgColor theme="7" tint="0.39994506668294322"/>
        </patternFill>
      </fill>
    </dxf>
    <dxf>
      <border>
        <top style="thin">
          <color auto="1"/>
        </top>
        <vertical/>
        <horizontal/>
      </border>
    </dxf>
    <dxf>
      <font>
        <color theme="0" tint="-0.34998626667073579"/>
      </font>
    </dxf>
    <dxf>
      <font>
        <color auto="1"/>
      </font>
      <fill>
        <patternFill>
          <bgColor theme="5" tint="0.79998168889431442"/>
        </patternFill>
      </fill>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6" tint="0.79998168889431442"/>
        </patternFill>
      </fill>
    </dxf>
    <dxf>
      <font>
        <color auto="1"/>
      </font>
      <fill>
        <patternFill>
          <bgColor theme="5" tint="0.79998168889431442"/>
        </patternFill>
      </fill>
    </dxf>
    <dxf>
      <font>
        <color theme="0" tint="-0.34998626667073579"/>
      </font>
    </dxf>
    <dxf>
      <font>
        <color theme="0" tint="-0.34998626667073579"/>
      </font>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FF0000"/>
      </font>
    </dxf>
    <dxf>
      <font>
        <b/>
        <i val="0"/>
        <strike val="0"/>
      </font>
      <fill>
        <patternFill>
          <bgColor theme="8" tint="0.59996337778862885"/>
        </patternFill>
      </fill>
    </dxf>
    <dxf>
      <border>
        <top style="thin">
          <color auto="1"/>
        </top>
        <vertical/>
        <horizontal/>
      </border>
    </dxf>
    <dxf>
      <font>
        <color rgb="FF0000FF"/>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Curves'!$CH$150</c:f>
              <c:strCache>
                <c:ptCount val="1"/>
                <c:pt idx="0">
                  <c:v>Pos Disp A</c:v>
                </c:pt>
              </c:strCache>
            </c:strRef>
          </c:tx>
          <c:spPr>
            <a:ln>
              <a:solidFill>
                <a:schemeClr val="tx2">
                  <a:lumMod val="60000"/>
                  <a:lumOff val="40000"/>
                </a:schemeClr>
              </a:solidFill>
            </a:ln>
          </c:spPr>
          <c:marker>
            <c:symbol val="none"/>
          </c:marker>
          <c:xVal>
            <c:numRef>
              <c:f>'ACM Performance Curves'!$CI$149:$CT$149</c:f>
            </c:numRef>
          </c:xVal>
          <c:yVal>
            <c:numRef>
              <c:f>'ACM Performance Curves'!$CI$150:$CT$150</c:f>
            </c:numRef>
          </c:yVal>
          <c:smooth val="0"/>
          <c:extLst>
            <c:ext xmlns:c16="http://schemas.microsoft.com/office/drawing/2014/chart" uri="{C3380CC4-5D6E-409C-BE32-E72D297353CC}">
              <c16:uniqueId val="{00000000-2ED1-4F21-818E-99B437E58BA2}"/>
            </c:ext>
          </c:extLst>
        </c:ser>
        <c:ser>
          <c:idx val="2"/>
          <c:order val="1"/>
          <c:tx>
            <c:strRef>
              <c:f>'ACM Performance Curves'!$CH$152</c:f>
              <c:strCache>
                <c:ptCount val="1"/>
                <c:pt idx="0">
                  <c:v>Pos Disp B</c:v>
                </c:pt>
              </c:strCache>
            </c:strRef>
          </c:tx>
          <c:spPr>
            <a:ln>
              <a:solidFill>
                <a:schemeClr val="tx2">
                  <a:lumMod val="60000"/>
                  <a:lumOff val="40000"/>
                </a:schemeClr>
              </a:solidFill>
              <a:prstDash val="dash"/>
            </a:ln>
          </c:spPr>
          <c:marker>
            <c:symbol val="none"/>
          </c:marker>
          <c:xVal>
            <c:numRef>
              <c:f>'ACM Performance Curves'!$CI$149:$CT$149</c:f>
            </c:numRef>
          </c:xVal>
          <c:yVal>
            <c:numRef>
              <c:f>'ACM Performance Curves'!$CI$152:$CT$152</c:f>
            </c:numRef>
          </c:yVal>
          <c:smooth val="0"/>
          <c:extLst>
            <c:ext xmlns:c16="http://schemas.microsoft.com/office/drawing/2014/chart" uri="{C3380CC4-5D6E-409C-BE32-E72D297353CC}">
              <c16:uniqueId val="{00000001-2ED1-4F21-818E-99B437E58BA2}"/>
            </c:ext>
          </c:extLst>
        </c:ser>
        <c:ser>
          <c:idx val="1"/>
          <c:order val="2"/>
          <c:tx>
            <c:strRef>
              <c:f>'ACM Performance Curves'!$CH$151</c:f>
              <c:strCache>
                <c:ptCount val="1"/>
                <c:pt idx="0">
                  <c:v>Cent A</c:v>
                </c:pt>
              </c:strCache>
            </c:strRef>
          </c:tx>
          <c:spPr>
            <a:ln>
              <a:solidFill>
                <a:srgbClr val="FF0000"/>
              </a:solidFill>
            </a:ln>
          </c:spPr>
          <c:marker>
            <c:symbol val="none"/>
          </c:marker>
          <c:xVal>
            <c:numRef>
              <c:f>'ACM Performance Curves'!$CI$149:$CT$149</c:f>
            </c:numRef>
          </c:xVal>
          <c:yVal>
            <c:numRef>
              <c:f>'ACM Performance Curves'!$CI$151:$CT$151</c:f>
            </c:numRef>
          </c:yVal>
          <c:smooth val="0"/>
          <c:extLst>
            <c:ext xmlns:c16="http://schemas.microsoft.com/office/drawing/2014/chart" uri="{C3380CC4-5D6E-409C-BE32-E72D297353CC}">
              <c16:uniqueId val="{00000002-2ED1-4F21-818E-99B437E58BA2}"/>
            </c:ext>
          </c:extLst>
        </c:ser>
        <c:ser>
          <c:idx val="3"/>
          <c:order val="3"/>
          <c:tx>
            <c:strRef>
              <c:f>'ACM Performance Curves'!$CH$153</c:f>
              <c:strCache>
                <c:ptCount val="1"/>
                <c:pt idx="0">
                  <c:v>Cent &lt;300 B</c:v>
                </c:pt>
              </c:strCache>
            </c:strRef>
          </c:tx>
          <c:spPr>
            <a:ln>
              <a:solidFill>
                <a:srgbClr val="FF0000"/>
              </a:solidFill>
              <a:prstDash val="lgDash"/>
            </a:ln>
          </c:spPr>
          <c:marker>
            <c:symbol val="none"/>
          </c:marker>
          <c:xVal>
            <c:numRef>
              <c:f>'ACM Performance Curves'!$CI$149:$CT$149</c:f>
            </c:numRef>
          </c:xVal>
          <c:yVal>
            <c:numRef>
              <c:f>'ACM Performance Curves'!$CI$153:$CT$153</c:f>
            </c:numRef>
          </c:yVal>
          <c:smooth val="0"/>
          <c:extLst>
            <c:ext xmlns:c16="http://schemas.microsoft.com/office/drawing/2014/chart" uri="{C3380CC4-5D6E-409C-BE32-E72D297353CC}">
              <c16:uniqueId val="{00000003-2ED1-4F21-818E-99B437E58BA2}"/>
            </c:ext>
          </c:extLst>
        </c:ser>
        <c:ser>
          <c:idx val="4"/>
          <c:order val="4"/>
          <c:tx>
            <c:strRef>
              <c:f>'ACM Performance Curves'!$CH$154</c:f>
              <c:strCache>
                <c:ptCount val="1"/>
                <c:pt idx="0">
                  <c:v>Cent 300-600 B</c:v>
                </c:pt>
              </c:strCache>
            </c:strRef>
          </c:tx>
          <c:spPr>
            <a:ln>
              <a:solidFill>
                <a:srgbClr val="FF0000"/>
              </a:solidFill>
              <a:prstDash val="dash"/>
            </a:ln>
          </c:spPr>
          <c:marker>
            <c:symbol val="none"/>
          </c:marker>
          <c:xVal>
            <c:numRef>
              <c:f>'ACM Performance Curves'!$CI$149:$CT$149</c:f>
            </c:numRef>
          </c:xVal>
          <c:yVal>
            <c:numRef>
              <c:f>'ACM Performance Curves'!$CI$154:$CT$154</c:f>
            </c:numRef>
          </c:yVal>
          <c:smooth val="0"/>
          <c:extLst>
            <c:ext xmlns:c16="http://schemas.microsoft.com/office/drawing/2014/chart" uri="{C3380CC4-5D6E-409C-BE32-E72D297353CC}">
              <c16:uniqueId val="{00000004-2ED1-4F21-818E-99B437E58BA2}"/>
            </c:ext>
          </c:extLst>
        </c:ser>
        <c:ser>
          <c:idx val="5"/>
          <c:order val="5"/>
          <c:tx>
            <c:strRef>
              <c:f>'ACM Performance Curves'!$CH$155</c:f>
              <c:strCache>
                <c:ptCount val="1"/>
                <c:pt idx="0">
                  <c:v>Cent &gt;600 B</c:v>
                </c:pt>
              </c:strCache>
            </c:strRef>
          </c:tx>
          <c:spPr>
            <a:ln>
              <a:solidFill>
                <a:srgbClr val="FF0000"/>
              </a:solidFill>
              <a:prstDash val="sysDash"/>
            </a:ln>
          </c:spPr>
          <c:marker>
            <c:symbol val="none"/>
          </c:marker>
          <c:xVal>
            <c:numRef>
              <c:f>'ACM Performance Curves'!$CI$149:$CT$149</c:f>
            </c:numRef>
          </c:xVal>
          <c:yVal>
            <c:numRef>
              <c:f>'ACM Performance Curves'!$CI$155:$CT$155</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NO LONGER USED'!$F$21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NO LONGER USED'!$G$21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NO LONGER USED'!$H$21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NO LONGER USED'!$I$21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NO LONGER USED'!$J$21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NO LONGER USED'!$K$21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138</xdr:row>
      <xdr:rowOff>44822</xdr:rowOff>
    </xdr:from>
    <xdr:to>
      <xdr:col>21</xdr:col>
      <xdr:colOff>212912</xdr:colOff>
      <xdr:row>139</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132</xdr:row>
      <xdr:rowOff>78441</xdr:rowOff>
    </xdr:from>
    <xdr:to>
      <xdr:col>21</xdr:col>
      <xdr:colOff>201706</xdr:colOff>
      <xdr:row>133</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145</xdr:row>
      <xdr:rowOff>123265</xdr:rowOff>
    </xdr:from>
    <xdr:to>
      <xdr:col>106</xdr:col>
      <xdr:colOff>0</xdr:colOff>
      <xdr:row>154</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rent, John" id="{E33755AD-3C89-42A6-9DB3-CF0B5EC5B8F4}" userId="S::jarent@Noresco.com::5809fac3-61e0-4c5d-b602-f998048692c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U201" dT="2022-07-06T16:50:38.24" personId="{E33755AD-3C89-42A6-9DB3-CF0B5EC5B8F4}" id="{404AEA55-49DC-4821-A85F-BEA1FF07652D}">
    <text>These are not applicable, since input values do not have a reference value of "1".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86"/>
  <sheetViews>
    <sheetView tabSelected="1" zoomScale="85" zoomScaleNormal="85" workbookViewId="0">
      <pane xSplit="6" ySplit="15" topLeftCell="AU16" activePane="bottomRight" state="frozen"/>
      <selection pane="topRight" activeCell="G1" sqref="G1"/>
      <selection pane="bottomLeft" activeCell="A16" sqref="A16"/>
      <selection pane="bottomRight" activeCell="BB8" sqref="BB8"/>
    </sheetView>
  </sheetViews>
  <sheetFormatPr defaultColWidth="9.109375" defaultRowHeight="14.4" outlineLevelRow="1" outlineLevelCol="2" x14ac:dyDescent="0.3"/>
  <cols>
    <col min="1" max="1" width="3.5546875" style="16" customWidth="1"/>
    <col min="2" max="3" width="10.6640625" style="13" customWidth="1"/>
    <col min="4" max="4" width="46" style="22" customWidth="1"/>
    <col min="5" max="5" width="14.109375" style="13" customWidth="1" outlineLevel="1"/>
    <col min="6" max="6" width="30.44140625" style="13" customWidth="1" outlineLevel="1"/>
    <col min="7" max="7" width="37.6640625" style="22" customWidth="1" outlineLevel="1"/>
    <col min="8" max="8" width="25.44140625" style="13" customWidth="1" outlineLevel="1"/>
    <col min="9" max="9" width="18.33203125" style="13" customWidth="1" outlineLevel="2"/>
    <col min="10" max="10" width="14.88671875" style="13" customWidth="1" outlineLevel="2"/>
    <col min="11" max="11" width="20.109375" style="13" customWidth="1" outlineLevel="2"/>
    <col min="12" max="12" width="42.33203125" style="13" customWidth="1" outlineLevel="2"/>
    <col min="13" max="13" width="77.88671875" style="13" bestFit="1" customWidth="1" outlineLevel="2"/>
    <col min="14" max="14" width="50.6640625" style="13" customWidth="1"/>
    <col min="15" max="15" width="17" style="13" customWidth="1"/>
    <col min="16" max="16" width="15.5546875" style="13" customWidth="1"/>
    <col min="17" max="17" width="10.33203125" style="13" customWidth="1"/>
    <col min="18" max="21" width="12" style="13" customWidth="1"/>
    <col min="22" max="22" width="12.6640625" style="33" customWidth="1"/>
    <col min="23" max="26" width="12.6640625" style="33" customWidth="1" outlineLevel="1"/>
    <col min="27" max="27" width="16.33203125" style="33" customWidth="1" outlineLevel="1"/>
    <col min="28" max="31" width="9.6640625" style="13" hidden="1" customWidth="1" outlineLevel="1"/>
    <col min="32" max="32" width="8.88671875" style="13" hidden="1" customWidth="1" outlineLevel="1"/>
    <col min="33" max="33" width="9.44140625" style="13" customWidth="1"/>
    <col min="34" max="34" width="9.109375" style="13" customWidth="1" outlineLevel="1"/>
    <col min="35" max="38" width="10.5546875" style="13" customWidth="1" outlineLevel="1"/>
    <col min="39" max="39" width="50.109375" style="22" customWidth="1"/>
    <col min="40" max="40" width="3.33203125" style="13" customWidth="1"/>
    <col min="41" max="41" width="9.109375" style="13" customWidth="1"/>
    <col min="42" max="42" width="69.109375" style="13" customWidth="1"/>
    <col min="43" max="44" width="19.44140625" style="13" customWidth="1" outlineLevel="1"/>
    <col min="45" max="45" width="14.33203125" style="13" customWidth="1" outlineLevel="1"/>
    <col min="46" max="46" width="11.88671875" style="13" customWidth="1" outlineLevel="1"/>
    <col min="47" max="47" width="7.44140625" style="13" customWidth="1" outlineLevel="1"/>
    <col min="48" max="48" width="65" style="13" customWidth="1" outlineLevel="1"/>
    <col min="49" max="49" width="12.33203125" style="13" customWidth="1" outlineLevel="1"/>
    <col min="50" max="55" width="14.109375" style="13" customWidth="1" outlineLevel="1"/>
    <col min="56" max="56" width="7.88671875" style="13" customWidth="1" outlineLevel="1"/>
    <col min="57" max="57" width="10" style="13" customWidth="1" outlineLevel="1"/>
    <col min="58" max="58" width="9.6640625" style="13" customWidth="1" outlineLevel="1"/>
    <col min="59" max="59" width="10.6640625" style="13" customWidth="1" outlineLevel="1"/>
    <col min="60" max="60" width="10.44140625" style="13" customWidth="1" outlineLevel="1"/>
    <col min="61" max="61" width="10.6640625" style="13" customWidth="1" outlineLevel="1"/>
    <col min="62" max="62" width="10.33203125" style="13" customWidth="1" outlineLevel="1"/>
    <col min="63" max="64" width="9.109375" style="13"/>
    <col min="65" max="66" width="11.44140625" style="13" customWidth="1"/>
    <col min="67" max="72" width="9.6640625" style="13" customWidth="1"/>
    <col min="73" max="73" width="10.6640625" style="13" customWidth="1"/>
    <col min="74" max="75" width="9.6640625" style="13" customWidth="1"/>
    <col min="76" max="78" width="11.109375" style="13" customWidth="1"/>
    <col min="79" max="16384" width="9.109375" style="13"/>
  </cols>
  <sheetData>
    <row r="1" spans="1:84" ht="18" x14ac:dyDescent="0.3">
      <c r="B1" s="32" t="s">
        <v>529</v>
      </c>
      <c r="U1"/>
      <c r="V1"/>
      <c r="W1"/>
      <c r="X1"/>
      <c r="Y1"/>
      <c r="Z1"/>
      <c r="AA1"/>
      <c r="AB1"/>
      <c r="AC1"/>
      <c r="AD1"/>
    </row>
    <row r="2" spans="1:84" x14ac:dyDescent="0.3">
      <c r="U2"/>
      <c r="V2"/>
      <c r="W2"/>
      <c r="X2"/>
      <c r="Y2"/>
      <c r="Z2"/>
      <c r="AA2"/>
      <c r="AB2"/>
      <c r="AC2"/>
      <c r="AD2"/>
      <c r="AT2" s="13" t="s">
        <v>286</v>
      </c>
      <c r="AU2" s="13" t="s">
        <v>341</v>
      </c>
    </row>
    <row r="3" spans="1:84" x14ac:dyDescent="0.3">
      <c r="B3" s="86" t="s">
        <v>633</v>
      </c>
      <c r="U3"/>
      <c r="V3"/>
      <c r="W3"/>
      <c r="X3"/>
      <c r="Y3"/>
      <c r="Z3"/>
      <c r="AA3"/>
      <c r="AB3"/>
      <c r="AC3"/>
      <c r="AD3"/>
      <c r="AT3" s="13" t="s">
        <v>340</v>
      </c>
      <c r="AU3" s="34" t="s">
        <v>511</v>
      </c>
      <c r="AV3" s="34"/>
      <c r="AW3" s="34"/>
    </row>
    <row r="4" spans="1:84" x14ac:dyDescent="0.3">
      <c r="B4" s="13" t="s">
        <v>433</v>
      </c>
      <c r="C4" s="13" t="s">
        <v>434</v>
      </c>
      <c r="U4"/>
      <c r="V4"/>
      <c r="W4"/>
      <c r="X4"/>
      <c r="Y4"/>
      <c r="Z4"/>
      <c r="AA4"/>
      <c r="AB4"/>
      <c r="AC4"/>
      <c r="AD4"/>
      <c r="AT4" s="13" t="s">
        <v>162</v>
      </c>
      <c r="AU4" s="13" t="s">
        <v>342</v>
      </c>
    </row>
    <row r="5" spans="1:84" x14ac:dyDescent="0.3">
      <c r="B5" s="34" t="s">
        <v>429</v>
      </c>
      <c r="C5" s="34" t="s">
        <v>430</v>
      </c>
      <c r="D5" s="35"/>
      <c r="U5"/>
      <c r="V5"/>
      <c r="W5"/>
      <c r="X5"/>
      <c r="Y5"/>
      <c r="Z5"/>
      <c r="AA5"/>
      <c r="AB5"/>
      <c r="AC5"/>
      <c r="AD5"/>
      <c r="AT5" s="13" t="s">
        <v>165</v>
      </c>
      <c r="AU5" s="13" t="s">
        <v>343</v>
      </c>
    </row>
    <row r="6" spans="1:84" x14ac:dyDescent="0.3">
      <c r="B6" s="36" t="s">
        <v>431</v>
      </c>
      <c r="C6" s="36" t="s">
        <v>432</v>
      </c>
      <c r="U6"/>
      <c r="W6"/>
      <c r="X6"/>
      <c r="Y6"/>
      <c r="Z6"/>
      <c r="AA6"/>
      <c r="AB6"/>
      <c r="AC6"/>
      <c r="AD6"/>
      <c r="AT6" s="13" t="s">
        <v>230</v>
      </c>
      <c r="AU6" s="13" t="s">
        <v>344</v>
      </c>
    </row>
    <row r="7" spans="1:84" x14ac:dyDescent="0.3">
      <c r="B7" s="85" t="s">
        <v>642</v>
      </c>
      <c r="U7"/>
      <c r="AB7"/>
      <c r="AC7"/>
      <c r="AD7"/>
      <c r="AT7" s="13" t="s">
        <v>207</v>
      </c>
      <c r="AU7" s="13" t="s">
        <v>376</v>
      </c>
    </row>
    <row r="8" spans="1:84" x14ac:dyDescent="0.3">
      <c r="U8"/>
      <c r="AB8"/>
      <c r="AC8"/>
      <c r="AD8"/>
      <c r="AT8" s="13" t="s">
        <v>322</v>
      </c>
      <c r="AU8" s="13" t="s">
        <v>512</v>
      </c>
    </row>
    <row r="9" spans="1:84" x14ac:dyDescent="0.3">
      <c r="U9"/>
      <c r="V9"/>
      <c r="Z9"/>
      <c r="AA9"/>
      <c r="AB9"/>
      <c r="AC9"/>
      <c r="AD9"/>
      <c r="AT9" s="13" t="s">
        <v>508</v>
      </c>
      <c r="AU9" s="13" t="s">
        <v>513</v>
      </c>
    </row>
    <row r="10" spans="1:84" x14ac:dyDescent="0.3">
      <c r="U10"/>
      <c r="V10"/>
      <c r="Z10"/>
      <c r="AA10"/>
      <c r="AB10"/>
      <c r="AC10"/>
      <c r="AD10"/>
      <c r="AT10" s="13" t="s">
        <v>510</v>
      </c>
      <c r="AU10" s="13" t="s">
        <v>514</v>
      </c>
    </row>
    <row r="11" spans="1:84" x14ac:dyDescent="0.3">
      <c r="AI11" s="95"/>
      <c r="BT11" s="13" t="s">
        <v>724</v>
      </c>
      <c r="BU11" s="13">
        <v>1.05</v>
      </c>
    </row>
    <row r="12" spans="1:84" x14ac:dyDescent="0.3">
      <c r="B12" s="36"/>
      <c r="C12" s="36"/>
      <c r="AI12" s="95"/>
      <c r="BT12" s="13" t="s">
        <v>676</v>
      </c>
      <c r="BU12" s="13">
        <v>0.95</v>
      </c>
    </row>
    <row r="13" spans="1:84" x14ac:dyDescent="0.3">
      <c r="B13" s="60" t="s">
        <v>530</v>
      </c>
      <c r="C13" s="46"/>
      <c r="D13" s="59"/>
      <c r="E13" s="46"/>
      <c r="P13" s="291" t="s">
        <v>27</v>
      </c>
      <c r="Q13" s="291"/>
      <c r="R13" s="291"/>
      <c r="S13" s="291"/>
      <c r="T13" s="291"/>
      <c r="U13" s="291"/>
    </row>
    <row r="14" spans="1:84" ht="44.25" customHeight="1" x14ac:dyDescent="0.3">
      <c r="B14" s="46" t="s">
        <v>284</v>
      </c>
      <c r="C14" s="46" t="s">
        <v>256</v>
      </c>
      <c r="Q14" s="54"/>
      <c r="R14" s="55"/>
      <c r="S14" s="58" t="s">
        <v>518</v>
      </c>
      <c r="T14" s="55"/>
      <c r="U14" s="56"/>
      <c r="V14" s="57"/>
      <c r="W14" s="55"/>
      <c r="X14" s="55"/>
      <c r="Y14" s="55"/>
      <c r="Z14" s="55" t="s">
        <v>257</v>
      </c>
      <c r="AA14" s="55"/>
      <c r="AB14" s="55"/>
      <c r="AC14" s="55"/>
      <c r="AD14" s="55"/>
      <c r="AE14" s="56"/>
      <c r="AF14" s="16"/>
      <c r="AG14" s="54"/>
      <c r="AH14" s="57"/>
      <c r="AI14" s="55" t="s">
        <v>260</v>
      </c>
      <c r="AJ14" s="57"/>
      <c r="AK14" s="57"/>
      <c r="AL14" s="83"/>
      <c r="AP14" s="292" t="s">
        <v>722</v>
      </c>
      <c r="AU14" s="13">
        <v>15</v>
      </c>
      <c r="AW14" s="94">
        <v>65</v>
      </c>
      <c r="BD14" s="13">
        <f>AU14+AW14</f>
        <v>80</v>
      </c>
    </row>
    <row r="15" spans="1:84" s="19" customFormat="1" ht="31.5" customHeight="1" x14ac:dyDescent="0.3">
      <c r="B15" s="88" t="s">
        <v>123</v>
      </c>
      <c r="C15" s="88" t="s">
        <v>124</v>
      </c>
      <c r="D15" s="88" t="s">
        <v>30</v>
      </c>
      <c r="E15" s="88" t="s">
        <v>485</v>
      </c>
      <c r="F15" s="88" t="s">
        <v>486</v>
      </c>
      <c r="G15" s="88" t="s">
        <v>487</v>
      </c>
      <c r="H15" s="88" t="s">
        <v>488</v>
      </c>
      <c r="I15" s="88" t="s">
        <v>658</v>
      </c>
      <c r="J15" s="88" t="s">
        <v>631</v>
      </c>
      <c r="K15" s="88" t="s">
        <v>643</v>
      </c>
      <c r="L15" s="88" t="s">
        <v>483</v>
      </c>
      <c r="M15" s="88" t="s">
        <v>527</v>
      </c>
      <c r="N15" s="88" t="s">
        <v>632</v>
      </c>
      <c r="O15" s="88" t="s">
        <v>149</v>
      </c>
      <c r="P15" s="88" t="s">
        <v>261</v>
      </c>
      <c r="Q15" s="89" t="s">
        <v>114</v>
      </c>
      <c r="R15" s="89" t="s">
        <v>115</v>
      </c>
      <c r="S15" s="89" t="s">
        <v>500</v>
      </c>
      <c r="T15" s="89" t="s">
        <v>501</v>
      </c>
      <c r="U15" s="89" t="s">
        <v>506</v>
      </c>
      <c r="V15" s="90" t="s">
        <v>17</v>
      </c>
      <c r="W15" s="90" t="s">
        <v>18</v>
      </c>
      <c r="X15" s="90" t="s">
        <v>19</v>
      </c>
      <c r="Y15" s="90" t="s">
        <v>20</v>
      </c>
      <c r="Z15" s="90" t="s">
        <v>21</v>
      </c>
      <c r="AA15" s="90" t="s">
        <v>22</v>
      </c>
      <c r="AB15" s="88" t="s">
        <v>23</v>
      </c>
      <c r="AC15" s="88" t="s">
        <v>24</v>
      </c>
      <c r="AD15" s="88" t="s">
        <v>25</v>
      </c>
      <c r="AE15" s="88" t="s">
        <v>26</v>
      </c>
      <c r="AF15" s="103" t="s">
        <v>680</v>
      </c>
      <c r="AG15" s="88" t="s">
        <v>108</v>
      </c>
      <c r="AH15" s="88" t="s">
        <v>109</v>
      </c>
      <c r="AI15" s="88" t="s">
        <v>110</v>
      </c>
      <c r="AJ15" s="88" t="s">
        <v>112</v>
      </c>
      <c r="AK15" s="88" t="s">
        <v>111</v>
      </c>
      <c r="AL15" s="88" t="s">
        <v>113</v>
      </c>
      <c r="AM15" s="91" t="s">
        <v>266</v>
      </c>
      <c r="AN15" s="92"/>
      <c r="AO15" s="93" t="s">
        <v>359</v>
      </c>
      <c r="AP15" s="292"/>
      <c r="AQ15" s="19" t="s">
        <v>361</v>
      </c>
      <c r="AR15" s="19" t="s">
        <v>360</v>
      </c>
      <c r="AS15" s="19" t="s">
        <v>397</v>
      </c>
      <c r="AT15" s="19" t="s">
        <v>276</v>
      </c>
      <c r="AU15" s="19" t="s">
        <v>357</v>
      </c>
      <c r="AW15" s="19" t="s">
        <v>358</v>
      </c>
      <c r="AX15" s="19" t="s">
        <v>350</v>
      </c>
      <c r="AY15" s="19" t="s">
        <v>349</v>
      </c>
      <c r="AZ15" s="19" t="s">
        <v>348</v>
      </c>
      <c r="BA15" s="19" t="s">
        <v>347</v>
      </c>
      <c r="BB15" s="19" t="s">
        <v>346</v>
      </c>
      <c r="BC15" s="19" t="s">
        <v>345</v>
      </c>
      <c r="BD15" s="19" t="s">
        <v>358</v>
      </c>
      <c r="BE15" s="19" t="s">
        <v>351</v>
      </c>
      <c r="BF15" s="19" t="s">
        <v>352</v>
      </c>
      <c r="BG15" s="19" t="s">
        <v>353</v>
      </c>
      <c r="BH15" s="19" t="s">
        <v>354</v>
      </c>
      <c r="BI15" s="19" t="s">
        <v>355</v>
      </c>
      <c r="BJ15" s="19" t="s">
        <v>356</v>
      </c>
      <c r="BO15" s="19" t="s">
        <v>725</v>
      </c>
      <c r="BP15" s="19" t="s">
        <v>726</v>
      </c>
      <c r="BQ15" s="19" t="s">
        <v>723</v>
      </c>
      <c r="BR15" s="19" t="s">
        <v>112</v>
      </c>
      <c r="BS15" s="19" t="s">
        <v>111</v>
      </c>
      <c r="BT15" s="19" t="s">
        <v>113</v>
      </c>
      <c r="BU15" s="19" t="s">
        <v>727</v>
      </c>
      <c r="BV15" s="19" t="s">
        <v>108</v>
      </c>
      <c r="BW15" s="19" t="s">
        <v>109</v>
      </c>
      <c r="BX15" s="19" t="s">
        <v>266</v>
      </c>
      <c r="CB15" s="19" t="s">
        <v>732</v>
      </c>
      <c r="CC15" s="19" t="s">
        <v>735</v>
      </c>
      <c r="CD15" s="19" t="s">
        <v>733</v>
      </c>
      <c r="CE15" s="19" t="s">
        <v>734</v>
      </c>
      <c r="CF15" s="19" t="s">
        <v>266</v>
      </c>
    </row>
    <row r="16" spans="1:84" s="16" customFormat="1" x14ac:dyDescent="0.3">
      <c r="A16" s="16" t="s">
        <v>268</v>
      </c>
      <c r="D16" s="23"/>
      <c r="G16" s="23"/>
      <c r="N16" s="13" t="str">
        <f t="shared" ref="N16:N49" si="0">IF(ISBLANK(E16),"-",E16&amp;H16&amp;P16&amp;"_f"&amp;Q16&amp;R16&amp;S16&amp;T16&amp;U16&amp;I16)</f>
        <v>-</v>
      </c>
      <c r="Q16" s="20"/>
      <c r="R16" s="20"/>
      <c r="S16" s="20"/>
      <c r="T16" s="20"/>
      <c r="U16" s="20"/>
      <c r="V16" s="37"/>
      <c r="W16" s="37"/>
      <c r="X16" s="37"/>
      <c r="Y16" s="37"/>
      <c r="Z16" s="37"/>
      <c r="AA16" s="37"/>
      <c r="AF16" s="101"/>
      <c r="AM16" s="23"/>
      <c r="AP16" s="120" t="str">
        <f>IF(AO16=1,CONCATENATE(AQ16,AR16,AS16),"")</f>
        <v/>
      </c>
      <c r="AQ16" s="120" t="str">
        <f t="shared" ref="AQ16:AQ25" si="1">IF(AO16=1,CONCATENATE(AT16,AU16,AV16,AW16,IF(AX16="-","",$AX$15&amp;AX16),IF(AY16="-","",$AY$15&amp;AY16),IF(AZ16="-","",$AZ$15&amp;AZ16),IF(BA16="-","",$BA$15&amp;BA16),IF(BB16="-","",$BB$15&amp;BB16),IF(BC16="-","",$BC$15&amp;BC16)),"")</f>
        <v/>
      </c>
      <c r="AR16" s="120" t="str">
        <f>IF(AO16=1,CONCATENATE(BD16,IF(BE16="-","",$BE$15&amp;BE16),IF(BF16="-","",$BF$15&amp;BF16),IF(BG16="-","",$BG$15&amp;BG16),IF(BH16="-","",$BH$15&amp;BH16),IF(BI16="-","",$BI$15&amp;BI16),IF(BJ16="-","",$BJ$15&amp;BJ16)),"")</f>
        <v/>
      </c>
      <c r="AS16" s="120" t="str">
        <f>IF(AO16=1,CHAR(13)&amp;"..","")</f>
        <v/>
      </c>
      <c r="AT16" s="13" t="str">
        <f t="shared" ref="AT16:AT25" si="2">IF(AO16=1,VLOOKUP(O16,$AT$2:$AV$13,2,0),"")</f>
        <v/>
      </c>
      <c r="AU16" s="13"/>
      <c r="AV16" s="13" t="str">
        <f t="shared" ref="AV16:AV42" si="3">IF(AO16=1,CONCATENATE("""",N16,""""),"")</f>
        <v/>
      </c>
      <c r="AW16" s="13" t="str">
        <f t="shared" ref="AW16:AW42" si="4">REPT(" ",$AW$14-LEN(AV16))</f>
        <v xml:space="preserve">                                                                 </v>
      </c>
      <c r="AX16" s="13" t="str">
        <f t="shared" ref="AX16:BC16" si="5">IF($AO16=1,IF(ISBLANK(V16),"-",CONCATENATE(TEXT(V16," 0.0000;-0.0000"),"  ")),"")</f>
        <v/>
      </c>
      <c r="AY16" s="13" t="str">
        <f t="shared" si="5"/>
        <v/>
      </c>
      <c r="AZ16" s="13" t="str">
        <f t="shared" si="5"/>
        <v/>
      </c>
      <c r="BA16" s="13" t="str">
        <f t="shared" si="5"/>
        <v/>
      </c>
      <c r="BB16" s="13" t="str">
        <f t="shared" si="5"/>
        <v/>
      </c>
      <c r="BC16" s="13" t="str">
        <f t="shared" si="5"/>
        <v/>
      </c>
      <c r="BD16" s="13" t="str">
        <f>IF(BE16="-","",CHAR(13)&amp;REPT(" ",70))</f>
        <v xml:space="preserve">_x000D_                                                                      </v>
      </c>
      <c r="BE16" s="13" t="str">
        <f t="shared" ref="BE16:BJ16" si="6">IF($AO16=1,IF(ISBLANK(AG16),"-",CONCATENATE(TEXT(AG16,"0.00"),"   ")),"")</f>
        <v/>
      </c>
      <c r="BF16" s="13" t="str">
        <f t="shared" si="6"/>
        <v/>
      </c>
      <c r="BG16" s="13" t="str">
        <f t="shared" si="6"/>
        <v/>
      </c>
      <c r="BH16" s="13" t="str">
        <f t="shared" si="6"/>
        <v/>
      </c>
      <c r="BI16" s="13" t="str">
        <f t="shared" si="6"/>
        <v/>
      </c>
      <c r="BJ16" s="13" t="str">
        <f t="shared" si="6"/>
        <v/>
      </c>
    </row>
    <row r="17" spans="1:75" outlineLevel="1" x14ac:dyDescent="0.3">
      <c r="B17" s="13" t="s">
        <v>125</v>
      </c>
      <c r="C17" s="13" t="s">
        <v>258</v>
      </c>
      <c r="D17" s="22" t="s">
        <v>31</v>
      </c>
      <c r="E17" s="13" t="s">
        <v>277</v>
      </c>
      <c r="F17" s="13" t="s">
        <v>436</v>
      </c>
      <c r="G17" s="22" t="s">
        <v>278</v>
      </c>
      <c r="H17" s="13" t="s">
        <v>522</v>
      </c>
      <c r="J17" s="13" t="s">
        <v>272</v>
      </c>
      <c r="K17" s="13" t="s">
        <v>484</v>
      </c>
      <c r="L17" s="13" t="s">
        <v>259</v>
      </c>
      <c r="M17" s="13" t="s">
        <v>526</v>
      </c>
      <c r="N17" s="13" t="str">
        <f t="shared" si="0"/>
        <v>FanAForBIPwrRatio_fCFMRatio</v>
      </c>
      <c r="O17" s="13" t="s">
        <v>230</v>
      </c>
      <c r="P17" s="38" t="s">
        <v>275</v>
      </c>
      <c r="Q17" s="13" t="s">
        <v>120</v>
      </c>
      <c r="V17" s="33">
        <v>0.16309999999999999</v>
      </c>
      <c r="W17" s="33">
        <v>1.5901000000000001</v>
      </c>
      <c r="X17" s="33">
        <v>-0.88170000000000004</v>
      </c>
      <c r="Y17" s="33">
        <v>0.12809999999999999</v>
      </c>
      <c r="AF17" s="125">
        <f>V17+(W17*AJ17)+(X17*AJ17^2)+(Y17*AJ17^3)</f>
        <v>0.70000014590185444</v>
      </c>
      <c r="AG17" s="112">
        <v>1</v>
      </c>
      <c r="AH17" s="112">
        <f>ROUND(AF17,4)</f>
        <v>0.7</v>
      </c>
      <c r="AI17" s="113">
        <v>1</v>
      </c>
      <c r="AJ17" s="113">
        <v>0.43667912879142468</v>
      </c>
      <c r="AK17" s="113"/>
      <c r="AL17" s="113"/>
      <c r="AO17" s="13">
        <f t="shared" ref="AO17:AO27" si="7">IF(ISTEXT(A17),"",IF(I17="IP",0,1))</f>
        <v>1</v>
      </c>
      <c r="AP17" s="120" t="str">
        <f t="shared" ref="AP17:AP111" si="8">IF(AO17=1,CONCATENATE(AQ17,AR17,AS17),"")</f>
        <v>CrvCubic       "FanAForBIPwrRatio_fCFMRatio"                                    Coef1 =  0.163100  Coef2 =  1.590100  Coef3 = -0.881700  Coef4 =  0.128100  _x000D_
                                                                                MaxOut = 1.000   MinOut = 0.700   MaxVar1 = 1.000   MinVar1 = 0.437   _x000D_
..</v>
      </c>
      <c r="AQ17" s="120" t="str">
        <f t="shared" si="1"/>
        <v xml:space="preserve">CrvCubic       "FanAForBIPwrRatio_fCFMRatio"                                    Coef1 =  0.163100  Coef2 =  1.590100  Coef3 = -0.881700  Coef4 =  0.128100  </v>
      </c>
      <c r="AR17" s="120" t="str">
        <f>IF(AO17=1,CONCATENATE(BD17,IF(BE17="-","",$BE$15&amp;BE17),IF(BF17="-","",$BF$15&amp;BF17),IF(BG17="-","",$BG$15&amp;BG17),IF(BH17="-","",$BH$15&amp;BH17),IF(BI17="-","",$BI$15&amp;BI17),IF(BJ17="-","",$BJ$15&amp;BJ17)),"")</f>
        <v xml:space="preserve">_x000D_
                                                                                MaxOut = 1.000   MinOut = 0.700   MaxVar1 = 1.000   MinVar1 = 0.437   </v>
      </c>
      <c r="AS17" s="120" t="str">
        <f>IF(AO17=1,CHAR(13)&amp;CHAR(10)&amp;"..","")</f>
        <v>_x000D_
..</v>
      </c>
      <c r="AT17" s="13" t="str">
        <f t="shared" si="2"/>
        <v>CrvCubic</v>
      </c>
      <c r="AU17" s="13" t="str">
        <f>REPT(" ",AU$14-LEN(AT17))</f>
        <v xml:space="preserve">       </v>
      </c>
      <c r="AV17" s="13" t="str">
        <f t="shared" si="3"/>
        <v>"FanAForBIPwrRatio_fCFMRatio"</v>
      </c>
      <c r="AW17" s="13" t="str">
        <f t="shared" si="4"/>
        <v xml:space="preserve">                                    </v>
      </c>
      <c r="AX17" s="13" t="str">
        <f t="shared" ref="AX17:AX32" si="9">IF($AO17=1,IF(ISBLANK(V17),"-",CONCATENATE(TEXT(V17," 0.000000;-0.000000"),"  ")),"")</f>
        <v xml:space="preserve"> 0.163100  </v>
      </c>
      <c r="AY17" s="13" t="str">
        <f t="shared" ref="AY17:AY32" si="10">IF($AO17=1,IF(ISBLANK(W17),"-",CONCATENATE(TEXT(W17," 0.000000;-0.000000"),"  ")),"")</f>
        <v xml:space="preserve"> 1.590100  </v>
      </c>
      <c r="AZ17" s="13" t="str">
        <f t="shared" ref="AZ17:AZ32" si="11">IF($AO17=1,IF(ISBLANK(X17),"-",CONCATENATE(TEXT(X17," 0.000000;-0.000000"),"  ")),"")</f>
        <v xml:space="preserve">-0.881700  </v>
      </c>
      <c r="BA17" s="13" t="str">
        <f t="shared" ref="BA17:BA32" si="12">IF($AO17=1,IF(ISBLANK(Y17),"-",CONCATENATE(TEXT(Y17," 0.000000;-0.000000"),"  ")),"")</f>
        <v xml:space="preserve"> 0.128100  </v>
      </c>
      <c r="BB17" s="13" t="str">
        <f t="shared" ref="BB17:BB32" si="13">IF($AO17=1,IF(ISBLANK(Z17),"-",CONCATENATE(TEXT(Z17," 0.000000;-0.000000"),"  ")),"")</f>
        <v>-</v>
      </c>
      <c r="BC17" s="13" t="str">
        <f t="shared" ref="BC17:BC32" si="14">IF($AO17=1,IF(ISBLANK(AA17),"-",CONCATENATE(TEXT(AA17," 0.000000;-0.000000"),"  ")),"")</f>
        <v>-</v>
      </c>
      <c r="BD17" s="13" t="str">
        <f t="shared" ref="BD17:BD95" si="15">IF(MAX(AG17:AL17)=0,REPT(" ",1),CHAR(13)&amp;CHAR(10)&amp;REPT(" ",BD$14))</f>
        <v xml:space="preserve">_x000D_
                                                                                </v>
      </c>
      <c r="BE17" s="13" t="str">
        <f>IF($AO17=1,IF(AG17="","-",CONCATENATE(TEXT(AG17,"0.000"),"   ")),"")</f>
        <v xml:space="preserve">1.000   </v>
      </c>
      <c r="BF17" s="13" t="str">
        <f t="shared" ref="BF17:BJ17" si="16">IF($AO17=1,IF(AH17="","-",CONCATENATE(TEXT(AH17,"0.000"),"   ")),"")</f>
        <v xml:space="preserve">0.700   </v>
      </c>
      <c r="BG17" s="13" t="str">
        <f t="shared" si="16"/>
        <v xml:space="preserve">1.000   </v>
      </c>
      <c r="BH17" s="13" t="str">
        <f t="shared" si="16"/>
        <v xml:space="preserve">0.437   </v>
      </c>
      <c r="BI17" s="13" t="str">
        <f t="shared" si="16"/>
        <v>-</v>
      </c>
      <c r="BJ17" s="13" t="str">
        <f t="shared" si="16"/>
        <v>-</v>
      </c>
      <c r="BM17" s="13" t="str">
        <f t="shared" ref="BM17:BM25" si="17">Q17</f>
        <v>CFMRatio</v>
      </c>
      <c r="BO17" s="13">
        <v>1</v>
      </c>
      <c r="BR17" s="13">
        <v>0</v>
      </c>
      <c r="BU17" s="104">
        <f t="shared" ref="BU17:BU25" si="18">$V17+$W17*BO17+$X17*BO17^2+$Y17*BO17^3</f>
        <v>0.99960000000000004</v>
      </c>
      <c r="BV17" s="104"/>
      <c r="BW17" s="104">
        <f t="shared" ref="BW17:BW25" si="19">$V17+$W17*BR17+$X17*BR17^2+$Y17*BR17^3</f>
        <v>0.16309999999999999</v>
      </c>
    </row>
    <row r="18" spans="1:75" outlineLevel="1" x14ac:dyDescent="0.3">
      <c r="E18" s="13" t="s">
        <v>277</v>
      </c>
      <c r="F18" s="13" t="s">
        <v>436</v>
      </c>
      <c r="G18" s="22" t="s">
        <v>279</v>
      </c>
      <c r="H18" s="13" t="s">
        <v>521</v>
      </c>
      <c r="J18" s="13" t="s">
        <v>272</v>
      </c>
      <c r="K18" s="13" t="s">
        <v>484</v>
      </c>
      <c r="L18" s="13" t="s">
        <v>259</v>
      </c>
      <c r="M18" s="13" t="s">
        <v>526</v>
      </c>
      <c r="N18" s="13" t="str">
        <f t="shared" si="0"/>
        <v>FanAForBIVanesPwrRatio_fCFMRatio</v>
      </c>
      <c r="O18" s="13" t="s">
        <v>230</v>
      </c>
      <c r="P18" s="13" t="s">
        <v>275</v>
      </c>
      <c r="Q18" s="13" t="s">
        <v>120</v>
      </c>
      <c r="V18" s="33">
        <v>0.99770000000000003</v>
      </c>
      <c r="W18" s="33">
        <v>-0.65900000000000003</v>
      </c>
      <c r="X18" s="33">
        <v>0.95469999999999999</v>
      </c>
      <c r="Y18" s="33">
        <v>-0.29360000000000003</v>
      </c>
      <c r="AF18" s="125">
        <f t="shared" ref="AF18:AF26" si="20">V18+(W18*AJ18)+(X18*AJ18^2)+(Y18*AJ18^3)</f>
        <v>0.87098113639999997</v>
      </c>
      <c r="AG18" s="112">
        <v>1</v>
      </c>
      <c r="AH18" s="112">
        <f t="shared" ref="AH18:AH25" si="21">ROUND(AF18,4)</f>
        <v>0.871</v>
      </c>
      <c r="AI18" s="113">
        <v>1</v>
      </c>
      <c r="AJ18" s="113">
        <v>0.51</v>
      </c>
      <c r="AK18" s="113"/>
      <c r="AL18" s="113"/>
      <c r="AO18" s="13">
        <f t="shared" si="7"/>
        <v>1</v>
      </c>
      <c r="AP18" s="120" t="str">
        <f t="shared" si="8"/>
        <v>CrvCubic       "FanAForBIVanesPwrRatio_fCFMRatio"                               Coef1 =  0.997700  Coef2 = -0.659000  Coef3 =  0.954700  Coef4 = -0.293600  _x000D_
                                                                                MaxOut = 1.000   MinOut = 0.871   MaxVar1 = 1.000   MinVar1 = 0.510   _x000D_
..</v>
      </c>
      <c r="AQ18" s="120" t="str">
        <f t="shared" si="1"/>
        <v xml:space="preserve">CrvCubic       "FanAForBIVanesPwrRatio_fCFMRatio"                               Coef1 =  0.997700  Coef2 = -0.659000  Coef3 =  0.954700  Coef4 = -0.293600  </v>
      </c>
      <c r="AR18" s="120" t="str">
        <f t="shared" ref="AR18:AR42" si="22">IF(AO18=1,CONCATENATE(BD18,IF(BE18="-","",$BE$15&amp;BE18),IF(BF18="-","",$BF$15&amp;BF18),IF(BG18="-","",$BG$15&amp;BG18),IF(BH18="-","",$BH$15&amp;BH18),IF(BI18="-","",$BI$15&amp;BI18),IF(BJ18="-","",$BJ$15&amp;BJ18)),"")</f>
        <v xml:space="preserve">_x000D_
                                                                                MaxOut = 1.000   MinOut = 0.871   MaxVar1 = 1.000   MinVar1 = 0.510   </v>
      </c>
      <c r="AS18" s="120" t="str">
        <f t="shared" ref="AS18:AS105" si="23">IF(AO18=1,CHAR(13)&amp;CHAR(10)&amp;"..","")</f>
        <v>_x000D_
..</v>
      </c>
      <c r="AT18" s="13" t="str">
        <f t="shared" si="2"/>
        <v>CrvCubic</v>
      </c>
      <c r="AU18" s="13" t="str">
        <f t="shared" ref="AU18:AU96" si="24">REPT(" ",AU$14-LEN(AT18))</f>
        <v xml:space="preserve">       </v>
      </c>
      <c r="AV18" s="13" t="str">
        <f t="shared" si="3"/>
        <v>"FanAForBIVanesPwrRatio_fCFMRatio"</v>
      </c>
      <c r="AW18" s="13" t="str">
        <f t="shared" si="4"/>
        <v xml:space="preserve">                               </v>
      </c>
      <c r="AX18" s="13" t="str">
        <f t="shared" si="9"/>
        <v xml:space="preserve"> 0.997700  </v>
      </c>
      <c r="AY18" s="13" t="str">
        <f t="shared" si="10"/>
        <v xml:space="preserve">-0.659000  </v>
      </c>
      <c r="AZ18" s="13" t="str">
        <f t="shared" si="11"/>
        <v xml:space="preserve"> 0.954700  </v>
      </c>
      <c r="BA18" s="13" t="str">
        <f t="shared" si="12"/>
        <v xml:space="preserve">-0.293600  </v>
      </c>
      <c r="BB18" s="13" t="str">
        <f t="shared" si="13"/>
        <v>-</v>
      </c>
      <c r="BC18" s="13" t="str">
        <f t="shared" si="14"/>
        <v>-</v>
      </c>
      <c r="BD18" s="13" t="str">
        <f t="shared" si="15"/>
        <v xml:space="preserve">_x000D_
                                                                                </v>
      </c>
      <c r="BE18" s="13" t="str">
        <f t="shared" ref="BE18:BE53" si="25">IF($AO18=1,IF(AG18="","-",CONCATENATE(TEXT(AG18,"0.000"),"   ")),"")</f>
        <v xml:space="preserve">1.000   </v>
      </c>
      <c r="BF18" s="13" t="str">
        <f t="shared" ref="BF18:BF53" si="26">IF($AO18=1,IF(AH18="","-",CONCATENATE(TEXT(AH18,"0.000"),"   ")),"")</f>
        <v xml:space="preserve">0.871   </v>
      </c>
      <c r="BG18" s="13" t="str">
        <f t="shared" ref="BG18:BG53" si="27">IF($AO18=1,IF(AI18="","-",CONCATENATE(TEXT(AI18,"0.000"),"   ")),"")</f>
        <v xml:space="preserve">1.000   </v>
      </c>
      <c r="BH18" s="13" t="str">
        <f t="shared" ref="BH18:BH53" si="28">IF($AO18=1,IF(AJ18="","-",CONCATENATE(TEXT(AJ18,"0.000"),"   ")),"")</f>
        <v xml:space="preserve">0.510   </v>
      </c>
      <c r="BI18" s="13" t="str">
        <f t="shared" ref="BI18:BI53" si="29">IF($AO18=1,IF(AK18="","-",CONCATENATE(TEXT(AK18,"0.000"),"   ")),"")</f>
        <v>-</v>
      </c>
      <c r="BJ18" s="13" t="str">
        <f t="shared" ref="BJ18:BJ53" si="30">IF($AO18=1,IF(AL18="","-",CONCATENATE(TEXT(AL18,"0.000"),"   ")),"")</f>
        <v>-</v>
      </c>
      <c r="BM18" s="13" t="str">
        <f t="shared" si="17"/>
        <v>CFMRatio</v>
      </c>
      <c r="BO18" s="13">
        <v>1</v>
      </c>
      <c r="BR18" s="13">
        <v>0</v>
      </c>
      <c r="BU18" s="104">
        <f t="shared" si="18"/>
        <v>0.99980000000000002</v>
      </c>
      <c r="BV18" s="104"/>
      <c r="BW18" s="104">
        <f t="shared" si="19"/>
        <v>0.99770000000000003</v>
      </c>
    </row>
    <row r="19" spans="1:75" outlineLevel="1" x14ac:dyDescent="0.3">
      <c r="E19" s="13" t="s">
        <v>277</v>
      </c>
      <c r="F19" s="13" t="s">
        <v>436</v>
      </c>
      <c r="G19" s="22" t="s">
        <v>280</v>
      </c>
      <c r="H19" s="13" t="s">
        <v>304</v>
      </c>
      <c r="J19" s="13" t="s">
        <v>272</v>
      </c>
      <c r="K19" s="13" t="s">
        <v>484</v>
      </c>
      <c r="L19" s="13" t="s">
        <v>259</v>
      </c>
      <c r="M19" s="13" t="s">
        <v>526</v>
      </c>
      <c r="N19" s="13" t="str">
        <f t="shared" si="0"/>
        <v>FanFCPwrRatio_fCFMRatio</v>
      </c>
      <c r="O19" s="13" t="s">
        <v>230</v>
      </c>
      <c r="P19" s="13" t="s">
        <v>275</v>
      </c>
      <c r="Q19" s="13" t="s">
        <v>120</v>
      </c>
      <c r="V19" s="33">
        <v>0.12239999999999999</v>
      </c>
      <c r="W19" s="33">
        <v>0.61199999999999999</v>
      </c>
      <c r="X19" s="33">
        <v>0.59830000000000005</v>
      </c>
      <c r="Y19" s="33">
        <v>-0.33339999999999997</v>
      </c>
      <c r="AF19" s="125">
        <f t="shared" si="20"/>
        <v>0.50000030605968915</v>
      </c>
      <c r="AG19" s="112">
        <v>1</v>
      </c>
      <c r="AH19" s="112">
        <f t="shared" si="21"/>
        <v>0.5</v>
      </c>
      <c r="AI19" s="113">
        <v>1</v>
      </c>
      <c r="AJ19" s="113">
        <v>0.46203123039462779</v>
      </c>
      <c r="AK19" s="113"/>
      <c r="AL19" s="113"/>
      <c r="AO19" s="13">
        <f t="shared" si="7"/>
        <v>1</v>
      </c>
      <c r="AP19" s="120" t="str">
        <f t="shared" si="8"/>
        <v>CrvCubic       "FanFCPwrRatio_fCFMRatio"                                        Coef1 =  0.122400  Coef2 =  0.612000  Coef3 =  0.598300  Coef4 = -0.333400  _x000D_
                                                                                MaxOut = 1.000   MinOut = 0.500   MaxVar1 = 1.000   MinVar1 = 0.462   _x000D_
..</v>
      </c>
      <c r="AQ19" s="120" t="str">
        <f t="shared" si="1"/>
        <v xml:space="preserve">CrvCubic       "FanFCPwrRatio_fCFMRatio"                                        Coef1 =  0.122400  Coef2 =  0.612000  Coef3 =  0.598300  Coef4 = -0.333400  </v>
      </c>
      <c r="AR19" s="120" t="str">
        <f t="shared" si="22"/>
        <v xml:space="preserve">_x000D_
                                                                                MaxOut = 1.000   MinOut = 0.500   MaxVar1 = 1.000   MinVar1 = 0.462   </v>
      </c>
      <c r="AS19" s="120" t="str">
        <f t="shared" si="23"/>
        <v>_x000D_
..</v>
      </c>
      <c r="AT19" s="13" t="str">
        <f t="shared" si="2"/>
        <v>CrvCubic</v>
      </c>
      <c r="AU19" s="13" t="str">
        <f t="shared" si="24"/>
        <v xml:space="preserve">       </v>
      </c>
      <c r="AV19" s="13" t="str">
        <f t="shared" si="3"/>
        <v>"FanFCPwrRatio_fCFMRatio"</v>
      </c>
      <c r="AW19" s="13" t="str">
        <f t="shared" si="4"/>
        <v xml:space="preserve">                                        </v>
      </c>
      <c r="AX19" s="13" t="str">
        <f t="shared" si="9"/>
        <v xml:space="preserve"> 0.122400  </v>
      </c>
      <c r="AY19" s="13" t="str">
        <f t="shared" si="10"/>
        <v xml:space="preserve"> 0.612000  </v>
      </c>
      <c r="AZ19" s="13" t="str">
        <f t="shared" si="11"/>
        <v xml:space="preserve"> 0.598300  </v>
      </c>
      <c r="BA19" s="13" t="str">
        <f t="shared" si="12"/>
        <v xml:space="preserve">-0.333400  </v>
      </c>
      <c r="BB19" s="13" t="str">
        <f t="shared" si="13"/>
        <v>-</v>
      </c>
      <c r="BC19" s="13" t="str">
        <f t="shared" si="14"/>
        <v>-</v>
      </c>
      <c r="BD19" s="13" t="str">
        <f t="shared" si="15"/>
        <v xml:space="preserve">_x000D_
                                                                                </v>
      </c>
      <c r="BE19" s="13" t="str">
        <f t="shared" si="25"/>
        <v xml:space="preserve">1.000   </v>
      </c>
      <c r="BF19" s="13" t="str">
        <f t="shared" si="26"/>
        <v xml:space="preserve">0.500   </v>
      </c>
      <c r="BG19" s="13" t="str">
        <f t="shared" si="27"/>
        <v xml:space="preserve">1.000   </v>
      </c>
      <c r="BH19" s="13" t="str">
        <f t="shared" si="28"/>
        <v xml:space="preserve">0.462   </v>
      </c>
      <c r="BI19" s="13" t="str">
        <f t="shared" si="29"/>
        <v>-</v>
      </c>
      <c r="BJ19" s="13" t="str">
        <f t="shared" si="30"/>
        <v>-</v>
      </c>
      <c r="BM19" s="13" t="str">
        <f t="shared" si="17"/>
        <v>CFMRatio</v>
      </c>
      <c r="BO19" s="13">
        <v>1</v>
      </c>
      <c r="BR19" s="13">
        <v>0</v>
      </c>
      <c r="BU19" s="104">
        <f t="shared" si="18"/>
        <v>0.99930000000000008</v>
      </c>
      <c r="BV19" s="104"/>
      <c r="BW19" s="104">
        <f t="shared" si="19"/>
        <v>0.12239999999999999</v>
      </c>
    </row>
    <row r="20" spans="1:75" outlineLevel="1" x14ac:dyDescent="0.3">
      <c r="E20" s="13" t="s">
        <v>277</v>
      </c>
      <c r="F20" s="13" t="s">
        <v>436</v>
      </c>
      <c r="G20" s="22" t="s">
        <v>281</v>
      </c>
      <c r="H20" s="13" t="s">
        <v>523</v>
      </c>
      <c r="J20" s="13" t="s">
        <v>272</v>
      </c>
      <c r="K20" s="13" t="s">
        <v>484</v>
      </c>
      <c r="L20" s="13" t="s">
        <v>259</v>
      </c>
      <c r="M20" s="13" t="s">
        <v>526</v>
      </c>
      <c r="N20" s="13" t="str">
        <f t="shared" si="0"/>
        <v>FanFCVanesPwrRatio_fCFMRatio</v>
      </c>
      <c r="O20" s="13" t="s">
        <v>230</v>
      </c>
      <c r="P20" s="13" t="s">
        <v>275</v>
      </c>
      <c r="Q20" s="13" t="s">
        <v>120</v>
      </c>
      <c r="V20" s="33">
        <v>0.30380000000000001</v>
      </c>
      <c r="W20" s="33">
        <v>-0.76080000000000003</v>
      </c>
      <c r="X20" s="33">
        <v>2.2728999999999999</v>
      </c>
      <c r="Y20" s="33">
        <v>-0.81689999999999996</v>
      </c>
      <c r="AF20" s="125">
        <f t="shared" si="20"/>
        <v>0.49999989476157647</v>
      </c>
      <c r="AG20" s="112">
        <v>1</v>
      </c>
      <c r="AH20" s="112">
        <f t="shared" si="21"/>
        <v>0.5</v>
      </c>
      <c r="AI20" s="113">
        <v>1</v>
      </c>
      <c r="AJ20" s="113">
        <v>0.60996599151795561</v>
      </c>
      <c r="AK20" s="113"/>
      <c r="AL20" s="113"/>
      <c r="AO20" s="13">
        <f t="shared" si="7"/>
        <v>1</v>
      </c>
      <c r="AP20" s="120" t="str">
        <f t="shared" si="8"/>
        <v>CrvCubic       "FanFCVanesPwrRatio_fCFMRatio"                                   Coef1 =  0.303800  Coef2 = -0.760800  Coef3 =  2.272900  Coef4 = -0.816900  _x000D_
                                                                                MaxOut = 1.000   MinOut = 0.500   MaxVar1 = 1.000   MinVar1 = 0.610   _x000D_
..</v>
      </c>
      <c r="AQ20" s="120" t="str">
        <f t="shared" si="1"/>
        <v xml:space="preserve">CrvCubic       "FanFCVanesPwrRatio_fCFMRatio"                                   Coef1 =  0.303800  Coef2 = -0.760800  Coef3 =  2.272900  Coef4 = -0.816900  </v>
      </c>
      <c r="AR20" s="120" t="str">
        <f t="shared" si="22"/>
        <v xml:space="preserve">_x000D_
                                                                                MaxOut = 1.000   MinOut = 0.500   MaxVar1 = 1.000   MinVar1 = 0.610   </v>
      </c>
      <c r="AS20" s="120" t="str">
        <f t="shared" si="23"/>
        <v>_x000D_
..</v>
      </c>
      <c r="AT20" s="13" t="str">
        <f t="shared" si="2"/>
        <v>CrvCubic</v>
      </c>
      <c r="AU20" s="13" t="str">
        <f t="shared" si="24"/>
        <v xml:space="preserve">       </v>
      </c>
      <c r="AV20" s="13" t="str">
        <f t="shared" si="3"/>
        <v>"FanFCVanesPwrRatio_fCFMRatio"</v>
      </c>
      <c r="AW20" s="13" t="str">
        <f t="shared" si="4"/>
        <v xml:space="preserve">                                   </v>
      </c>
      <c r="AX20" s="13" t="str">
        <f t="shared" si="9"/>
        <v xml:space="preserve"> 0.303800  </v>
      </c>
      <c r="AY20" s="13" t="str">
        <f t="shared" si="10"/>
        <v xml:space="preserve">-0.760800  </v>
      </c>
      <c r="AZ20" s="13" t="str">
        <f t="shared" si="11"/>
        <v xml:space="preserve"> 2.272900  </v>
      </c>
      <c r="BA20" s="13" t="str">
        <f t="shared" si="12"/>
        <v xml:space="preserve">-0.816900  </v>
      </c>
      <c r="BB20" s="13" t="str">
        <f t="shared" si="13"/>
        <v>-</v>
      </c>
      <c r="BC20" s="13" t="str">
        <f t="shared" si="14"/>
        <v>-</v>
      </c>
      <c r="BD20" s="13" t="str">
        <f t="shared" si="15"/>
        <v xml:space="preserve">_x000D_
                                                                                </v>
      </c>
      <c r="BE20" s="13" t="str">
        <f t="shared" si="25"/>
        <v xml:space="preserve">1.000   </v>
      </c>
      <c r="BF20" s="13" t="str">
        <f t="shared" si="26"/>
        <v xml:space="preserve">0.500   </v>
      </c>
      <c r="BG20" s="13" t="str">
        <f t="shared" si="27"/>
        <v xml:space="preserve">1.000   </v>
      </c>
      <c r="BH20" s="13" t="str">
        <f t="shared" si="28"/>
        <v xml:space="preserve">0.610   </v>
      </c>
      <c r="BI20" s="13" t="str">
        <f t="shared" si="29"/>
        <v>-</v>
      </c>
      <c r="BJ20" s="13" t="str">
        <f t="shared" si="30"/>
        <v>-</v>
      </c>
      <c r="BM20" s="13" t="str">
        <f t="shared" si="17"/>
        <v>CFMRatio</v>
      </c>
      <c r="BO20" s="13">
        <v>1</v>
      </c>
      <c r="BR20" s="13">
        <v>0</v>
      </c>
      <c r="BU20" s="104">
        <f t="shared" si="18"/>
        <v>0.99899999999999989</v>
      </c>
      <c r="BV20" s="104"/>
      <c r="BW20" s="104">
        <f t="shared" si="19"/>
        <v>0.30380000000000001</v>
      </c>
    </row>
    <row r="21" spans="1:75" outlineLevel="1" x14ac:dyDescent="0.3">
      <c r="E21" s="13" t="s">
        <v>277</v>
      </c>
      <c r="F21" s="13" t="s">
        <v>436</v>
      </c>
      <c r="G21" s="22" t="s">
        <v>282</v>
      </c>
      <c r="H21" s="13" t="s">
        <v>520</v>
      </c>
      <c r="J21" s="13" t="s">
        <v>272</v>
      </c>
      <c r="K21" s="13" t="s">
        <v>484</v>
      </c>
      <c r="L21" s="13" t="s">
        <v>259</v>
      </c>
      <c r="M21" s="13" t="s">
        <v>526</v>
      </c>
      <c r="N21" s="13" t="str">
        <f t="shared" si="0"/>
        <v>FanVaneAxVpPwrRatio_fCFMRatio</v>
      </c>
      <c r="O21" s="13" t="s">
        <v>230</v>
      </c>
      <c r="P21" s="13" t="s">
        <v>275</v>
      </c>
      <c r="Q21" s="13" t="s">
        <v>120</v>
      </c>
      <c r="V21" s="33">
        <v>0.16389999999999999</v>
      </c>
      <c r="W21" s="33">
        <v>-0.40160000000000001</v>
      </c>
      <c r="X21" s="33">
        <v>1.9908999999999999</v>
      </c>
      <c r="Y21" s="33">
        <v>-0.75409999999999999</v>
      </c>
      <c r="AF21" s="125">
        <f t="shared" si="20"/>
        <v>0.39999985820403439</v>
      </c>
      <c r="AG21" s="112">
        <v>1</v>
      </c>
      <c r="AH21" s="112">
        <f t="shared" si="21"/>
        <v>0.4</v>
      </c>
      <c r="AI21" s="113">
        <v>1</v>
      </c>
      <c r="AJ21" s="113">
        <v>0.53183506919007506</v>
      </c>
      <c r="AK21" s="113"/>
      <c r="AL21" s="113"/>
      <c r="AO21" s="13">
        <f t="shared" si="7"/>
        <v>1</v>
      </c>
      <c r="AP21" s="120" t="str">
        <f t="shared" si="8"/>
        <v>CrvCubic       "FanVaneAxVpPwrRatio_fCFMRatio"                                  Coef1 =  0.163900  Coef2 = -0.401600  Coef3 =  1.990900  Coef4 = -0.754100  _x000D_
                                                                                MaxOut = 1.000   MinOut = 0.400   MaxVar1 = 1.000   MinVar1 = 0.532   _x000D_
..</v>
      </c>
      <c r="AQ21" s="120" t="str">
        <f t="shared" si="1"/>
        <v xml:space="preserve">CrvCubic       "FanVaneAxVpPwrRatio_fCFMRatio"                                  Coef1 =  0.163900  Coef2 = -0.401600  Coef3 =  1.990900  Coef4 = -0.754100  </v>
      </c>
      <c r="AR21" s="120" t="str">
        <f t="shared" si="22"/>
        <v xml:space="preserve">_x000D_
                                                                                MaxOut = 1.000   MinOut = 0.400   MaxVar1 = 1.000   MinVar1 = 0.532   </v>
      </c>
      <c r="AS21" s="120" t="str">
        <f t="shared" si="23"/>
        <v>_x000D_
..</v>
      </c>
      <c r="AT21" s="13" t="str">
        <f t="shared" si="2"/>
        <v>CrvCubic</v>
      </c>
      <c r="AU21" s="13" t="str">
        <f t="shared" si="24"/>
        <v xml:space="preserve">       </v>
      </c>
      <c r="AV21" s="13" t="str">
        <f t="shared" si="3"/>
        <v>"FanVaneAxVpPwrRatio_fCFMRatio"</v>
      </c>
      <c r="AW21" s="13" t="str">
        <f t="shared" si="4"/>
        <v xml:space="preserve">                                  </v>
      </c>
      <c r="AX21" s="13" t="str">
        <f t="shared" si="9"/>
        <v xml:space="preserve"> 0.163900  </v>
      </c>
      <c r="AY21" s="13" t="str">
        <f t="shared" si="10"/>
        <v xml:space="preserve">-0.401600  </v>
      </c>
      <c r="AZ21" s="13" t="str">
        <f t="shared" si="11"/>
        <v xml:space="preserve"> 1.990900  </v>
      </c>
      <c r="BA21" s="13" t="str">
        <f t="shared" si="12"/>
        <v xml:space="preserve">-0.754100  </v>
      </c>
      <c r="BB21" s="13" t="str">
        <f t="shared" si="13"/>
        <v>-</v>
      </c>
      <c r="BC21" s="13" t="str">
        <f t="shared" si="14"/>
        <v>-</v>
      </c>
      <c r="BD21" s="13" t="str">
        <f t="shared" si="15"/>
        <v xml:space="preserve">_x000D_
                                                                                </v>
      </c>
      <c r="BE21" s="13" t="str">
        <f t="shared" si="25"/>
        <v xml:space="preserve">1.000   </v>
      </c>
      <c r="BF21" s="13" t="str">
        <f t="shared" si="26"/>
        <v xml:space="preserve">0.400   </v>
      </c>
      <c r="BG21" s="13" t="str">
        <f t="shared" si="27"/>
        <v xml:space="preserve">1.000   </v>
      </c>
      <c r="BH21" s="13" t="str">
        <f t="shared" si="28"/>
        <v xml:space="preserve">0.532   </v>
      </c>
      <c r="BI21" s="13" t="str">
        <f t="shared" si="29"/>
        <v>-</v>
      </c>
      <c r="BJ21" s="13" t="str">
        <f t="shared" si="30"/>
        <v>-</v>
      </c>
      <c r="BM21" s="13" t="str">
        <f t="shared" si="17"/>
        <v>CFMRatio</v>
      </c>
      <c r="BO21" s="13">
        <v>1</v>
      </c>
      <c r="BR21" s="13">
        <v>0</v>
      </c>
      <c r="BU21" s="104">
        <f t="shared" si="18"/>
        <v>0.99909999999999988</v>
      </c>
      <c r="BV21" s="104"/>
      <c r="BW21" s="104">
        <f t="shared" si="19"/>
        <v>0.16389999999999999</v>
      </c>
    </row>
    <row r="22" spans="1:75" outlineLevel="1" x14ac:dyDescent="0.3">
      <c r="E22" s="13" t="s">
        <v>277</v>
      </c>
      <c r="F22" s="13" t="s">
        <v>436</v>
      </c>
      <c r="G22" s="22" t="s">
        <v>283</v>
      </c>
      <c r="H22" s="13" t="s">
        <v>300</v>
      </c>
      <c r="J22" s="13" t="s">
        <v>272</v>
      </c>
      <c r="K22" s="13" t="s">
        <v>484</v>
      </c>
      <c r="L22" s="13" t="s">
        <v>259</v>
      </c>
      <c r="M22" s="13" t="s">
        <v>526</v>
      </c>
      <c r="N22" s="13" t="str">
        <f t="shared" si="0"/>
        <v>FanVSDPwrRatio_fCFMRatio</v>
      </c>
      <c r="O22" s="13" t="s">
        <v>230</v>
      </c>
      <c r="P22" s="13" t="s">
        <v>275</v>
      </c>
      <c r="Q22" s="13" t="s">
        <v>120</v>
      </c>
      <c r="V22" s="33">
        <v>7.0428852E-2</v>
      </c>
      <c r="W22" s="33">
        <v>0.38533020099999998</v>
      </c>
      <c r="X22" s="33">
        <v>-0.46086411799999999</v>
      </c>
      <c r="Y22" s="33">
        <v>1.0092034400000001</v>
      </c>
      <c r="AF22" s="125">
        <f t="shared" si="20"/>
        <v>0.10000003106634714</v>
      </c>
      <c r="AG22" s="112">
        <v>1</v>
      </c>
      <c r="AH22" s="112">
        <f t="shared" si="21"/>
        <v>0.1</v>
      </c>
      <c r="AI22" s="113">
        <v>1</v>
      </c>
      <c r="AJ22" s="113">
        <v>8.3566248038104557E-2</v>
      </c>
      <c r="AK22" s="113"/>
      <c r="AL22" s="113"/>
      <c r="AO22" s="13">
        <f t="shared" si="7"/>
        <v>1</v>
      </c>
      <c r="AP22" s="120" t="str">
        <f t="shared" si="8"/>
        <v>CrvCubic       "FanVSDPwrRatio_fCFMRatio"                                       Coef1 =  0.070429  Coef2 =  0.385330  Coef3 = -0.460864  Coef4 =  1.009203  _x000D_
                                                                                MaxOut = 1.000   MinOut = 0.100   MaxVar1 = 1.000   MinVar1 = 0.084   _x000D_
..</v>
      </c>
      <c r="AQ22" s="120" t="str">
        <f t="shared" si="1"/>
        <v xml:space="preserve">CrvCubic       "FanVSDPwrRatio_fCFMRatio"                                       Coef1 =  0.070429  Coef2 =  0.385330  Coef3 = -0.460864  Coef4 =  1.009203  </v>
      </c>
      <c r="AR22" s="120" t="str">
        <f t="shared" si="22"/>
        <v xml:space="preserve">_x000D_
                                                                                MaxOut = 1.000   MinOut = 0.100   MaxVar1 = 1.000   MinVar1 = 0.084   </v>
      </c>
      <c r="AS22" s="120" t="str">
        <f t="shared" si="23"/>
        <v>_x000D_
..</v>
      </c>
      <c r="AT22" s="13" t="str">
        <f t="shared" si="2"/>
        <v>CrvCubic</v>
      </c>
      <c r="AU22" s="13" t="str">
        <f t="shared" si="24"/>
        <v xml:space="preserve">       </v>
      </c>
      <c r="AV22" s="13" t="str">
        <f t="shared" si="3"/>
        <v>"FanVSDPwrRatio_fCFMRatio"</v>
      </c>
      <c r="AW22" s="13" t="str">
        <f t="shared" si="4"/>
        <v xml:space="preserve">                                       </v>
      </c>
      <c r="AX22" s="13" t="str">
        <f t="shared" si="9"/>
        <v xml:space="preserve"> 0.070429  </v>
      </c>
      <c r="AY22" s="13" t="str">
        <f t="shared" si="10"/>
        <v xml:space="preserve"> 0.385330  </v>
      </c>
      <c r="AZ22" s="13" t="str">
        <f t="shared" si="11"/>
        <v xml:space="preserve">-0.460864  </v>
      </c>
      <c r="BA22" s="13" t="str">
        <f t="shared" si="12"/>
        <v xml:space="preserve"> 1.009203  </v>
      </c>
      <c r="BB22" s="13" t="str">
        <f t="shared" si="13"/>
        <v>-</v>
      </c>
      <c r="BC22" s="13" t="str">
        <f t="shared" si="14"/>
        <v>-</v>
      </c>
      <c r="BD22" s="13" t="str">
        <f t="shared" si="15"/>
        <v xml:space="preserve">_x000D_
                                                                                </v>
      </c>
      <c r="BE22" s="13" t="str">
        <f t="shared" si="25"/>
        <v xml:space="preserve">1.000   </v>
      </c>
      <c r="BF22" s="13" t="str">
        <f t="shared" si="26"/>
        <v xml:space="preserve">0.100   </v>
      </c>
      <c r="BG22" s="13" t="str">
        <f t="shared" si="27"/>
        <v xml:space="preserve">1.000   </v>
      </c>
      <c r="BH22" s="13" t="str">
        <f t="shared" si="28"/>
        <v xml:space="preserve">0.084   </v>
      </c>
      <c r="BI22" s="13" t="str">
        <f t="shared" si="29"/>
        <v>-</v>
      </c>
      <c r="BJ22" s="13" t="str">
        <f t="shared" si="30"/>
        <v>-</v>
      </c>
      <c r="BM22" s="13" t="str">
        <f t="shared" si="17"/>
        <v>CFMRatio</v>
      </c>
      <c r="BO22" s="13">
        <v>1</v>
      </c>
      <c r="BR22" s="13">
        <v>0</v>
      </c>
      <c r="BU22" s="104">
        <f t="shared" si="18"/>
        <v>1.0040983750000001</v>
      </c>
      <c r="BV22" s="104"/>
      <c r="BW22" s="104">
        <f t="shared" si="19"/>
        <v>7.0428852E-2</v>
      </c>
    </row>
    <row r="23" spans="1:75" outlineLevel="1" x14ac:dyDescent="0.3">
      <c r="E23" s="13" t="s">
        <v>277</v>
      </c>
      <c r="F23" s="13" t="s">
        <v>436</v>
      </c>
      <c r="G23" s="22" t="s">
        <v>750</v>
      </c>
      <c r="H23" s="13" t="s">
        <v>751</v>
      </c>
      <c r="J23" s="13" t="s">
        <v>272</v>
      </c>
      <c r="K23" s="13" t="s">
        <v>484</v>
      </c>
      <c r="L23" s="13" t="s">
        <v>259</v>
      </c>
      <c r="M23" s="13" t="s">
        <v>526</v>
      </c>
      <c r="N23" s="13" t="str">
        <f t="shared" si="0"/>
        <v>FanVSD901PwrRatio_fCFMRatio</v>
      </c>
      <c r="O23" s="13" t="s">
        <v>230</v>
      </c>
      <c r="P23" s="13" t="s">
        <v>275</v>
      </c>
      <c r="Q23" s="13" t="s">
        <v>120</v>
      </c>
      <c r="V23" s="33">
        <v>1.2999999999999999E-3</v>
      </c>
      <c r="W23" s="33">
        <v>0.14699999999999999</v>
      </c>
      <c r="X23" s="33">
        <v>0.9506</v>
      </c>
      <c r="Y23" s="33">
        <v>-9.98E-2</v>
      </c>
      <c r="AF23" s="125">
        <f t="shared" ref="AF23" si="31">V23+(W23*AJ23)+(X23*AJ23^2)+(Y23*AJ23^3)</f>
        <v>0.19983251339140001</v>
      </c>
      <c r="AG23" s="112">
        <v>1</v>
      </c>
      <c r="AH23" s="112">
        <f t="shared" ref="AH23" si="32">ROUND(AF23,4)</f>
        <v>0.19980000000000001</v>
      </c>
      <c r="AI23" s="113">
        <v>1</v>
      </c>
      <c r="AJ23" s="113">
        <v>0.39300000000000002</v>
      </c>
      <c r="AK23" s="113"/>
      <c r="AL23" s="113"/>
      <c r="AO23" s="13">
        <f t="shared" si="7"/>
        <v>1</v>
      </c>
      <c r="AP23" s="120" t="str">
        <f t="shared" ref="AP23" si="33">IF(AO23=1,CONCATENATE(AQ23,AR23,AS23),"")</f>
        <v>CrvCubic       "FanVSD901PwrRatio_fCFMRatio"                                    Coef1 =  0.001300  Coef2 =  0.147000  Coef3 =  0.950600  Coef4 = -0.099800  _x000D_
                                                                                MaxOut = 1.000   MinOut = 0.200   MaxVar1 = 1.000   MinVar1 = 0.393   _x000D_
..</v>
      </c>
      <c r="AQ23" s="120"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20" t="str">
        <f t="shared" ref="AR23" si="35">IF(AO23=1,CONCATENATE(BD23,IF(BE23="-","",$BE$15&amp;BE23),IF(BF23="-","",$BF$15&amp;BF23),IF(BG23="-","",$BG$15&amp;BG23),IF(BH23="-","",$BH$15&amp;BH23),IF(BI23="-","",$BI$15&amp;BI23),IF(BJ23="-","",$BJ$15&amp;BJ23)),"")</f>
        <v xml:space="preserve">_x000D_
                                                                                MaxOut = 1.000   MinOut = 0.200   MaxVar1 = 1.000   MinVar1 = 0.393   </v>
      </c>
      <c r="AS23" s="120" t="str">
        <f t="shared" ref="AS23" si="36">IF(AO23=1,CHAR(13)&amp;CHAR(10)&amp;"..","")</f>
        <v>_x000D_
..</v>
      </c>
      <c r="AT23" s="13" t="str">
        <f t="shared" ref="AT23" si="37">IF(AO23=1,VLOOKUP(O23,$AT$2:$AV$13,2,0),"")</f>
        <v>CrvCubic</v>
      </c>
      <c r="AU23" s="13" t="str">
        <f t="shared" ref="AU23" si="38">REPT(" ",AU$14-LEN(AT23))</f>
        <v xml:space="preserve">       </v>
      </c>
      <c r="AV23" s="13" t="str">
        <f t="shared" ref="AV23" si="39">IF(AO23=1,CONCATENATE("""",N23,""""),"")</f>
        <v>"FanVSD901PwrRatio_fCFMRatio"</v>
      </c>
      <c r="AW23" s="13" t="str">
        <f t="shared" ref="AW23" si="40">REPT(" ",$AW$14-LEN(AV23))</f>
        <v xml:space="preserve">                                    </v>
      </c>
      <c r="AX23" s="13" t="str">
        <f t="shared" ref="AX23" si="41">IF($AO23=1,IF(ISBLANK(V23),"-",CONCATENATE(TEXT(V23," 0.000000;-0.000000"),"  ")),"")</f>
        <v xml:space="preserve"> 0.001300  </v>
      </c>
      <c r="AY23" s="13" t="str">
        <f t="shared" ref="AY23" si="42">IF($AO23=1,IF(ISBLANK(W23),"-",CONCATENATE(TEXT(W23," 0.000000;-0.000000"),"  ")),"")</f>
        <v xml:space="preserve"> 0.147000  </v>
      </c>
      <c r="AZ23" s="13" t="str">
        <f t="shared" ref="AZ23" si="43">IF($AO23=1,IF(ISBLANK(X23),"-",CONCATENATE(TEXT(X23," 0.000000;-0.000000"),"  ")),"")</f>
        <v xml:space="preserve"> 0.950600  </v>
      </c>
      <c r="BA23" s="13" t="str">
        <f t="shared" ref="BA23" si="44">IF($AO23=1,IF(ISBLANK(Y23),"-",CONCATENATE(TEXT(Y23," 0.000000;-0.000000"),"  ")),"")</f>
        <v xml:space="preserve">-0.099800  </v>
      </c>
      <c r="BB23" s="13" t="str">
        <f t="shared" ref="BB23" si="45">IF($AO23=1,IF(ISBLANK(Z23),"-",CONCATENATE(TEXT(Z23," 0.000000;-0.000000"),"  ")),"")</f>
        <v>-</v>
      </c>
      <c r="BC23" s="13" t="str">
        <f t="shared" ref="BC23" si="46">IF($AO23=1,IF(ISBLANK(AA23),"-",CONCATENATE(TEXT(AA23," 0.000000;-0.000000"),"  ")),"")</f>
        <v>-</v>
      </c>
      <c r="BD23" s="13" t="str">
        <f t="shared" ref="BD23" si="47">IF(MAX(AG23:AL23)=0,REPT(" ",1),CHAR(13)&amp;CHAR(10)&amp;REPT(" ",BD$14))</f>
        <v xml:space="preserve">_x000D_
                                                                                </v>
      </c>
      <c r="BE23" s="13" t="str">
        <f t="shared" ref="BE23" si="48">IF($AO23=1,IF(AG23="","-",CONCATENATE(TEXT(AG23,"0.000"),"   ")),"")</f>
        <v xml:space="preserve">1.000   </v>
      </c>
      <c r="BF23" s="13" t="str">
        <f t="shared" ref="BF23" si="49">IF($AO23=1,IF(AH23="","-",CONCATENATE(TEXT(AH23,"0.000"),"   ")),"")</f>
        <v xml:space="preserve">0.200   </v>
      </c>
      <c r="BG23" s="13" t="str">
        <f t="shared" ref="BG23" si="50">IF($AO23=1,IF(AI23="","-",CONCATENATE(TEXT(AI23,"0.000"),"   ")),"")</f>
        <v xml:space="preserve">1.000   </v>
      </c>
      <c r="BH23" s="13" t="str">
        <f t="shared" ref="BH23" si="51">IF($AO23=1,IF(AJ23="","-",CONCATENATE(TEXT(AJ23,"0.000"),"   ")),"")</f>
        <v xml:space="preserve">0.393   </v>
      </c>
      <c r="BI23" s="13" t="str">
        <f t="shared" ref="BI23" si="52">IF($AO23=1,IF(AK23="","-",CONCATENATE(TEXT(AK23,"0.000"),"   ")),"")</f>
        <v>-</v>
      </c>
      <c r="BJ23" s="13" t="str">
        <f t="shared" ref="BJ23" si="53">IF($AO23=1,IF(AL23="","-",CONCATENATE(TEXT(AL23,"0.000"),"   ")),"")</f>
        <v>-</v>
      </c>
      <c r="BM23" s="13" t="str">
        <f t="shared" ref="BM23" si="54">Q23</f>
        <v>CFMRatio</v>
      </c>
      <c r="BO23" s="13">
        <v>1</v>
      </c>
      <c r="BR23" s="13">
        <v>0</v>
      </c>
      <c r="BU23" s="104">
        <f t="shared" ref="BU23" si="55">$V23+$W23*BO23+$X23*BO23^2+$Y23*BO23^3</f>
        <v>0.99909999999999999</v>
      </c>
      <c r="BV23" s="104"/>
      <c r="BW23" s="104">
        <f t="shared" ref="BW23" si="56">$V23+$W23*BR23+$X23*BR23^2+$Y23*BR23^3</f>
        <v>1.2999999999999999E-3</v>
      </c>
    </row>
    <row r="24" spans="1:75" outlineLevel="1" x14ac:dyDescent="0.3">
      <c r="E24" s="13" t="s">
        <v>277</v>
      </c>
      <c r="F24" s="13" t="s">
        <v>436</v>
      </c>
      <c r="G24" s="22" t="s">
        <v>748</v>
      </c>
      <c r="H24" s="13" t="s">
        <v>746</v>
      </c>
      <c r="J24" s="13" t="s">
        <v>272</v>
      </c>
      <c r="K24" s="13" t="s">
        <v>484</v>
      </c>
      <c r="L24" s="13" t="s">
        <v>259</v>
      </c>
      <c r="M24" s="13" t="s">
        <v>526</v>
      </c>
      <c r="N24" s="13" t="str">
        <f t="shared" si="0"/>
        <v>FanVSDGoodSpResetPwrRatio_fCFMRatio</v>
      </c>
      <c r="O24" s="13" t="s">
        <v>230</v>
      </c>
      <c r="P24" s="13" t="s">
        <v>275</v>
      </c>
      <c r="Q24" s="13" t="s">
        <v>120</v>
      </c>
      <c r="V24" s="33">
        <v>4.0759893999999998E-2</v>
      </c>
      <c r="W24" s="33">
        <v>8.804497E-2</v>
      </c>
      <c r="X24" s="33">
        <v>-7.2926119999999997E-2</v>
      </c>
      <c r="Y24" s="33">
        <v>0.94373982300000003</v>
      </c>
      <c r="AF24" s="125">
        <f t="shared" ref="AF24" si="57">V24+(W24*AJ24)+(X24*AJ24^2)+(Y24*AJ24^3)</f>
        <v>0.10009272899314123</v>
      </c>
      <c r="AG24" s="112">
        <v>1</v>
      </c>
      <c r="AH24" s="112">
        <f t="shared" si="21"/>
        <v>0.10009999999999999</v>
      </c>
      <c r="AI24" s="113">
        <v>1</v>
      </c>
      <c r="AJ24" s="113">
        <v>0.34200000000000003</v>
      </c>
      <c r="AK24" s="113"/>
      <c r="AL24" s="113"/>
      <c r="AO24" s="13">
        <f t="shared" si="7"/>
        <v>1</v>
      </c>
      <c r="AP24" s="120" t="str">
        <f t="shared" ref="AP24" si="58">IF(AO24=1,CONCATENATE(AQ24,AR24,AS24),"")</f>
        <v>CrvCubic       "FanVSDGoodSpResetPwrRatio_fCFMRatio"                            Coef1 =  0.040760  Coef2 =  0.088045  Coef3 = -0.072926  Coef4 =  0.943740  _x000D_
                                                                                MaxOut = 1.000   MinOut = 0.100   MaxVar1 = 1.000   MinVar1 = 0.342   _x000D_
..</v>
      </c>
      <c r="AQ24" s="120"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20" t="str">
        <f t="shared" ref="AR24" si="60">IF(AO24=1,CONCATENATE(BD24,IF(BE24="-","",$BE$15&amp;BE24),IF(BF24="-","",$BF$15&amp;BF24),IF(BG24="-","",$BG$15&amp;BG24),IF(BH24="-","",$BH$15&amp;BH24),IF(BI24="-","",$BI$15&amp;BI24),IF(BJ24="-","",$BJ$15&amp;BJ24)),"")</f>
        <v xml:space="preserve">_x000D_
                                                                                MaxOut = 1.000   MinOut = 0.100   MaxVar1 = 1.000   MinVar1 = 0.342   </v>
      </c>
      <c r="AS24" s="120" t="str">
        <f t="shared" ref="AS24" si="61">IF(AO24=1,CHAR(13)&amp;CHAR(10)&amp;"..","")</f>
        <v>_x000D_
..</v>
      </c>
      <c r="AT24" s="13" t="str">
        <f t="shared" ref="AT24" si="62">IF(AO24=1,VLOOKUP(O24,$AT$2:$AV$13,2,0),"")</f>
        <v>CrvCubic</v>
      </c>
      <c r="AU24" s="13" t="str">
        <f t="shared" ref="AU24" si="63">REPT(" ",AU$14-LEN(AT24))</f>
        <v xml:space="preserve">       </v>
      </c>
      <c r="AV24" s="13" t="str">
        <f t="shared" ref="AV24" si="64">IF(AO24=1,CONCATENATE("""",N24,""""),"")</f>
        <v>"FanVSDGoodSpResetPwrRatio_fCFMRatio"</v>
      </c>
      <c r="AW24" s="13" t="str">
        <f t="shared" ref="AW24" si="65">REPT(" ",$AW$14-LEN(AV24))</f>
        <v xml:space="preserve">                            </v>
      </c>
      <c r="AX24" s="13" t="str">
        <f t="shared" ref="AX24" si="66">IF($AO24=1,IF(ISBLANK(V24),"-",CONCATENATE(TEXT(V24," 0.000000;-0.000000"),"  ")),"")</f>
        <v xml:space="preserve"> 0.040760  </v>
      </c>
      <c r="AY24" s="13" t="str">
        <f t="shared" ref="AY24" si="67">IF($AO24=1,IF(ISBLANK(W24),"-",CONCATENATE(TEXT(W24," 0.000000;-0.000000"),"  ")),"")</f>
        <v xml:space="preserve"> 0.088045  </v>
      </c>
      <c r="AZ24" s="13" t="str">
        <f t="shared" ref="AZ24" si="68">IF($AO24=1,IF(ISBLANK(X24),"-",CONCATENATE(TEXT(X24," 0.000000;-0.000000"),"  ")),"")</f>
        <v xml:space="preserve">-0.072926  </v>
      </c>
      <c r="BA24" s="13" t="str">
        <f t="shared" ref="BA24" si="69">IF($AO24=1,IF(ISBLANK(Y24),"-",CONCATENATE(TEXT(Y24," 0.000000;-0.000000"),"  ")),"")</f>
        <v xml:space="preserve"> 0.943740  </v>
      </c>
      <c r="BB24" s="13" t="str">
        <f t="shared" ref="BB24" si="70">IF($AO24=1,IF(ISBLANK(Z24),"-",CONCATENATE(TEXT(Z24," 0.000000;-0.000000"),"  ")),"")</f>
        <v>-</v>
      </c>
      <c r="BC24" s="13" t="str">
        <f t="shared" ref="BC24" si="71">IF($AO24=1,IF(ISBLANK(AA24),"-",CONCATENATE(TEXT(AA24," 0.000000;-0.000000"),"  ")),"")</f>
        <v>-</v>
      </c>
      <c r="BD24" s="13" t="str">
        <f t="shared" ref="BD24" si="72">IF(MAX(AG24:AL24)=0,REPT(" ",1),CHAR(13)&amp;CHAR(10)&amp;REPT(" ",BD$14))</f>
        <v xml:space="preserve">_x000D_
                                                                                </v>
      </c>
      <c r="BE24" s="13" t="str">
        <f t="shared" ref="BE24" si="73">IF($AO24=1,IF(AG24="","-",CONCATENATE(TEXT(AG24,"0.000"),"   ")),"")</f>
        <v xml:space="preserve">1.000   </v>
      </c>
      <c r="BF24" s="13" t="str">
        <f t="shared" ref="BF24" si="74">IF($AO24=1,IF(AH24="","-",CONCATENATE(TEXT(AH24,"0.000"),"   ")),"")</f>
        <v xml:space="preserve">0.100   </v>
      </c>
      <c r="BG24" s="13" t="str">
        <f t="shared" ref="BG24" si="75">IF($AO24=1,IF(AI24="","-",CONCATENATE(TEXT(AI24,"0.000"),"   ")),"")</f>
        <v xml:space="preserve">1.000   </v>
      </c>
      <c r="BH24" s="13" t="str">
        <f t="shared" ref="BH24" si="76">IF($AO24=1,IF(AJ24="","-",CONCATENATE(TEXT(AJ24,"0.000"),"   ")),"")</f>
        <v xml:space="preserve">0.342   </v>
      </c>
      <c r="BI24" s="13" t="str">
        <f t="shared" ref="BI24" si="77">IF($AO24=1,IF(AK24="","-",CONCATENATE(TEXT(AK24,"0.000"),"   ")),"")</f>
        <v>-</v>
      </c>
      <c r="BJ24" s="13" t="str">
        <f t="shared" ref="BJ24" si="78">IF($AO24=1,IF(AL24="","-",CONCATENATE(TEXT(AL24,"0.000"),"   ")),"")</f>
        <v>-</v>
      </c>
      <c r="BM24" s="13" t="str">
        <f t="shared" ref="BM24" si="79">Q24</f>
        <v>CFMRatio</v>
      </c>
      <c r="BO24" s="13">
        <v>1</v>
      </c>
      <c r="BR24" s="13">
        <v>0</v>
      </c>
      <c r="BU24" s="104">
        <f t="shared" ref="BU24" si="80">$V24+$W24*BO24+$X24*BO24^2+$Y24*BO24^3</f>
        <v>0.99961856700000007</v>
      </c>
      <c r="BV24" s="104"/>
      <c r="BW24" s="104">
        <f t="shared" ref="BW24" si="81">$V24+$W24*BR24+$X24*BR24^2+$Y24*BR24^3</f>
        <v>4.0759893999999998E-2</v>
      </c>
    </row>
    <row r="25" spans="1:75" outlineLevel="1" x14ac:dyDescent="0.3">
      <c r="E25" s="13" t="s">
        <v>277</v>
      </c>
      <c r="F25" s="13" t="s">
        <v>436</v>
      </c>
      <c r="G25" s="22" t="s">
        <v>749</v>
      </c>
      <c r="H25" s="13" t="s">
        <v>747</v>
      </c>
      <c r="J25" s="13" t="s">
        <v>272</v>
      </c>
      <c r="K25" s="13" t="s">
        <v>484</v>
      </c>
      <c r="L25" s="13" t="s">
        <v>259</v>
      </c>
      <c r="M25" s="13" t="s">
        <v>526</v>
      </c>
      <c r="N25" s="13" t="str">
        <f t="shared" si="0"/>
        <v>FanVSDPerfSpResetPwrRatio_fCFMRatio</v>
      </c>
      <c r="O25" s="13" t="s">
        <v>230</v>
      </c>
      <c r="P25" s="13" t="s">
        <v>275</v>
      </c>
      <c r="Q25" s="13" t="s">
        <v>120</v>
      </c>
      <c r="V25" s="33">
        <v>2.7827882000000002E-2</v>
      </c>
      <c r="W25" s="33">
        <v>2.6583195E-2</v>
      </c>
      <c r="X25" s="33">
        <v>-8.7068699999999999E-2</v>
      </c>
      <c r="Y25" s="33">
        <v>1.03091975</v>
      </c>
      <c r="AF25" s="125">
        <f t="shared" si="20"/>
        <v>9.999995595332202E-2</v>
      </c>
      <c r="AG25" s="112">
        <v>1</v>
      </c>
      <c r="AH25" s="112">
        <f t="shared" si="21"/>
        <v>0.1</v>
      </c>
      <c r="AI25" s="113">
        <v>1</v>
      </c>
      <c r="AJ25" s="113">
        <v>0.41997448440089813</v>
      </c>
      <c r="AK25" s="113"/>
      <c r="AL25" s="113"/>
      <c r="AO25" s="13">
        <f t="shared" si="7"/>
        <v>1</v>
      </c>
      <c r="AP25" s="120" t="str">
        <f t="shared" si="8"/>
        <v>CrvCubic       "FanVSDPerfSpResetPwrRatio_fCFMRatio"                            Coef1 =  0.027828  Coef2 =  0.026583  Coef3 = -0.087069  Coef4 =  1.030920  _x000D_
                                                                                MaxOut = 1.000   MinOut = 0.100   MaxVar1 = 1.000   MinVar1 = 0.420   _x000D_
..</v>
      </c>
      <c r="AQ25" s="120" t="str">
        <f t="shared" si="1"/>
        <v xml:space="preserve">CrvCubic       "FanVSDPerfSpResetPwrRatio_fCFMRatio"                            Coef1 =  0.027828  Coef2 =  0.026583  Coef3 = -0.087069  Coef4 =  1.030920  </v>
      </c>
      <c r="AR25" s="120" t="str">
        <f t="shared" si="22"/>
        <v xml:space="preserve">_x000D_
                                                                                MaxOut = 1.000   MinOut = 0.100   MaxVar1 = 1.000   MinVar1 = 0.420   </v>
      </c>
      <c r="AS25" s="120" t="str">
        <f t="shared" si="23"/>
        <v>_x000D_
..</v>
      </c>
      <c r="AT25" s="13" t="str">
        <f t="shared" si="2"/>
        <v>CrvCubic</v>
      </c>
      <c r="AU25" s="13" t="str">
        <f t="shared" si="24"/>
        <v xml:space="preserve">       </v>
      </c>
      <c r="AV25" s="13" t="str">
        <f t="shared" si="3"/>
        <v>"FanVSDPerfSpResetPwrRatio_fCFMRatio"</v>
      </c>
      <c r="AW25" s="13" t="str">
        <f t="shared" si="4"/>
        <v xml:space="preserve">                            </v>
      </c>
      <c r="AX25" s="13" t="str">
        <f t="shared" si="9"/>
        <v xml:space="preserve"> 0.027828  </v>
      </c>
      <c r="AY25" s="13" t="str">
        <f t="shared" si="10"/>
        <v xml:space="preserve"> 0.026583  </v>
      </c>
      <c r="AZ25" s="13" t="str">
        <f t="shared" si="11"/>
        <v xml:space="preserve">-0.087069  </v>
      </c>
      <c r="BA25" s="13" t="str">
        <f t="shared" si="12"/>
        <v xml:space="preserve"> 1.030920  </v>
      </c>
      <c r="BB25" s="13" t="str">
        <f t="shared" si="13"/>
        <v>-</v>
      </c>
      <c r="BC25" s="13" t="str">
        <f t="shared" si="14"/>
        <v>-</v>
      </c>
      <c r="BD25" s="13" t="str">
        <f t="shared" si="15"/>
        <v xml:space="preserve">_x000D_
                                                                                </v>
      </c>
      <c r="BE25" s="13" t="str">
        <f t="shared" si="25"/>
        <v xml:space="preserve">1.000   </v>
      </c>
      <c r="BF25" s="13" t="str">
        <f t="shared" si="26"/>
        <v xml:space="preserve">0.100   </v>
      </c>
      <c r="BG25" s="13" t="str">
        <f t="shared" si="27"/>
        <v xml:space="preserve">1.000   </v>
      </c>
      <c r="BH25" s="13" t="str">
        <f t="shared" si="28"/>
        <v xml:space="preserve">0.420   </v>
      </c>
      <c r="BI25" s="13" t="str">
        <f t="shared" si="29"/>
        <v>-</v>
      </c>
      <c r="BJ25" s="13" t="str">
        <f t="shared" si="30"/>
        <v>-</v>
      </c>
      <c r="BM25" s="13" t="str">
        <f t="shared" si="17"/>
        <v>CFMRatio</v>
      </c>
      <c r="BO25" s="13">
        <v>1</v>
      </c>
      <c r="BR25" s="13">
        <v>0</v>
      </c>
      <c r="BU25" s="104">
        <f t="shared" si="18"/>
        <v>0.99826212700000005</v>
      </c>
      <c r="BV25" s="104"/>
      <c r="BW25" s="104">
        <f t="shared" si="19"/>
        <v>2.7827882000000002E-2</v>
      </c>
    </row>
    <row r="26" spans="1:75" outlineLevel="1" x14ac:dyDescent="0.3">
      <c r="E26" s="13" t="s">
        <v>277</v>
      </c>
      <c r="F26" s="13" t="s">
        <v>436</v>
      </c>
      <c r="G26" s="22" t="s">
        <v>1163</v>
      </c>
      <c r="H26" s="13" t="s">
        <v>1164</v>
      </c>
      <c r="J26" s="13" t="s">
        <v>272</v>
      </c>
      <c r="K26" s="13" t="s">
        <v>484</v>
      </c>
      <c r="L26" s="13" t="s">
        <v>259</v>
      </c>
      <c r="M26" s="13" t="s">
        <v>526</v>
      </c>
      <c r="N26" s="13" t="str">
        <f t="shared" si="0"/>
        <v>FanVSDLimitedSpResetPwrRatio_fCFMRatio</v>
      </c>
      <c r="O26" s="13" t="s">
        <v>230</v>
      </c>
      <c r="P26" s="13" t="s">
        <v>275</v>
      </c>
      <c r="Q26" s="13" t="s">
        <v>120</v>
      </c>
      <c r="V26" s="33">
        <v>5.5593999999999998E-2</v>
      </c>
      <c r="W26" s="33">
        <v>0.23668800000000001</v>
      </c>
      <c r="X26" s="33">
        <v>-0.26689499999999999</v>
      </c>
      <c r="Y26" s="33">
        <v>0.97647200000000001</v>
      </c>
      <c r="AF26" s="125">
        <f t="shared" si="20"/>
        <v>0.180267539536</v>
      </c>
      <c r="AG26" s="112">
        <v>1</v>
      </c>
      <c r="AH26" s="112">
        <v>0.18</v>
      </c>
      <c r="AI26" s="113">
        <v>1</v>
      </c>
      <c r="AJ26" s="113">
        <v>0.42</v>
      </c>
      <c r="AK26" s="113"/>
      <c r="AL26" s="113"/>
      <c r="AO26" s="13">
        <f t="shared" ref="AO26" si="82">IF(ISTEXT(A26),"",IF(I26="IP",0,1))</f>
        <v>1</v>
      </c>
      <c r="AP26" s="120" t="str">
        <f t="shared" ref="AP26" si="83">IF(AO26=1,CONCATENATE(AQ26,AR26,AS26),"")</f>
        <v>CrvCubic       "FanVSDLimitedSpResetPwrRatio_fCFMRatio"                         Coef1 =  0.055594  Coef2 =  0.236688  Coef3 = -0.266895  Coef4 =  0.976472  _x000D_
                                                                                MaxOut = 1.000   MinOut = 0.180   MaxVar1 = 1.000   MinVar1 = 0.420   _x000D_
..</v>
      </c>
      <c r="AQ26" s="120" t="str">
        <f t="shared" ref="AQ26" si="84">IF(AO26=1,CONCATENATE(AT26,AU26,AV26,AW26,IF(AX26="-","",$AX$15&amp;AX26),IF(AY26="-","",$AY$15&amp;AY26),IF(AZ26="-","",$AZ$15&amp;AZ26),IF(BA26="-","",$BA$15&amp;BA26),IF(BB26="-","",$BB$15&amp;BB26),IF(BC26="-","",$BC$15&amp;BC26)),"")</f>
        <v xml:space="preserve">CrvCubic       "FanVSDLimitedSpResetPwrRatio_fCFMRatio"                         Coef1 =  0.055594  Coef2 =  0.236688  Coef3 = -0.266895  Coef4 =  0.976472  </v>
      </c>
      <c r="AR26" s="120" t="str">
        <f t="shared" ref="AR26" si="85">IF(AO26=1,CONCATENATE(BD26,IF(BE26="-","",$BE$15&amp;BE26),IF(BF26="-","",$BF$15&amp;BF26),IF(BG26="-","",$BG$15&amp;BG26),IF(BH26="-","",$BH$15&amp;BH26),IF(BI26="-","",$BI$15&amp;BI26),IF(BJ26="-","",$BJ$15&amp;BJ26)),"")</f>
        <v xml:space="preserve">_x000D_
                                                                                MaxOut = 1.000   MinOut = 0.180   MaxVar1 = 1.000   MinVar1 = 0.420   </v>
      </c>
      <c r="AS26" s="120" t="str">
        <f t="shared" ref="AS26" si="86">IF(AO26=1,CHAR(13)&amp;CHAR(10)&amp;"..","")</f>
        <v>_x000D_
..</v>
      </c>
      <c r="AT26" s="13" t="str">
        <f t="shared" ref="AT26" si="87">IF(AO26=1,VLOOKUP(O26,$AT$2:$AV$13,2,0),"")</f>
        <v>CrvCubic</v>
      </c>
      <c r="AU26" s="13" t="str">
        <f t="shared" ref="AU26" si="88">REPT(" ",AU$14-LEN(AT26))</f>
        <v xml:space="preserve">       </v>
      </c>
      <c r="AV26" s="13" t="str">
        <f t="shared" ref="AV26" si="89">IF(AO26=1,CONCATENATE("""",N26,""""),"")</f>
        <v>"FanVSDLimitedSpResetPwrRatio_fCFMRatio"</v>
      </c>
      <c r="AW26" s="13" t="str">
        <f t="shared" ref="AW26" si="90">REPT(" ",$AW$14-LEN(AV26))</f>
        <v xml:space="preserve">                         </v>
      </c>
      <c r="AX26" s="13" t="str">
        <f t="shared" ref="AX26" si="91">IF($AO26=1,IF(ISBLANK(V26),"-",CONCATENATE(TEXT(V26," 0.000000;-0.000000"),"  ")),"")</f>
        <v xml:space="preserve"> 0.055594  </v>
      </c>
      <c r="AY26" s="13" t="str">
        <f t="shared" ref="AY26" si="92">IF($AO26=1,IF(ISBLANK(W26),"-",CONCATENATE(TEXT(W26," 0.000000;-0.000000"),"  ")),"")</f>
        <v xml:space="preserve"> 0.236688  </v>
      </c>
      <c r="AZ26" s="13" t="str">
        <f t="shared" ref="AZ26" si="93">IF($AO26=1,IF(ISBLANK(X26),"-",CONCATENATE(TEXT(X26," 0.000000;-0.000000"),"  ")),"")</f>
        <v xml:space="preserve">-0.266895  </v>
      </c>
      <c r="BA26" s="13" t="str">
        <f t="shared" ref="BA26" si="94">IF($AO26=1,IF(ISBLANK(Y26),"-",CONCATENATE(TEXT(Y26," 0.000000;-0.000000"),"  ")),"")</f>
        <v xml:space="preserve"> 0.976472  </v>
      </c>
      <c r="BB26" s="13" t="str">
        <f t="shared" ref="BB26" si="95">IF($AO26=1,IF(ISBLANK(Z26),"-",CONCATENATE(TEXT(Z26," 0.000000;-0.000000"),"  ")),"")</f>
        <v>-</v>
      </c>
      <c r="BC26" s="13" t="str">
        <f t="shared" ref="BC26" si="96">IF($AO26=1,IF(ISBLANK(AA26),"-",CONCATENATE(TEXT(AA26," 0.000000;-0.000000"),"  ")),"")</f>
        <v>-</v>
      </c>
      <c r="BD26" s="13" t="str">
        <f t="shared" ref="BD26" si="97">IF(MAX(AG26:AL26)=0,REPT(" ",1),CHAR(13)&amp;CHAR(10)&amp;REPT(" ",BD$14))</f>
        <v xml:space="preserve">_x000D_
                                                                                </v>
      </c>
      <c r="BE26" s="13" t="str">
        <f t="shared" ref="BE26" si="98">IF($AO26=1,IF(AG26="","-",CONCATENATE(TEXT(AG26,"0.000"),"   ")),"")</f>
        <v xml:space="preserve">1.000   </v>
      </c>
      <c r="BF26" s="13" t="str">
        <f t="shared" ref="BF26" si="99">IF($AO26=1,IF(AH26="","-",CONCATENATE(TEXT(AH26,"0.000"),"   ")),"")</f>
        <v xml:space="preserve">0.180   </v>
      </c>
      <c r="BG26" s="13" t="str">
        <f t="shared" ref="BG26" si="100">IF($AO26=1,IF(AI26="","-",CONCATENATE(TEXT(AI26,"0.000"),"   ")),"")</f>
        <v xml:space="preserve">1.000   </v>
      </c>
      <c r="BH26" s="13" t="str">
        <f t="shared" ref="BH26" si="101">IF($AO26=1,IF(AJ26="","-",CONCATENATE(TEXT(AJ26,"0.000"),"   ")),"")</f>
        <v xml:space="preserve">0.420   </v>
      </c>
      <c r="BI26" s="13" t="str">
        <f t="shared" ref="BI26" si="102">IF($AO26=1,IF(AK26="","-",CONCATENATE(TEXT(AK26,"0.000"),"   ")),"")</f>
        <v>-</v>
      </c>
      <c r="BJ26" s="13" t="str">
        <f t="shared" ref="BJ26" si="103">IF($AO26=1,IF(AL26="","-",CONCATENATE(TEXT(AL26,"0.000"),"   ")),"")</f>
        <v>-</v>
      </c>
      <c r="BM26" s="13" t="str">
        <f t="shared" ref="BM26" si="104">Q26</f>
        <v>CFMRatio</v>
      </c>
      <c r="BO26" s="13">
        <v>1</v>
      </c>
      <c r="BR26" s="13">
        <v>0</v>
      </c>
      <c r="BU26" s="104">
        <f t="shared" ref="BU26" si="105">$V26+$W26*BO26+$X26*BO26^2+$Y26*BO26^3</f>
        <v>1.0018590000000001</v>
      </c>
      <c r="BV26" s="104"/>
      <c r="BW26" s="104">
        <f t="shared" ref="BW26" si="106">$V26+$W26*BR26+$X26*BR26^2+$Y26*BR26^3</f>
        <v>5.5593999999999998E-2</v>
      </c>
    </row>
    <row r="27" spans="1:75" collapsed="1" x14ac:dyDescent="0.3">
      <c r="A27" s="16" t="s">
        <v>386</v>
      </c>
      <c r="L27" s="39"/>
      <c r="M27" s="39"/>
      <c r="N27" s="13" t="str">
        <f t="shared" si="0"/>
        <v>-</v>
      </c>
      <c r="AF27" s="61"/>
      <c r="AG27" s="112"/>
      <c r="AH27" s="112"/>
      <c r="AI27" s="112"/>
      <c r="AJ27" s="113"/>
      <c r="AK27" s="113"/>
      <c r="AL27" s="113"/>
      <c r="AO27" s="13" t="str">
        <f t="shared" si="7"/>
        <v/>
      </c>
      <c r="AP27" s="120" t="str">
        <f t="shared" si="8"/>
        <v/>
      </c>
      <c r="AQ27" s="120"/>
      <c r="AR27" s="120" t="str">
        <f t="shared" si="22"/>
        <v/>
      </c>
      <c r="AS27" s="120" t="str">
        <f t="shared" si="23"/>
        <v/>
      </c>
      <c r="AU27" s="13" t="str">
        <f t="shared" si="24"/>
        <v xml:space="preserve">               </v>
      </c>
      <c r="AV27" s="13" t="str">
        <f t="shared" si="3"/>
        <v/>
      </c>
      <c r="AW27" s="13" t="str">
        <f t="shared" si="4"/>
        <v xml:space="preserve">                                                                 </v>
      </c>
      <c r="AX27" s="13" t="str">
        <f t="shared" si="9"/>
        <v/>
      </c>
      <c r="AY27" s="13" t="str">
        <f t="shared" si="10"/>
        <v/>
      </c>
      <c r="AZ27" s="13" t="str">
        <f t="shared" si="11"/>
        <v/>
      </c>
      <c r="BA27" s="13" t="str">
        <f t="shared" si="12"/>
        <v/>
      </c>
      <c r="BB27" s="13" t="str">
        <f t="shared" si="13"/>
        <v/>
      </c>
      <c r="BC27" s="13" t="str">
        <f t="shared" si="14"/>
        <v/>
      </c>
      <c r="BD27" s="13" t="str">
        <f t="shared" si="15"/>
        <v xml:space="preserve"> </v>
      </c>
      <c r="BE27" s="13" t="str">
        <f t="shared" si="25"/>
        <v/>
      </c>
      <c r="BF27" s="13" t="str">
        <f t="shared" si="26"/>
        <v/>
      </c>
      <c r="BG27" s="13" t="str">
        <f t="shared" si="27"/>
        <v/>
      </c>
      <c r="BH27" s="13" t="str">
        <f t="shared" si="28"/>
        <v/>
      </c>
      <c r="BI27" s="13" t="str">
        <f t="shared" si="29"/>
        <v/>
      </c>
      <c r="BJ27" s="13" t="str">
        <f t="shared" si="30"/>
        <v/>
      </c>
      <c r="BU27" s="104"/>
      <c r="BV27" s="104"/>
      <c r="BW27" s="104"/>
    </row>
    <row r="28" spans="1:75" hidden="1" outlineLevel="1" x14ac:dyDescent="0.3">
      <c r="B28" s="13" t="s">
        <v>154</v>
      </c>
      <c r="C28" s="38" t="s">
        <v>155</v>
      </c>
      <c r="D28" s="22" t="s">
        <v>83</v>
      </c>
      <c r="E28" s="13" t="s">
        <v>385</v>
      </c>
      <c r="F28" s="13" t="s">
        <v>436</v>
      </c>
      <c r="G28" s="22" t="s">
        <v>300</v>
      </c>
      <c r="H28" s="13" t="s">
        <v>712</v>
      </c>
      <c r="J28" s="13" t="s">
        <v>273</v>
      </c>
      <c r="K28" s="13" t="s">
        <v>16</v>
      </c>
      <c r="L28" s="13" t="s">
        <v>387</v>
      </c>
      <c r="M28" s="13" t="s">
        <v>528</v>
      </c>
      <c r="N28" s="13" t="str">
        <f t="shared" si="0"/>
        <v>PumpVSDNoRstPwrRatio_fGPMRatio</v>
      </c>
      <c r="O28" s="13" t="s">
        <v>230</v>
      </c>
      <c r="P28" s="13" t="s">
        <v>275</v>
      </c>
      <c r="Q28" s="13" t="s">
        <v>148</v>
      </c>
      <c r="V28" s="33">
        <v>0</v>
      </c>
      <c r="W28" s="33">
        <v>0.5726</v>
      </c>
      <c r="X28" s="33">
        <v>-0.30099999999999999</v>
      </c>
      <c r="Y28" s="33">
        <v>0.73470000000000002</v>
      </c>
      <c r="AF28" s="61"/>
      <c r="AG28" s="113">
        <v>1</v>
      </c>
      <c r="AH28" s="113">
        <v>0</v>
      </c>
      <c r="AI28" s="113">
        <v>1</v>
      </c>
      <c r="AJ28" s="113">
        <v>0</v>
      </c>
      <c r="AK28" s="113"/>
      <c r="AL28" s="113"/>
      <c r="AO28" s="13">
        <v>0</v>
      </c>
      <c r="AP28" s="120" t="str">
        <f t="shared" si="8"/>
        <v/>
      </c>
      <c r="AQ28" s="120" t="str">
        <f>IF(AO28=1,CONCATENATE(AT28,AU28,AV28,AW28,IF(AX28="-","",$AX$15&amp;AX28),IF(AY28="-","",$AY$15&amp;AY28),IF(AZ28="-","",$AZ$15&amp;AZ28),IF(BA28="-","",$BA$15&amp;BA28),IF(BB28="-","",$BB$15&amp;BB28),IF(BC28="-","",$BC$15&amp;BC28)),"")</f>
        <v/>
      </c>
      <c r="AR28" s="120" t="str">
        <f t="shared" si="22"/>
        <v/>
      </c>
      <c r="AS28" s="120" t="str">
        <f t="shared" si="23"/>
        <v/>
      </c>
      <c r="AT28" s="13" t="str">
        <f t="shared" ref="AT28:AT93" si="107">IF(AO28=1,VLOOKUP(O28,$AT$2:$AV$13,2,0),"")</f>
        <v/>
      </c>
      <c r="AU28" s="13" t="str">
        <f t="shared" si="24"/>
        <v xml:space="preserve">               </v>
      </c>
      <c r="AV28" s="13" t="str">
        <f t="shared" si="3"/>
        <v/>
      </c>
      <c r="AW28" s="13" t="str">
        <f t="shared" si="4"/>
        <v xml:space="preserve">                                                                 </v>
      </c>
      <c r="AX28" s="13" t="str">
        <f t="shared" si="9"/>
        <v/>
      </c>
      <c r="AY28" s="13" t="str">
        <f t="shared" si="10"/>
        <v/>
      </c>
      <c r="AZ28" s="13" t="str">
        <f t="shared" si="11"/>
        <v/>
      </c>
      <c r="BA28" s="13" t="str">
        <f t="shared" si="12"/>
        <v/>
      </c>
      <c r="BB28" s="13" t="str">
        <f t="shared" si="13"/>
        <v/>
      </c>
      <c r="BC28" s="13" t="str">
        <f t="shared" si="14"/>
        <v/>
      </c>
      <c r="BD28" s="13" t="str">
        <f t="shared" si="15"/>
        <v xml:space="preserve">_x000D_
                                                                                </v>
      </c>
      <c r="BE28" s="13" t="str">
        <f t="shared" si="25"/>
        <v/>
      </c>
      <c r="BF28" s="13" t="str">
        <f t="shared" si="26"/>
        <v/>
      </c>
      <c r="BG28" s="13" t="str">
        <f t="shared" si="27"/>
        <v/>
      </c>
      <c r="BH28" s="13" t="str">
        <f t="shared" si="28"/>
        <v/>
      </c>
      <c r="BI28" s="13" t="str">
        <f t="shared" si="29"/>
        <v/>
      </c>
      <c r="BJ28" s="13" t="str">
        <f t="shared" si="30"/>
        <v/>
      </c>
      <c r="BM28" s="13" t="str">
        <f>Q28</f>
        <v>GPMRatio</v>
      </c>
      <c r="BO28" s="13">
        <v>1</v>
      </c>
      <c r="BR28" s="13">
        <v>0</v>
      </c>
      <c r="BU28" s="104">
        <f>$V28+$W28*BO28+$X28*BO28^2+$Y28*BO28^3</f>
        <v>1.0063</v>
      </c>
      <c r="BV28" s="104"/>
      <c r="BW28" s="104">
        <f>$V28+$W28*BR28+$X28*BR28^2+$Y28*BR28^3</f>
        <v>0</v>
      </c>
    </row>
    <row r="29" spans="1:75" hidden="1" outlineLevel="1" x14ac:dyDescent="0.3">
      <c r="C29" s="38"/>
      <c r="E29" s="13" t="s">
        <v>385</v>
      </c>
      <c r="F29" s="13" t="s">
        <v>436</v>
      </c>
      <c r="G29" s="22" t="s">
        <v>300</v>
      </c>
      <c r="H29" s="13" t="s">
        <v>713</v>
      </c>
      <c r="J29" s="13" t="s">
        <v>273</v>
      </c>
      <c r="K29" s="13" t="s">
        <v>16</v>
      </c>
      <c r="L29" s="13" t="s">
        <v>387</v>
      </c>
      <c r="M29" s="13" t="s">
        <v>528</v>
      </c>
      <c r="N29" s="13" t="str">
        <f t="shared" si="0"/>
        <v>PumpVSDRstPwrRatio_fGPMRatio</v>
      </c>
      <c r="O29" s="13" t="s">
        <v>230</v>
      </c>
      <c r="P29" s="13" t="s">
        <v>275</v>
      </c>
      <c r="Q29" s="13" t="s">
        <v>148</v>
      </c>
      <c r="V29" s="33">
        <v>0</v>
      </c>
      <c r="W29" s="33">
        <v>2.0500000000000001E-2</v>
      </c>
      <c r="X29" s="33">
        <v>0.41010000000000002</v>
      </c>
      <c r="Y29" s="33">
        <v>0.57530000000000003</v>
      </c>
      <c r="AF29" s="61"/>
      <c r="AG29" s="113">
        <v>1</v>
      </c>
      <c r="AH29" s="113">
        <v>0</v>
      </c>
      <c r="AI29" s="113">
        <v>1</v>
      </c>
      <c r="AJ29" s="113">
        <v>0</v>
      </c>
      <c r="AK29" s="113"/>
      <c r="AL29" s="113"/>
      <c r="AO29" s="13">
        <v>0</v>
      </c>
      <c r="AP29" s="120" t="str">
        <f t="shared" si="8"/>
        <v/>
      </c>
      <c r="AQ29" s="120" t="str">
        <f>IF(AO29=1,CONCATENATE(AT29,AU29,AV29,AW29,IF(AX29="-","",$AX$15&amp;AX29),IF(AY29="-","",$AY$15&amp;AY29),IF(AZ29="-","",$AZ$15&amp;AZ29),IF(BA29="-","",$BA$15&amp;BA29),IF(BB29="-","",$BB$15&amp;BB29),IF(BC29="-","",$BC$15&amp;BC29)),"")</f>
        <v/>
      </c>
      <c r="AR29" s="120" t="str">
        <f t="shared" si="22"/>
        <v/>
      </c>
      <c r="AS29" s="120" t="str">
        <f t="shared" si="23"/>
        <v/>
      </c>
      <c r="AT29" s="13" t="str">
        <f t="shared" si="107"/>
        <v/>
      </c>
      <c r="AU29" s="13" t="str">
        <f t="shared" si="24"/>
        <v xml:space="preserve">               </v>
      </c>
      <c r="AV29" s="13" t="str">
        <f t="shared" si="3"/>
        <v/>
      </c>
      <c r="AW29" s="13" t="str">
        <f t="shared" si="4"/>
        <v xml:space="preserve">                                                                 </v>
      </c>
      <c r="AX29" s="13" t="str">
        <f t="shared" si="9"/>
        <v/>
      </c>
      <c r="AY29" s="13" t="str">
        <f t="shared" si="10"/>
        <v/>
      </c>
      <c r="AZ29" s="13" t="str">
        <f t="shared" si="11"/>
        <v/>
      </c>
      <c r="BA29" s="13" t="str">
        <f t="shared" si="12"/>
        <v/>
      </c>
      <c r="BB29" s="13" t="str">
        <f t="shared" si="13"/>
        <v/>
      </c>
      <c r="BC29" s="13" t="str">
        <f t="shared" si="14"/>
        <v/>
      </c>
      <c r="BD29" s="13" t="str">
        <f t="shared" si="15"/>
        <v xml:space="preserve">_x000D_
                                                                                </v>
      </c>
      <c r="BE29" s="13" t="str">
        <f t="shared" si="25"/>
        <v/>
      </c>
      <c r="BF29" s="13" t="str">
        <f t="shared" si="26"/>
        <v/>
      </c>
      <c r="BG29" s="13" t="str">
        <f t="shared" si="27"/>
        <v/>
      </c>
      <c r="BH29" s="13" t="str">
        <f t="shared" si="28"/>
        <v/>
      </c>
      <c r="BI29" s="13" t="str">
        <f t="shared" si="29"/>
        <v/>
      </c>
      <c r="BJ29" s="13" t="str">
        <f t="shared" si="30"/>
        <v/>
      </c>
      <c r="BM29" s="13" t="str">
        <f>Q29</f>
        <v>GPMRatio</v>
      </c>
      <c r="BO29" s="13">
        <v>1</v>
      </c>
      <c r="BR29" s="13">
        <v>0</v>
      </c>
      <c r="BU29" s="104">
        <f>$V29+$W29*BO29+$X29*BO29^2+$Y29*BO29^3</f>
        <v>1.0059</v>
      </c>
      <c r="BV29" s="104"/>
      <c r="BW29" s="104">
        <f>$V29+$W29*BR29+$X29*BR29^2+$Y29*BR29^3</f>
        <v>0</v>
      </c>
    </row>
    <row r="30" spans="1:75" hidden="1" outlineLevel="1" x14ac:dyDescent="0.3">
      <c r="C30" s="38"/>
      <c r="E30" s="13" t="s">
        <v>385</v>
      </c>
      <c r="F30" s="13" t="s">
        <v>436</v>
      </c>
      <c r="G30" s="22" t="s">
        <v>300</v>
      </c>
      <c r="H30" s="13" t="s">
        <v>720</v>
      </c>
      <c r="J30" s="13" t="s">
        <v>144</v>
      </c>
      <c r="K30" s="13" t="s">
        <v>16</v>
      </c>
      <c r="L30" s="13" t="s">
        <v>387</v>
      </c>
      <c r="M30" s="13" t="s">
        <v>528</v>
      </c>
      <c r="N30" s="13" t="str">
        <f t="shared" si="0"/>
        <v>PumpVSDNoRstEPPwrRatio_fGPMRatio</v>
      </c>
      <c r="O30" s="13" t="s">
        <v>230</v>
      </c>
      <c r="P30" s="13" t="s">
        <v>275</v>
      </c>
      <c r="Q30" s="13" t="s">
        <v>148</v>
      </c>
      <c r="V30" s="33">
        <v>0.10299999999999999</v>
      </c>
      <c r="W30" s="33">
        <v>-0.04</v>
      </c>
      <c r="X30" s="33">
        <v>0.76700000000000002</v>
      </c>
      <c r="Y30" s="33">
        <v>0.16789999999999999</v>
      </c>
      <c r="AF30" s="102">
        <f t="shared" ref="AF30:AF31" si="108">V30+(W30*AJ30)+(X30*AJ30^2)+(Y30*AJ30^3)</f>
        <v>0.1270232</v>
      </c>
      <c r="AG30" s="113">
        <v>1</v>
      </c>
      <c r="AH30" s="112">
        <f t="shared" ref="AH30:AH31" si="109">ROUND(AF30,2)</f>
        <v>0.13</v>
      </c>
      <c r="AI30" s="113">
        <v>1</v>
      </c>
      <c r="AJ30" s="113">
        <v>0.2</v>
      </c>
      <c r="AK30" s="113"/>
      <c r="AL30" s="113"/>
      <c r="AO30" s="13">
        <f t="shared" ref="AO30:AO39" si="110">IF(ISTEXT(A30),"",IF(I30="IP",0,1))</f>
        <v>1</v>
      </c>
      <c r="AP30" s="120" t="str">
        <f t="shared" si="8"/>
        <v>CrvCubic       "PumpVSDNoRstEPPwrRatio_fGPMRatio"                               Coef1 =  0.103000  Coef2 = -0.040000  Coef3 =  0.767000  Coef4 =  0.167900  _x000D_
                                                                                MaxOut = 1.000   MinOut = 0.130   MaxVar1 = 1.000   MinVar1 = 0.200   _x000D_
..</v>
      </c>
      <c r="AQ30" s="120" t="str">
        <f>IF(AO30=1,CONCATENATE(AT30,AU30,AV30,AW30,IF(AX30="-","",$AX$15&amp;AX30),IF(AY30="-","",$AY$15&amp;AY30),IF(AZ30="-","",$AZ$15&amp;AZ30),IF(BA30="-","",$BA$15&amp;BA30),IF(BB30="-","",$BB$15&amp;BB30),IF(BC30="-","",$BC$15&amp;BC30)),"")</f>
        <v xml:space="preserve">CrvCubic       "PumpVSDNoRstEPPwrRatio_fGPMRatio"                               Coef1 =  0.103000  Coef2 = -0.040000  Coef3 =  0.767000  Coef4 =  0.167900  </v>
      </c>
      <c r="AR30" s="120" t="str">
        <f t="shared" si="22"/>
        <v xml:space="preserve">_x000D_
                                                                                MaxOut = 1.000   MinOut = 0.130   MaxVar1 = 1.000   MinVar1 = 0.200   </v>
      </c>
      <c r="AS30" s="120" t="str">
        <f t="shared" si="23"/>
        <v>_x000D_
..</v>
      </c>
      <c r="AT30" s="13" t="str">
        <f t="shared" si="107"/>
        <v>CrvCubic</v>
      </c>
      <c r="AU30" s="13" t="str">
        <f t="shared" si="24"/>
        <v xml:space="preserve">       </v>
      </c>
      <c r="AV30" s="13" t="str">
        <f t="shared" si="3"/>
        <v>"PumpVSDNoRstEPPwrRatio_fGPMRatio"</v>
      </c>
      <c r="AW30" s="13" t="str">
        <f t="shared" si="4"/>
        <v xml:space="preserve">                               </v>
      </c>
      <c r="AX30" s="13" t="str">
        <f t="shared" si="9"/>
        <v xml:space="preserve"> 0.103000  </v>
      </c>
      <c r="AY30" s="13" t="str">
        <f t="shared" si="10"/>
        <v xml:space="preserve">-0.040000  </v>
      </c>
      <c r="AZ30" s="13" t="str">
        <f t="shared" si="11"/>
        <v xml:space="preserve"> 0.767000  </v>
      </c>
      <c r="BA30" s="13" t="str">
        <f t="shared" si="12"/>
        <v xml:space="preserve"> 0.167900  </v>
      </c>
      <c r="BB30" s="13" t="str">
        <f t="shared" si="13"/>
        <v>-</v>
      </c>
      <c r="BC30" s="13" t="str">
        <f t="shared" si="14"/>
        <v>-</v>
      </c>
      <c r="BD30" s="13" t="str">
        <f t="shared" si="15"/>
        <v xml:space="preserve">_x000D_
                                                                                </v>
      </c>
      <c r="BE30" s="13" t="str">
        <f t="shared" si="25"/>
        <v xml:space="preserve">1.000   </v>
      </c>
      <c r="BF30" s="13" t="str">
        <f t="shared" si="26"/>
        <v xml:space="preserve">0.130   </v>
      </c>
      <c r="BG30" s="13" t="str">
        <f t="shared" si="27"/>
        <v xml:space="preserve">1.000   </v>
      </c>
      <c r="BH30" s="13" t="str">
        <f t="shared" si="28"/>
        <v xml:space="preserve">0.200   </v>
      </c>
      <c r="BI30" s="13" t="str">
        <f t="shared" si="29"/>
        <v>-</v>
      </c>
      <c r="BJ30" s="13" t="str">
        <f t="shared" si="30"/>
        <v>-</v>
      </c>
      <c r="BM30" s="13" t="str">
        <f>Q30</f>
        <v>GPMRatio</v>
      </c>
      <c r="BO30" s="13">
        <v>1</v>
      </c>
      <c r="BR30" s="13">
        <v>0</v>
      </c>
      <c r="BU30" s="104">
        <f>$V30+$W30*BO30+$X30*BO30^2+$Y30*BO30^3</f>
        <v>0.99790000000000001</v>
      </c>
      <c r="BV30" s="104"/>
      <c r="BW30" s="104">
        <f>$V30+$W30*BR30+$X30*BR30^2+$Y30*BR30^3</f>
        <v>0.10299999999999999</v>
      </c>
    </row>
    <row r="31" spans="1:75" hidden="1" outlineLevel="1" x14ac:dyDescent="0.3">
      <c r="C31" s="38"/>
      <c r="E31" s="13" t="s">
        <v>385</v>
      </c>
      <c r="F31" s="13" t="s">
        <v>436</v>
      </c>
      <c r="G31" s="22" t="s">
        <v>300</v>
      </c>
      <c r="H31" s="13" t="s">
        <v>721</v>
      </c>
      <c r="J31" s="13" t="s">
        <v>144</v>
      </c>
      <c r="K31" s="13" t="s">
        <v>16</v>
      </c>
      <c r="L31" s="13" t="s">
        <v>387</v>
      </c>
      <c r="M31" s="13" t="s">
        <v>528</v>
      </c>
      <c r="N31" s="13" t="str">
        <f t="shared" si="0"/>
        <v>PumpVSDRstEPPwrRatio_fGPMRatio</v>
      </c>
      <c r="O31" s="13" t="s">
        <v>230</v>
      </c>
      <c r="P31" s="13" t="s">
        <v>275</v>
      </c>
      <c r="Q31" s="13" t="s">
        <v>148</v>
      </c>
      <c r="V31" s="33">
        <v>2.7300000000000001E-2</v>
      </c>
      <c r="W31" s="33">
        <v>-0.13170000000000001</v>
      </c>
      <c r="X31" s="33">
        <v>0.66420000000000001</v>
      </c>
      <c r="Y31" s="33">
        <v>0.44450000000000001</v>
      </c>
      <c r="AF31" s="102">
        <f t="shared" si="108"/>
        <v>3.1084000000000004E-2</v>
      </c>
      <c r="AG31" s="113">
        <v>1</v>
      </c>
      <c r="AH31" s="112">
        <f t="shared" si="109"/>
        <v>0.03</v>
      </c>
      <c r="AI31" s="113">
        <v>1</v>
      </c>
      <c r="AJ31" s="113">
        <v>0.2</v>
      </c>
      <c r="AK31" s="113"/>
      <c r="AL31" s="113"/>
      <c r="AO31" s="13">
        <f t="shared" si="110"/>
        <v>1</v>
      </c>
      <c r="AP31" s="120" t="str">
        <f t="shared" ref="AP31" si="111">IF(AO31=1,CONCATENATE(AQ31,AR31,AS31),"")</f>
        <v>CrvCubic       "PumpVSDRstEPPwrRatio_fGPMRatio"                                 Coef1 =  0.027300  Coef2 = -0.131700  Coef3 =  0.664200  Coef4 =  0.444500  _x000D_
                                                                                MaxOut = 1.000   MinOut = 0.030   MaxVar1 = 1.000   MinVar1 = 0.200   _x000D_
..</v>
      </c>
      <c r="AQ31" s="120" t="str">
        <f>IF(AO31=1,CONCATENATE(AT31,AU31,AV31,AW31,IF(AX31="-","",$AX$15&amp;AX31),IF(AY31="-","",$AY$15&amp;AY31),IF(AZ31="-","",$AZ$15&amp;AZ31),IF(BA31="-","",$BA$15&amp;BA31),IF(BB31="-","",$BB$15&amp;BB31),IF(BC31="-","",$BC$15&amp;BC31)),"")</f>
        <v xml:space="preserve">CrvCubic       "PumpVSDRstEPPwrRatio_fGPMRatio"                                 Coef1 =  0.027300  Coef2 = -0.131700  Coef3 =  0.664200  Coef4 =  0.444500  </v>
      </c>
      <c r="AR31" s="120" t="str">
        <f t="shared" si="22"/>
        <v xml:space="preserve">_x000D_
                                                                                MaxOut = 1.000   MinOut = 0.030   MaxVar1 = 1.000   MinVar1 = 0.200   </v>
      </c>
      <c r="AS31" s="120" t="str">
        <f t="shared" ref="AS31" si="112">IF(AO31=1,CHAR(13)&amp;CHAR(10)&amp;"..","")</f>
        <v>_x000D_
..</v>
      </c>
      <c r="AT31" s="13" t="str">
        <f t="shared" ref="AT31" si="113">IF(AO31=1,VLOOKUP(O31,$AT$2:$AV$13,2,0),"")</f>
        <v>CrvCubic</v>
      </c>
      <c r="AU31" s="13" t="str">
        <f t="shared" ref="AU31" si="114">REPT(" ",AU$14-LEN(AT31))</f>
        <v xml:space="preserve">       </v>
      </c>
      <c r="AV31" s="13" t="str">
        <f t="shared" ref="AV31" si="115">IF(AO31=1,CONCATENATE("""",N31,""""),"")</f>
        <v>"PumpVSDRstEPPwrRatio_fGPMRatio"</v>
      </c>
      <c r="AW31" s="13" t="str">
        <f t="shared" ref="AW31" si="116">REPT(" ",$AW$14-LEN(AV31))</f>
        <v xml:space="preserve">                                 </v>
      </c>
      <c r="AX31" s="13" t="str">
        <f t="shared" ref="AX31" si="117">IF($AO31=1,IF(ISBLANK(V31),"-",CONCATENATE(TEXT(V31," 0.000000;-0.000000"),"  ")),"")</f>
        <v xml:space="preserve"> 0.027300  </v>
      </c>
      <c r="AY31" s="13" t="str">
        <f t="shared" ref="AY31" si="118">IF($AO31=1,IF(ISBLANK(W31),"-",CONCATENATE(TEXT(W31," 0.000000;-0.000000"),"  ")),"")</f>
        <v xml:space="preserve">-0.131700  </v>
      </c>
      <c r="AZ31" s="13" t="str">
        <f t="shared" ref="AZ31" si="119">IF($AO31=1,IF(ISBLANK(X31),"-",CONCATENATE(TEXT(X31," 0.000000;-0.000000"),"  ")),"")</f>
        <v xml:space="preserve"> 0.664200  </v>
      </c>
      <c r="BA31" s="13" t="str">
        <f t="shared" ref="BA31" si="120">IF($AO31=1,IF(ISBLANK(Y31),"-",CONCATENATE(TEXT(Y31," 0.000000;-0.000000"),"  ")),"")</f>
        <v xml:space="preserve"> 0.444500  </v>
      </c>
      <c r="BB31" s="13" t="str">
        <f t="shared" ref="BB31" si="121">IF($AO31=1,IF(ISBLANK(Z31),"-",CONCATENATE(TEXT(Z31," 0.000000;-0.000000"),"  ")),"")</f>
        <v>-</v>
      </c>
      <c r="BC31" s="13" t="str">
        <f t="shared" ref="BC31" si="122">IF($AO31=1,IF(ISBLANK(AA31),"-",CONCATENATE(TEXT(AA31," 0.000000;-0.000000"),"  ")),"")</f>
        <v>-</v>
      </c>
      <c r="BD31" s="13" t="str">
        <f t="shared" ref="BD31" si="123">IF(MAX(AG31:AL31)=0,REPT(" ",1),CHAR(13)&amp;CHAR(10)&amp;REPT(" ",BD$14))</f>
        <v xml:space="preserve">_x000D_
                                                                                </v>
      </c>
      <c r="BE31" s="13" t="str">
        <f t="shared" si="25"/>
        <v xml:space="preserve">1.000   </v>
      </c>
      <c r="BF31" s="13" t="str">
        <f t="shared" si="26"/>
        <v xml:space="preserve">0.030   </v>
      </c>
      <c r="BG31" s="13" t="str">
        <f t="shared" si="27"/>
        <v xml:space="preserve">1.000   </v>
      </c>
      <c r="BH31" s="13" t="str">
        <f t="shared" si="28"/>
        <v xml:space="preserve">0.200   </v>
      </c>
      <c r="BI31" s="13" t="str">
        <f t="shared" si="29"/>
        <v>-</v>
      </c>
      <c r="BJ31" s="13" t="str">
        <f t="shared" si="30"/>
        <v>-</v>
      </c>
      <c r="BM31" s="13" t="str">
        <f>Q31</f>
        <v>GPMRatio</v>
      </c>
      <c r="BO31" s="13">
        <v>1</v>
      </c>
      <c r="BR31" s="13">
        <v>0</v>
      </c>
      <c r="BU31" s="104">
        <f>$V31+$W31*BO31+$X31*BO31^2+$Y31*BO31^3</f>
        <v>1.0043</v>
      </c>
      <c r="BV31" s="104"/>
      <c r="BW31" s="104">
        <f>$V31+$W31*BR31+$X31*BR31^2+$Y31*BR31^3</f>
        <v>2.7300000000000001E-2</v>
      </c>
    </row>
    <row r="32" spans="1:75" collapsed="1" x14ac:dyDescent="0.3">
      <c r="A32" s="16" t="s">
        <v>299</v>
      </c>
      <c r="N32" s="13" t="str">
        <f t="shared" si="0"/>
        <v>-</v>
      </c>
      <c r="AF32" s="61"/>
      <c r="AG32" s="112"/>
      <c r="AH32" s="112"/>
      <c r="AI32" s="113"/>
      <c r="AJ32" s="113"/>
      <c r="AK32" s="113"/>
      <c r="AL32" s="113"/>
      <c r="AO32" s="13" t="str">
        <f t="shared" si="110"/>
        <v/>
      </c>
      <c r="AP32" s="120" t="str">
        <f t="shared" si="8"/>
        <v/>
      </c>
      <c r="AQ32" s="120" t="str">
        <f t="shared" ref="AQ32:AQ72" si="124">IF(AO32=1,CONCATENATE(AT32,AU32,AV32,AW32,IF(AX32="-","",$AX$15&amp;AX32),IF(AY32="-","",$AY$15&amp;AY32),IF(AZ32="-","",$AZ$15&amp;AZ32),IF(BA32="-","",$BA$15&amp;BA32),IF(BB32="-","",$BB$15&amp;BB32),IF(BC32="-","",$BC$15&amp;BC32)),"")</f>
        <v/>
      </c>
      <c r="AR32" s="120" t="str">
        <f t="shared" si="22"/>
        <v/>
      </c>
      <c r="AS32" s="120" t="str">
        <f t="shared" si="23"/>
        <v/>
      </c>
      <c r="AT32" s="13" t="str">
        <f t="shared" si="107"/>
        <v/>
      </c>
      <c r="AU32" s="13" t="str">
        <f t="shared" si="24"/>
        <v xml:space="preserve">               </v>
      </c>
      <c r="AV32" s="13" t="str">
        <f t="shared" si="3"/>
        <v/>
      </c>
      <c r="AW32" s="13" t="str">
        <f t="shared" si="4"/>
        <v xml:space="preserve">                                                                 </v>
      </c>
      <c r="AX32" s="13" t="str">
        <f t="shared" si="9"/>
        <v/>
      </c>
      <c r="AY32" s="13" t="str">
        <f t="shared" si="10"/>
        <v/>
      </c>
      <c r="AZ32" s="13" t="str">
        <f t="shared" si="11"/>
        <v/>
      </c>
      <c r="BA32" s="13" t="str">
        <f t="shared" si="12"/>
        <v/>
      </c>
      <c r="BB32" s="13" t="str">
        <f t="shared" si="13"/>
        <v/>
      </c>
      <c r="BC32" s="13" t="str">
        <f t="shared" si="14"/>
        <v/>
      </c>
      <c r="BD32" s="13" t="str">
        <f t="shared" si="15"/>
        <v xml:space="preserve"> </v>
      </c>
      <c r="BE32" s="13" t="str">
        <f t="shared" si="25"/>
        <v/>
      </c>
      <c r="BF32" s="13" t="str">
        <f t="shared" si="26"/>
        <v/>
      </c>
      <c r="BG32" s="13" t="str">
        <f t="shared" si="27"/>
        <v/>
      </c>
      <c r="BH32" s="13" t="str">
        <f t="shared" si="28"/>
        <v/>
      </c>
      <c r="BI32" s="13" t="str">
        <f t="shared" si="29"/>
        <v/>
      </c>
      <c r="BJ32" s="13" t="str">
        <f t="shared" si="30"/>
        <v/>
      </c>
      <c r="BU32" s="104"/>
      <c r="BV32" s="104"/>
      <c r="BW32" s="104"/>
    </row>
    <row r="33" spans="1:76" ht="43.2" hidden="1" outlineLevel="1" x14ac:dyDescent="0.3">
      <c r="B33" s="13" t="s">
        <v>126</v>
      </c>
      <c r="C33" s="13" t="s">
        <v>293</v>
      </c>
      <c r="D33" s="22" t="s">
        <v>505</v>
      </c>
      <c r="E33" s="13" t="s">
        <v>306</v>
      </c>
      <c r="F33" s="13" t="s">
        <v>403</v>
      </c>
      <c r="G33" s="22" t="s">
        <v>543</v>
      </c>
      <c r="H33" s="13" t="s">
        <v>35</v>
      </c>
      <c r="I33" s="13" t="s">
        <v>659</v>
      </c>
      <c r="J33" s="13" t="s">
        <v>273</v>
      </c>
      <c r="K33" s="13" t="s">
        <v>29</v>
      </c>
      <c r="L33" s="22"/>
      <c r="M33" s="21"/>
      <c r="N33" s="13" t="str">
        <f t="shared" si="0"/>
        <v>CoilClgPTACQRatio_fTwbToadbIP</v>
      </c>
      <c r="O33" s="13" t="s">
        <v>165</v>
      </c>
      <c r="P33" s="13" t="s">
        <v>160</v>
      </c>
      <c r="Q33" s="13" t="s">
        <v>116</v>
      </c>
      <c r="R33" s="13" t="s">
        <v>460</v>
      </c>
      <c r="V33" s="33">
        <v>1.1839344999999999</v>
      </c>
      <c r="W33" s="33">
        <v>-8.1086999999999999E-3</v>
      </c>
      <c r="X33" s="33">
        <v>2.1100000000000001E-4</v>
      </c>
      <c r="Y33" s="33">
        <v>-6.1434999999999997E-3</v>
      </c>
      <c r="Z33" s="33">
        <v>1.5999999999999999E-6</v>
      </c>
      <c r="AA33" s="33">
        <v>-3.0000000000000001E-6</v>
      </c>
      <c r="AF33" s="61"/>
      <c r="AG33" s="113">
        <f t="shared" ref="AG33:AH39" si="125">IF(BV33&gt;0,ROUND(BV33,2),"")</f>
        <v>1.34</v>
      </c>
      <c r="AH33" s="113">
        <f t="shared" si="125"/>
        <v>0.7</v>
      </c>
      <c r="AI33" s="113">
        <f>IF(BQ33&gt;0,ROUND(BQ33,2),"")</f>
        <v>77</v>
      </c>
      <c r="AJ33" s="113">
        <f>IF(BR33&gt;0,ROUND(BR33,2),"")</f>
        <v>57</v>
      </c>
      <c r="AK33" s="113">
        <f>IF(BS33&gt;0,ROUND(BS33,2),"")</f>
        <v>115</v>
      </c>
      <c r="AL33" s="113">
        <f>IF(BT33&gt;0,ROUND(BT33,2),"")</f>
        <v>75</v>
      </c>
      <c r="AM33" s="22" t="s">
        <v>627</v>
      </c>
      <c r="AO33" s="13">
        <f t="shared" si="110"/>
        <v>0</v>
      </c>
      <c r="AP33" s="120" t="str">
        <f t="shared" si="8"/>
        <v/>
      </c>
      <c r="AQ33" s="120" t="str">
        <f t="shared" si="124"/>
        <v/>
      </c>
      <c r="AR33" s="120" t="str">
        <f t="shared" si="22"/>
        <v/>
      </c>
      <c r="AS33" s="120" t="str">
        <f t="shared" si="23"/>
        <v/>
      </c>
      <c r="AT33" s="13" t="str">
        <f t="shared" si="107"/>
        <v/>
      </c>
      <c r="AU33" s="13" t="str">
        <f t="shared" si="24"/>
        <v xml:space="preserve">               </v>
      </c>
      <c r="AV33" s="13" t="str">
        <f t="shared" si="3"/>
        <v/>
      </c>
      <c r="AW33" s="13" t="str">
        <f t="shared" si="4"/>
        <v xml:space="preserve">                                                                 </v>
      </c>
      <c r="AX33" s="13" t="str">
        <f t="shared" ref="AX33:BC33" si="126">IF($AO33=1,IF(ISBLANK(V33),"-",CONCATENATE(TEXT(V33," 0.000000;-0.000000"),"  ")),"")</f>
        <v/>
      </c>
      <c r="AY33" s="13" t="str">
        <f t="shared" si="126"/>
        <v/>
      </c>
      <c r="AZ33" s="13" t="str">
        <f t="shared" si="126"/>
        <v/>
      </c>
      <c r="BA33" s="13" t="str">
        <f t="shared" si="126"/>
        <v/>
      </c>
      <c r="BB33" s="13" t="str">
        <f t="shared" si="126"/>
        <v/>
      </c>
      <c r="BC33" s="13" t="str">
        <f t="shared" si="126"/>
        <v/>
      </c>
      <c r="BD33" s="13" t="str">
        <f t="shared" si="15"/>
        <v xml:space="preserve">_x000D_
                                                                                </v>
      </c>
      <c r="BE33" s="13" t="str">
        <f t="shared" si="25"/>
        <v/>
      </c>
      <c r="BF33" s="13" t="str">
        <f t="shared" si="26"/>
        <v/>
      </c>
      <c r="BG33" s="13" t="str">
        <f t="shared" si="27"/>
        <v/>
      </c>
      <c r="BH33" s="13" t="str">
        <f t="shared" si="28"/>
        <v/>
      </c>
      <c r="BI33" s="13" t="str">
        <f t="shared" si="29"/>
        <v/>
      </c>
      <c r="BJ33" s="13" t="str">
        <f t="shared" si="30"/>
        <v/>
      </c>
      <c r="BM33" s="13" t="str">
        <f t="shared" ref="BM33:BN39" si="127">Q33</f>
        <v>Twb</v>
      </c>
      <c r="BN33" s="13" t="str">
        <f t="shared" si="127"/>
        <v>Toadb</v>
      </c>
      <c r="BO33" s="13">
        <v>67</v>
      </c>
      <c r="BP33" s="13">
        <v>95</v>
      </c>
      <c r="BQ33" s="13">
        <v>77</v>
      </c>
      <c r="BR33" s="13">
        <v>57</v>
      </c>
      <c r="BS33" s="13">
        <v>115</v>
      </c>
      <c r="BT33" s="13">
        <v>75</v>
      </c>
      <c r="BU33" s="104">
        <f t="shared" ref="BU33:BU39" si="128">$V33+$W33*BO33+$X33*BO33^2+$Y33*BP33+$Z33*BP33^2+$AA33*BO33*BP33</f>
        <v>0.9995430999999998</v>
      </c>
      <c r="BV33" s="104">
        <f>$V33+$W33*BQ33+$X33*BQ33^2+$Y33*BT33+$Z33*BT33^2+$AA33*BQ33*BT33</f>
        <v>1.3414960999999999</v>
      </c>
      <c r="BW33" s="104">
        <f>$V33+$W33*BR33+$X33*BR33^2+$Y33*BS33+$Z33*BS33^2+$AA33*BR33*BS33</f>
        <v>0.70227010000000001</v>
      </c>
      <c r="BX33" s="13" t="s">
        <v>729</v>
      </c>
    </row>
    <row r="34" spans="1:76" ht="43.2" hidden="1" outlineLevel="1" x14ac:dyDescent="0.3">
      <c r="E34" s="13" t="s">
        <v>306</v>
      </c>
      <c r="F34" s="13" t="s">
        <v>403</v>
      </c>
      <c r="G34" s="22" t="s">
        <v>543</v>
      </c>
      <c r="H34" s="13" t="s">
        <v>35</v>
      </c>
      <c r="I34" s="13" t="s">
        <v>660</v>
      </c>
      <c r="J34" s="13" t="s">
        <v>144</v>
      </c>
      <c r="L34" s="22" t="s">
        <v>534</v>
      </c>
      <c r="M34" s="21" t="s">
        <v>267</v>
      </c>
      <c r="N34" s="13" t="str">
        <f t="shared" si="0"/>
        <v>CoilClgPTACQRatio_fTwbToadbSI</v>
      </c>
      <c r="O34" s="13" t="s">
        <v>165</v>
      </c>
      <c r="P34" s="13" t="s">
        <v>160</v>
      </c>
      <c r="Q34" s="13" t="s">
        <v>116</v>
      </c>
      <c r="R34" s="13" t="s">
        <v>460</v>
      </c>
      <c r="V34" s="33">
        <v>0.94287900000000002</v>
      </c>
      <c r="W34" s="33">
        <v>9.5382000000000002E-3</v>
      </c>
      <c r="X34" s="33">
        <v>6.8364000000000001E-4</v>
      </c>
      <c r="Y34" s="33">
        <v>-1.10016E-2</v>
      </c>
      <c r="Z34" s="33">
        <v>6.4799999999999998E-6</v>
      </c>
      <c r="AA34" s="33">
        <v>-9.7200000000000001E-6</v>
      </c>
      <c r="AF34" s="61"/>
      <c r="AG34" s="113">
        <f t="shared" si="125"/>
        <v>1.34</v>
      </c>
      <c r="AH34" s="113">
        <f t="shared" si="125"/>
        <v>0.71</v>
      </c>
      <c r="AI34" s="113">
        <f t="shared" ref="AI34:AI39" si="129">IF(BQ34&gt;0,ROUND(BQ34,2),"")</f>
        <v>25</v>
      </c>
      <c r="AJ34" s="113">
        <f t="shared" ref="AJ34:AL39" si="130">IF(BR34&gt;0,ROUND(BR34,2),"")</f>
        <v>13.89</v>
      </c>
      <c r="AK34" s="113">
        <f t="shared" si="130"/>
        <v>46.11</v>
      </c>
      <c r="AL34" s="113">
        <f t="shared" si="130"/>
        <v>23.89</v>
      </c>
      <c r="AO34" s="13">
        <f t="shared" si="110"/>
        <v>1</v>
      </c>
      <c r="AP34" s="120" t="str">
        <f t="shared" ref="AP34" si="131">IF(AO34=1,CONCATENATE(AQ34,AR34,AS34),"")</f>
        <v>CrvDblQuad     "CoilClgPTACQRatio_fTwbToadbSI"                                  Coef1 =  0.942879  Coef2 =  0.009538  Coef3 =  0.000684  Coef4 = -0.011002  Coef5 =  0.000006  Coef6 = -0.000010  _x000D_
                                                                                MaxOut = 1.340   MinOut = 0.710   MaxVar1 = 25.000   MinVar1 = 13.890   MaxVar2 = 46.110   MinVar2 = 23.890   _x000D_
..</v>
      </c>
      <c r="AQ34" s="120" t="str">
        <f t="shared" ref="AQ34" si="132">IF(AO34=1,CONCATENATE(AT34,AU34,AV34,AW34,IF(AX34="-","",$AX$15&amp;AX34),IF(AY34="-","",$AY$15&amp;AY34),IF(AZ34="-","",$AZ$15&amp;AZ34),IF(BA34="-","",$BA$15&amp;BA34),IF(BB34="-","",$BB$15&amp;BB34),IF(BC34="-","",$BC$15&amp;BC34)),"")</f>
        <v xml:space="preserve">CrvDblQuad     "CoilClgPTACQRatio_fTwbToadbSI"                                  Coef1 =  0.942879  Coef2 =  0.009538  Coef3 =  0.000684  Coef4 = -0.011002  Coef5 =  0.000006  Coef6 = -0.000010  </v>
      </c>
      <c r="AR34" s="120" t="str">
        <f t="shared" si="22"/>
        <v xml:space="preserve">_x000D_
                                                                                MaxOut = 1.340   MinOut = 0.710   MaxVar1 = 25.000   MinVar1 = 13.890   MaxVar2 = 46.110   MinVar2 = 23.890   </v>
      </c>
      <c r="AS34" s="120" t="str">
        <f t="shared" ref="AS34" si="133">IF(AO34=1,CHAR(13)&amp;CHAR(10)&amp;"..","")</f>
        <v>_x000D_
..</v>
      </c>
      <c r="AT34" s="13" t="str">
        <f t="shared" ref="AT34" si="134">IF(AO34=1,VLOOKUP(O34,$AT$2:$AV$13,2,0),"")</f>
        <v>CrvDblQuad</v>
      </c>
      <c r="AU34" s="13" t="str">
        <f t="shared" si="24"/>
        <v xml:space="preserve">     </v>
      </c>
      <c r="AV34" s="13" t="str">
        <f t="shared" ref="AV34" si="135">IF(AO34=1,CONCATENATE("""",N34,""""),"")</f>
        <v>"CoilClgPTACQRatio_fTwbToadbSI"</v>
      </c>
      <c r="AW34" s="13" t="str">
        <f t="shared" ref="AW34" si="136">REPT(" ",$AW$14-LEN(AV34))</f>
        <v xml:space="preserve">                                  </v>
      </c>
      <c r="AX34" s="13" t="str">
        <f t="shared" ref="AX34" si="137">IF($AO34=1,IF(ISBLANK(V34),"-",CONCATENATE(TEXT(V34," 0.000000;-0.000000"),"  ")),"")</f>
        <v xml:space="preserve"> 0.942879  </v>
      </c>
      <c r="AY34" s="13" t="str">
        <f t="shared" ref="AY34" si="138">IF($AO34=1,IF(ISBLANK(W34),"-",CONCATENATE(TEXT(W34," 0.000000;-0.000000"),"  ")),"")</f>
        <v xml:space="preserve"> 0.009538  </v>
      </c>
      <c r="AZ34" s="13" t="str">
        <f t="shared" ref="AZ34" si="139">IF($AO34=1,IF(ISBLANK(X34),"-",CONCATENATE(TEXT(X34," 0.000000;-0.000000"),"  ")),"")</f>
        <v xml:space="preserve"> 0.000684  </v>
      </c>
      <c r="BA34" s="13" t="str">
        <f t="shared" ref="BA34" si="140">IF($AO34=1,IF(ISBLANK(Y34),"-",CONCATENATE(TEXT(Y34," 0.000000;-0.000000"),"  ")),"")</f>
        <v xml:space="preserve">-0.011002  </v>
      </c>
      <c r="BB34" s="13" t="str">
        <f t="shared" ref="BB34" si="141">IF($AO34=1,IF(ISBLANK(Z34),"-",CONCATENATE(TEXT(Z34," 0.000000;-0.000000"),"  ")),"")</f>
        <v xml:space="preserve"> 0.000006  </v>
      </c>
      <c r="BC34" s="13" t="str">
        <f t="shared" ref="BC34" si="142">IF($AO34=1,IF(ISBLANK(AA34),"-",CONCATENATE(TEXT(AA34," 0.000000;-0.000000"),"  ")),"")</f>
        <v xml:space="preserve">-0.000010  </v>
      </c>
      <c r="BD34" s="13" t="str">
        <f t="shared" si="15"/>
        <v xml:space="preserve">_x000D_
                                                                                </v>
      </c>
      <c r="BE34" s="13" t="str">
        <f t="shared" si="25"/>
        <v xml:space="preserve">1.340   </v>
      </c>
      <c r="BF34" s="13" t="str">
        <f t="shared" si="26"/>
        <v xml:space="preserve">0.710   </v>
      </c>
      <c r="BG34" s="13" t="str">
        <f t="shared" si="27"/>
        <v xml:space="preserve">25.000   </v>
      </c>
      <c r="BH34" s="13" t="str">
        <f t="shared" si="28"/>
        <v xml:space="preserve">13.890   </v>
      </c>
      <c r="BI34" s="13" t="str">
        <f t="shared" si="29"/>
        <v xml:space="preserve">46.110   </v>
      </c>
      <c r="BJ34" s="13" t="str">
        <f t="shared" si="30"/>
        <v xml:space="preserve">23.890   </v>
      </c>
      <c r="BM34" s="13" t="str">
        <f t="shared" si="127"/>
        <v>Twb</v>
      </c>
      <c r="BN34" s="13" t="str">
        <f t="shared" si="127"/>
        <v>Toadb</v>
      </c>
      <c r="BO34" s="118">
        <f>(BO33-32)/1.8</f>
        <v>19.444444444444443</v>
      </c>
      <c r="BP34" s="118">
        <f>(BP33-32)/1.8</f>
        <v>35</v>
      </c>
      <c r="BQ34" s="118">
        <f t="shared" ref="BQ34:BT34" si="143">(BQ33-32)/1.8</f>
        <v>25</v>
      </c>
      <c r="BR34" s="118">
        <f>(BR33-32)/1.8</f>
        <v>13.888888888888889</v>
      </c>
      <c r="BS34" s="118">
        <f t="shared" si="143"/>
        <v>46.111111111111107</v>
      </c>
      <c r="BT34" s="118">
        <f t="shared" si="143"/>
        <v>23.888888888888889</v>
      </c>
      <c r="BU34" s="104">
        <f t="shared" si="128"/>
        <v>1.0030859999999999</v>
      </c>
      <c r="BV34" s="104">
        <f t="shared" ref="BV34:BV39" si="144">$V34+$W34*BQ34+$X34*BQ34^2+$Y34*BT34+$Z34*BT34^2+$AA34*BQ34*BT34</f>
        <v>1.3436860000000002</v>
      </c>
      <c r="BW34" s="104">
        <f t="shared" ref="BW34:BW39" si="145">$V34+$W34*BR34+$X34*BR34^2+$Y34*BS34+$Z34*BS34^2+$AA34*BR34*BS34</f>
        <v>0.70748599999999984</v>
      </c>
      <c r="BX34" s="13" t="s">
        <v>729</v>
      </c>
    </row>
    <row r="35" spans="1:76" ht="43.2" hidden="1" outlineLevel="1" x14ac:dyDescent="0.3">
      <c r="E35" s="13" t="s">
        <v>306</v>
      </c>
      <c r="F35" s="13" t="s">
        <v>403</v>
      </c>
      <c r="G35" s="22" t="s">
        <v>545</v>
      </c>
      <c r="H35" s="13" t="s">
        <v>301</v>
      </c>
      <c r="I35" s="13" t="s">
        <v>659</v>
      </c>
      <c r="J35" s="13" t="s">
        <v>273</v>
      </c>
      <c r="K35" s="13" t="s">
        <v>29</v>
      </c>
      <c r="L35" s="22"/>
      <c r="M35" s="21"/>
      <c r="N35" s="13" t="str">
        <f t="shared" si="0"/>
        <v>CoilClgDXQRatio_fTwbToadbIP</v>
      </c>
      <c r="O35" s="13" t="s">
        <v>165</v>
      </c>
      <c r="P35" s="13" t="s">
        <v>160</v>
      </c>
      <c r="Q35" s="13" t="s">
        <v>116</v>
      </c>
      <c r="R35" s="13" t="s">
        <v>460</v>
      </c>
      <c r="V35" s="33">
        <v>0.87403019999999998</v>
      </c>
      <c r="W35" s="33">
        <v>-1.1416E-3</v>
      </c>
      <c r="X35" s="33">
        <v>1.7110000000000001E-4</v>
      </c>
      <c r="Y35" s="33">
        <v>-2.957E-3</v>
      </c>
      <c r="Z35" s="33">
        <v>1.0200000000000001E-5</v>
      </c>
      <c r="AA35" s="33">
        <v>-5.9200000000000002E-5</v>
      </c>
      <c r="AF35" s="61"/>
      <c r="AG35" s="113">
        <f t="shared" si="125"/>
        <v>1.29</v>
      </c>
      <c r="AH35" s="113">
        <f t="shared" si="125"/>
        <v>0.77</v>
      </c>
      <c r="AI35" s="113">
        <f t="shared" si="129"/>
        <v>77</v>
      </c>
      <c r="AJ35" s="113">
        <f t="shared" si="130"/>
        <v>57</v>
      </c>
      <c r="AK35" s="113">
        <f t="shared" si="130"/>
        <v>115</v>
      </c>
      <c r="AL35" s="113">
        <f t="shared" si="130"/>
        <v>75</v>
      </c>
      <c r="AM35" s="22" t="s">
        <v>627</v>
      </c>
      <c r="AO35" s="13">
        <f t="shared" si="110"/>
        <v>0</v>
      </c>
      <c r="AP35" s="120" t="str">
        <f t="shared" si="8"/>
        <v/>
      </c>
      <c r="AQ35" s="120" t="str">
        <f t="shared" si="124"/>
        <v/>
      </c>
      <c r="AR35" s="120" t="str">
        <f t="shared" si="22"/>
        <v/>
      </c>
      <c r="AS35" s="120" t="str">
        <f t="shared" si="23"/>
        <v/>
      </c>
      <c r="AT35" s="13" t="str">
        <f t="shared" si="107"/>
        <v/>
      </c>
      <c r="AU35" s="13" t="str">
        <f t="shared" si="24"/>
        <v xml:space="preserve">               </v>
      </c>
      <c r="AV35" s="13" t="str">
        <f t="shared" si="3"/>
        <v/>
      </c>
      <c r="AW35" s="13" t="str">
        <f t="shared" si="4"/>
        <v xml:space="preserve">                                                                 </v>
      </c>
      <c r="AX35" s="13" t="str">
        <f t="shared" ref="AX35:AX117" si="146">IF($AO35=1,IF(ISBLANK(V35),"-",CONCATENATE(TEXT(V35," 0.000000;-0.000000"),"  ")),"")</f>
        <v/>
      </c>
      <c r="AY35" s="13" t="str">
        <f t="shared" ref="AY35:AY117" si="147">IF($AO35=1,IF(ISBLANK(W35),"-",CONCATENATE(TEXT(W35," 0.000000;-0.000000"),"  ")),"")</f>
        <v/>
      </c>
      <c r="AZ35" s="13" t="str">
        <f t="shared" ref="AZ35:AZ117" si="148">IF($AO35=1,IF(ISBLANK(X35),"-",CONCATENATE(TEXT(X35," 0.000000;-0.000000"),"  ")),"")</f>
        <v/>
      </c>
      <c r="BA35" s="13" t="str">
        <f t="shared" ref="BA35:BA117" si="149">IF($AO35=1,IF(ISBLANK(Y35),"-",CONCATENATE(TEXT(Y35," 0.000000;-0.000000"),"  ")),"")</f>
        <v/>
      </c>
      <c r="BB35" s="13" t="str">
        <f t="shared" ref="BB35:BB117" si="150">IF($AO35=1,IF(ISBLANK(Z35),"-",CONCATENATE(TEXT(Z35," 0.000000;-0.000000"),"  ")),"")</f>
        <v/>
      </c>
      <c r="BC35" s="13" t="str">
        <f t="shared" ref="BC35:BC117" si="151">IF($AO35=1,IF(ISBLANK(AA35),"-",CONCATENATE(TEXT(AA35," 0.000000;-0.000000"),"  ")),"")</f>
        <v/>
      </c>
      <c r="BD35" s="13" t="str">
        <f t="shared" si="15"/>
        <v xml:space="preserve">_x000D_
                                                                                </v>
      </c>
      <c r="BE35" s="13" t="str">
        <f t="shared" si="25"/>
        <v/>
      </c>
      <c r="BF35" s="13" t="str">
        <f t="shared" si="26"/>
        <v/>
      </c>
      <c r="BG35" s="13" t="str">
        <f t="shared" si="27"/>
        <v/>
      </c>
      <c r="BH35" s="13" t="str">
        <f t="shared" si="28"/>
        <v/>
      </c>
      <c r="BI35" s="13" t="str">
        <f t="shared" si="29"/>
        <v/>
      </c>
      <c r="BJ35" s="13" t="str">
        <f t="shared" si="30"/>
        <v/>
      </c>
      <c r="BM35" s="13" t="str">
        <f t="shared" si="127"/>
        <v>Twb</v>
      </c>
      <c r="BN35" s="13" t="str">
        <f t="shared" si="127"/>
        <v>Toadb</v>
      </c>
      <c r="BO35" s="13">
        <v>67</v>
      </c>
      <c r="BP35" s="13">
        <v>95</v>
      </c>
      <c r="BQ35" s="13">
        <v>77</v>
      </c>
      <c r="BR35" s="13">
        <v>57</v>
      </c>
      <c r="BS35" s="13">
        <v>115</v>
      </c>
      <c r="BT35" s="13">
        <v>75</v>
      </c>
      <c r="BU35" s="104">
        <f t="shared" si="128"/>
        <v>0.99994289999999997</v>
      </c>
      <c r="BV35" s="104">
        <f t="shared" si="144"/>
        <v>1.2942989</v>
      </c>
      <c r="BW35" s="104">
        <f t="shared" si="145"/>
        <v>0.77164689999999991</v>
      </c>
      <c r="BX35" s="13" t="s">
        <v>729</v>
      </c>
    </row>
    <row r="36" spans="1:76" ht="28.8" hidden="1" outlineLevel="1" x14ac:dyDescent="0.3">
      <c r="E36" s="13" t="s">
        <v>306</v>
      </c>
      <c r="F36" s="13" t="s">
        <v>403</v>
      </c>
      <c r="G36" s="22" t="s">
        <v>545</v>
      </c>
      <c r="H36" s="13" t="s">
        <v>301</v>
      </c>
      <c r="I36" s="13" t="s">
        <v>660</v>
      </c>
      <c r="J36" s="13" t="s">
        <v>144</v>
      </c>
      <c r="L36" s="22" t="s">
        <v>533</v>
      </c>
      <c r="M36" s="21" t="s">
        <v>267</v>
      </c>
      <c r="N36" s="13" t="str">
        <f t="shared" si="0"/>
        <v>CoilClgDXQRatio_fTwbToadbSI</v>
      </c>
      <c r="O36" s="13" t="s">
        <v>165</v>
      </c>
      <c r="P36" s="13" t="s">
        <v>160</v>
      </c>
      <c r="Q36" s="13" t="s">
        <v>116</v>
      </c>
      <c r="R36" s="13" t="s">
        <v>460</v>
      </c>
      <c r="V36" s="33">
        <v>0.86778999999999995</v>
      </c>
      <c r="W36" s="33">
        <v>1.42452E-2</v>
      </c>
      <c r="X36" s="33">
        <v>5.5404E-4</v>
      </c>
      <c r="Y36" s="33">
        <v>-7.5690000000000002E-3</v>
      </c>
      <c r="Z36" s="33">
        <v>3.2400000000000001E-5</v>
      </c>
      <c r="AA36" s="33">
        <v>-1.9116000000000001E-4</v>
      </c>
      <c r="AF36" s="61"/>
      <c r="AG36" s="113">
        <f t="shared" si="125"/>
        <v>1.29</v>
      </c>
      <c r="AH36" s="113">
        <f t="shared" si="125"/>
        <v>0.77</v>
      </c>
      <c r="AI36" s="113">
        <f t="shared" si="129"/>
        <v>25</v>
      </c>
      <c r="AJ36" s="113">
        <f t="shared" si="130"/>
        <v>13.89</v>
      </c>
      <c r="AK36" s="113">
        <f t="shared" si="130"/>
        <v>46.11</v>
      </c>
      <c r="AL36" s="113">
        <f t="shared" si="130"/>
        <v>23.89</v>
      </c>
      <c r="AO36" s="13">
        <f t="shared" si="110"/>
        <v>1</v>
      </c>
      <c r="AP36" s="120" t="str">
        <f t="shared" ref="AP36:AP37" si="152">IF(AO36=1,CONCATENATE(AQ36,AR36,AS36),"")</f>
        <v>CrvDblQuad     "CoilClgDXQRatio_fTwbToadbSI"                                    Coef1 =  0.867790  Coef2 =  0.014245  Coef3 =  0.000554  Coef4 = -0.007569  Coef5 =  0.000032  Coef6 = -0.000191  _x000D_
                                                                                MaxOut = 1.290   MinOut = 0.770   MaxVar1 = 25.000   MinVar1 = 13.890   MaxVar2 = 46.110   MinVar2 = 23.890   _x000D_
..</v>
      </c>
      <c r="AQ36" s="120" t="str">
        <f t="shared" ref="AQ36:AQ37" si="153">IF(AO36=1,CONCATENATE(AT36,AU36,AV36,AW36,IF(AX36="-","",$AX$15&amp;AX36),IF(AY36="-","",$AY$15&amp;AY36),IF(AZ36="-","",$AZ$15&amp;AZ36),IF(BA36="-","",$BA$15&amp;BA36),IF(BB36="-","",$BB$15&amp;BB36),IF(BC36="-","",$BC$15&amp;BC36)),"")</f>
        <v xml:space="preserve">CrvDblQuad     "CoilClgDXQRatio_fTwbToadbSI"                                    Coef1 =  0.867790  Coef2 =  0.014245  Coef3 =  0.000554  Coef4 = -0.007569  Coef5 =  0.000032  Coef6 = -0.000191  </v>
      </c>
      <c r="AR36" s="120" t="str">
        <f t="shared" si="22"/>
        <v xml:space="preserve">_x000D_
                                                                                MaxOut = 1.290   MinOut = 0.770   MaxVar1 = 25.000   MinVar1 = 13.890   MaxVar2 = 46.110   MinVar2 = 23.890   </v>
      </c>
      <c r="AS36" s="120" t="str">
        <f t="shared" ref="AS36:AS37" si="154">IF(AO36=1,CHAR(13)&amp;CHAR(10)&amp;"..","")</f>
        <v>_x000D_
..</v>
      </c>
      <c r="AT36" s="13" t="str">
        <f t="shared" ref="AT36:AT37" si="155">IF(AO36=1,VLOOKUP(O36,$AT$2:$AV$13,2,0),"")</f>
        <v>CrvDblQuad</v>
      </c>
      <c r="AU36" s="13" t="str">
        <f t="shared" si="24"/>
        <v xml:space="preserve">     </v>
      </c>
      <c r="AV36" s="13" t="str">
        <f t="shared" ref="AV36" si="156">IF(AO36=1,CONCATENATE("""",N36,""""),"")</f>
        <v>"CoilClgDXQRatio_fTwbToadbSI"</v>
      </c>
      <c r="AW36" s="13" t="str">
        <f t="shared" ref="AW36" si="157">REPT(" ",$AW$14-LEN(AV36))</f>
        <v xml:space="preserve">                                    </v>
      </c>
      <c r="AX36" s="13" t="str">
        <f t="shared" ref="AX36" si="158">IF($AO36=1,IF(ISBLANK(V36),"-",CONCATENATE(TEXT(V36," 0.000000;-0.000000"),"  ")),"")</f>
        <v xml:space="preserve"> 0.867790  </v>
      </c>
      <c r="AY36" s="13" t="str">
        <f t="shared" ref="AY36" si="159">IF($AO36=1,IF(ISBLANK(W36),"-",CONCATENATE(TEXT(W36," 0.000000;-0.000000"),"  ")),"")</f>
        <v xml:space="preserve"> 0.014245  </v>
      </c>
      <c r="AZ36" s="13" t="str">
        <f t="shared" ref="AZ36" si="160">IF($AO36=1,IF(ISBLANK(X36),"-",CONCATENATE(TEXT(X36," 0.000000;-0.000000"),"  ")),"")</f>
        <v xml:space="preserve"> 0.000554  </v>
      </c>
      <c r="BA36" s="13" t="str">
        <f t="shared" ref="BA36" si="161">IF($AO36=1,IF(ISBLANK(Y36),"-",CONCATENATE(TEXT(Y36," 0.000000;-0.000000"),"  ")),"")</f>
        <v xml:space="preserve">-0.007569  </v>
      </c>
      <c r="BB36" s="13" t="str">
        <f t="shared" ref="BB36" si="162">IF($AO36=1,IF(ISBLANK(Z36),"-",CONCATENATE(TEXT(Z36," 0.000000;-0.000000"),"  ")),"")</f>
        <v xml:space="preserve"> 0.000032  </v>
      </c>
      <c r="BC36" s="13" t="str">
        <f t="shared" ref="BC36" si="163">IF($AO36=1,IF(ISBLANK(AA36),"-",CONCATENATE(TEXT(AA36," 0.000000;-0.000000"),"  ")),"")</f>
        <v xml:space="preserve">-0.000191  </v>
      </c>
      <c r="BD36" s="13" t="str">
        <f t="shared" si="15"/>
        <v xml:space="preserve">_x000D_
                                                                                </v>
      </c>
      <c r="BE36" s="13" t="str">
        <f t="shared" si="25"/>
        <v xml:space="preserve">1.290   </v>
      </c>
      <c r="BF36" s="13" t="str">
        <f t="shared" si="26"/>
        <v xml:space="preserve">0.770   </v>
      </c>
      <c r="BG36" s="13" t="str">
        <f t="shared" si="27"/>
        <v xml:space="preserve">25.000   </v>
      </c>
      <c r="BH36" s="13" t="str">
        <f t="shared" si="28"/>
        <v xml:space="preserve">13.890   </v>
      </c>
      <c r="BI36" s="13" t="str">
        <f t="shared" si="29"/>
        <v xml:space="preserve">46.110   </v>
      </c>
      <c r="BJ36" s="13" t="str">
        <f t="shared" si="30"/>
        <v xml:space="preserve">23.890   </v>
      </c>
      <c r="BM36" s="13" t="str">
        <f t="shared" si="127"/>
        <v>Twb</v>
      </c>
      <c r="BN36" s="13" t="str">
        <f t="shared" si="127"/>
        <v>Toadb</v>
      </c>
      <c r="BO36" s="118">
        <f>(BO35-32)/1.8</f>
        <v>19.444444444444443</v>
      </c>
      <c r="BP36" s="118">
        <f>(BP35-32)/1.8</f>
        <v>35</v>
      </c>
      <c r="BQ36" s="118">
        <f t="shared" ref="BQ36" si="164">(BQ35-32)/1.8</f>
        <v>25</v>
      </c>
      <c r="BR36" s="118">
        <f t="shared" ref="BR36" si="165">(BR35-32)/1.8</f>
        <v>13.888888888888889</v>
      </c>
      <c r="BS36" s="118">
        <f t="shared" ref="BS36" si="166">(BS35-32)/1.8</f>
        <v>46.111111111111107</v>
      </c>
      <c r="BT36" s="118">
        <f t="shared" ref="BT36" si="167">(BT35-32)/1.8</f>
        <v>23.888888888888889</v>
      </c>
      <c r="BU36" s="104">
        <f>$V36+$W36*BO36+$X36*BO36^2+$Y36*BP36+$Z36*BP36^2+$AA36*BO36*BP36</f>
        <v>0.9989349999999998</v>
      </c>
      <c r="BV36" s="104">
        <f t="shared" si="144"/>
        <v>1.2937049999999999</v>
      </c>
      <c r="BW36" s="104">
        <f t="shared" si="145"/>
        <v>0.76996500000000001</v>
      </c>
      <c r="BX36" s="13" t="s">
        <v>729</v>
      </c>
    </row>
    <row r="37" spans="1:76" s="46" customFormat="1" ht="43.2" hidden="1" outlineLevel="1" x14ac:dyDescent="0.3">
      <c r="A37" s="60"/>
      <c r="D37" s="59"/>
      <c r="E37" s="46" t="s">
        <v>1159</v>
      </c>
      <c r="F37" s="46" t="s">
        <v>403</v>
      </c>
      <c r="G37" s="59" t="s">
        <v>1162</v>
      </c>
      <c r="H37" s="46" t="s">
        <v>1160</v>
      </c>
      <c r="I37" s="46" t="s">
        <v>660</v>
      </c>
      <c r="J37" s="46" t="s">
        <v>144</v>
      </c>
      <c r="L37" s="59" t="s">
        <v>533</v>
      </c>
      <c r="M37" s="286" t="s">
        <v>267</v>
      </c>
      <c r="N37" s="46" t="str">
        <f t="shared" si="0"/>
        <v>CoilCLgCRACwPREQRatio_fTwbToadbSI</v>
      </c>
      <c r="O37" s="46" t="s">
        <v>165</v>
      </c>
      <c r="P37" s="46" t="s">
        <v>160</v>
      </c>
      <c r="Q37" s="46" t="s">
        <v>116</v>
      </c>
      <c r="R37" s="46" t="s">
        <v>460</v>
      </c>
      <c r="V37" s="287">
        <v>1.1402000000000001</v>
      </c>
      <c r="W37" s="287">
        <v>0</v>
      </c>
      <c r="X37" s="287">
        <v>0</v>
      </c>
      <c r="Y37" s="287">
        <v>-2.7692E-4</v>
      </c>
      <c r="Z37" s="287">
        <v>-1.0385E-4</v>
      </c>
      <c r="AA37" s="287">
        <v>0</v>
      </c>
      <c r="AF37" s="288"/>
      <c r="AG37" s="289">
        <f t="shared" ref="AG37" si="168">IF(BV37&gt;0,ROUND(BV37,2),"")</f>
        <v>1.29</v>
      </c>
      <c r="AH37" s="289">
        <f t="shared" ref="AH37" si="169">IF(BW37&gt;0,ROUND(BW37,2),"")</f>
        <v>0.77</v>
      </c>
      <c r="AI37" s="289">
        <f t="shared" ref="AI37" si="170">IF(BQ37&gt;0,ROUND(BQ37,2),"")</f>
        <v>25</v>
      </c>
      <c r="AJ37" s="289">
        <f t="shared" ref="AJ37" si="171">IF(BR37&gt;0,ROUND(BR37,2),"")</f>
        <v>0</v>
      </c>
      <c r="AK37" s="289">
        <f t="shared" ref="AK37" si="172">IF(BS37&gt;0,ROUND(BS37,2),"")</f>
        <v>46.11</v>
      </c>
      <c r="AL37" s="289">
        <f t="shared" ref="AL37" si="173">IF(BT37&gt;0,ROUND(BT37,2),"")</f>
        <v>0</v>
      </c>
      <c r="AM37" s="59" t="s">
        <v>1161</v>
      </c>
      <c r="AO37" s="46">
        <f t="shared" si="110"/>
        <v>1</v>
      </c>
      <c r="AP37" s="262" t="str">
        <f t="shared" si="152"/>
        <v>CrvDblQuad     "CoilCLgCRACwPREQRatio_fTwbToadbSI"                              Coef1 =  1.140200  Coef2 =  0.000000  Coef3 =  0.000000  Coef4 = -0.000277  Coef5 = -0.000104  Coef6 =  0.000000  _x000D_
                                                                                MaxOut = 1.290   MinOut = 0.770   MaxVar1 = 25.000   MinVar1 = 0.000   MaxVar2 = 46.110   MinVar2 = 0.000   _x000D_
..</v>
      </c>
      <c r="AQ37" s="262" t="str">
        <f t="shared" si="153"/>
        <v xml:space="preserve">CrvDblQuad     "CoilCLgCRACwPREQRatio_fTwbToadbSI"                              Coef1 =  1.140200  Coef2 =  0.000000  Coef3 =  0.000000  Coef4 = -0.000277  Coef5 = -0.000104  Coef6 =  0.000000  </v>
      </c>
      <c r="AR37" s="262" t="str">
        <f t="shared" si="22"/>
        <v xml:space="preserve">_x000D_
                                                                                MaxOut = 1.290   MinOut = 0.770   MaxVar1 = 25.000   MinVar1 = 0.000   MaxVar2 = 46.110   MinVar2 = 0.000   </v>
      </c>
      <c r="AS37" s="262" t="str">
        <f t="shared" si="154"/>
        <v>_x000D_
..</v>
      </c>
      <c r="AT37" s="46" t="str">
        <f t="shared" si="155"/>
        <v>CrvDblQuad</v>
      </c>
      <c r="AU37" s="46" t="str">
        <f t="shared" ref="AU37" si="174">REPT(" ",AU$14-LEN(AT37))</f>
        <v xml:space="preserve">     </v>
      </c>
      <c r="AV37" s="46" t="str">
        <f t="shared" ref="AV37" si="175">IF(AO37=1,CONCATENATE("""",N37,""""),"")</f>
        <v>"CoilCLgCRACwPREQRatio_fTwbToadbSI"</v>
      </c>
      <c r="AW37" s="46" t="str">
        <f t="shared" ref="AW37" si="176">REPT(" ",$AW$14-LEN(AV37))</f>
        <v xml:space="preserve">                              </v>
      </c>
      <c r="AX37" s="46" t="str">
        <f t="shared" ref="AX37" si="177">IF($AO37=1,IF(ISBLANK(V37),"-",CONCATENATE(TEXT(V37," 0.000000;-0.000000"),"  ")),"")</f>
        <v xml:space="preserve"> 1.140200  </v>
      </c>
      <c r="AY37" s="46" t="str">
        <f t="shared" ref="AY37" si="178">IF($AO37=1,IF(ISBLANK(W37),"-",CONCATENATE(TEXT(W37," 0.000000;-0.000000"),"  ")),"")</f>
        <v xml:space="preserve"> 0.000000  </v>
      </c>
      <c r="AZ37" s="46" t="str">
        <f t="shared" ref="AZ37" si="179">IF($AO37=1,IF(ISBLANK(X37),"-",CONCATENATE(TEXT(X37," 0.000000;-0.000000"),"  ")),"")</f>
        <v xml:space="preserve"> 0.000000  </v>
      </c>
      <c r="BA37" s="46" t="str">
        <f t="shared" ref="BA37" si="180">IF($AO37=1,IF(ISBLANK(Y37),"-",CONCATENATE(TEXT(Y37," 0.000000;-0.000000"),"  ")),"")</f>
        <v xml:space="preserve">-0.000277  </v>
      </c>
      <c r="BB37" s="46" t="str">
        <f t="shared" ref="BB37" si="181">IF($AO37=1,IF(ISBLANK(Z37),"-",CONCATENATE(TEXT(Z37," 0.000000;-0.000000"),"  ")),"")</f>
        <v xml:space="preserve">-0.000104  </v>
      </c>
      <c r="BC37" s="46" t="str">
        <f t="shared" ref="BC37" si="182">IF($AO37=1,IF(ISBLANK(AA37),"-",CONCATENATE(TEXT(AA37," 0.000000;-0.000000"),"  ")),"")</f>
        <v xml:space="preserve"> 0.000000  </v>
      </c>
      <c r="BD37" s="46" t="str">
        <f t="shared" ref="BD37" si="183">IF(MAX(AG37:AL37)=0,REPT(" ",1),CHAR(13)&amp;CHAR(10)&amp;REPT(" ",BD$14))</f>
        <v xml:space="preserve">_x000D_
                                                                                </v>
      </c>
      <c r="BE37" s="46" t="str">
        <f t="shared" ref="BE37" si="184">IF($AO37=1,IF(AG37="","-",CONCATENATE(TEXT(AG37,"0.000"),"   ")),"")</f>
        <v xml:space="preserve">1.290   </v>
      </c>
      <c r="BF37" s="46" t="str">
        <f t="shared" ref="BF37" si="185">IF($AO37=1,IF(AH37="","-",CONCATENATE(TEXT(AH37,"0.000"),"   ")),"")</f>
        <v xml:space="preserve">0.770   </v>
      </c>
      <c r="BG37" s="46" t="str">
        <f t="shared" ref="BG37" si="186">IF($AO37=1,IF(AI37="","-",CONCATENATE(TEXT(AI37,"0.000"),"   ")),"")</f>
        <v xml:space="preserve">25.000   </v>
      </c>
      <c r="BH37" s="46" t="str">
        <f t="shared" ref="BH37" si="187">IF($AO37=1,IF(AJ37="","-",CONCATENATE(TEXT(AJ37,"0.000"),"   ")),"")</f>
        <v xml:space="preserve">0.000   </v>
      </c>
      <c r="BI37" s="46" t="str">
        <f t="shared" ref="BI37" si="188">IF($AO37=1,IF(AK37="","-",CONCATENATE(TEXT(AK37,"0.000"),"   ")),"")</f>
        <v xml:space="preserve">46.110   </v>
      </c>
      <c r="BJ37" s="46" t="str">
        <f t="shared" ref="BJ37" si="189">IF($AO37=1,IF(AL37="","-",CONCATENATE(TEXT(AL37,"0.000"),"   ")),"")</f>
        <v xml:space="preserve">0.000   </v>
      </c>
      <c r="BM37" s="46" t="str">
        <f t="shared" ref="BM37" si="190">Q37</f>
        <v>Twb</v>
      </c>
      <c r="BN37" s="46" t="str">
        <f t="shared" ref="BN37" si="191">R37</f>
        <v>Toadb</v>
      </c>
      <c r="BO37" s="119">
        <v>19.440000000000001</v>
      </c>
      <c r="BP37" s="119">
        <v>35</v>
      </c>
      <c r="BQ37" s="119">
        <v>25</v>
      </c>
      <c r="BR37" s="119">
        <v>1E-3</v>
      </c>
      <c r="BS37" s="119">
        <v>46.11</v>
      </c>
      <c r="BT37" s="119">
        <v>1E-3</v>
      </c>
      <c r="BU37" s="116">
        <f t="shared" ref="BU37" si="192">$V37+$W37*BO37+$X37*BO37^2+$Y37*BP37+$Z37*BP37^2+$AA37*BO37*BP37</f>
        <v>1.0032915500000001</v>
      </c>
      <c r="BV37" s="116">
        <v>1.29</v>
      </c>
      <c r="BW37" s="116">
        <v>0.77</v>
      </c>
      <c r="BX37" s="46" t="s">
        <v>729</v>
      </c>
    </row>
    <row r="38" spans="1:76" hidden="1" outlineLevel="1" x14ac:dyDescent="0.3">
      <c r="E38" s="13" t="s">
        <v>306</v>
      </c>
      <c r="F38" s="13" t="s">
        <v>403</v>
      </c>
      <c r="G38" s="22" t="s">
        <v>555</v>
      </c>
      <c r="H38" s="13" t="s">
        <v>302</v>
      </c>
      <c r="I38" s="13" t="s">
        <v>659</v>
      </c>
      <c r="J38" s="13" t="s">
        <v>273</v>
      </c>
      <c r="K38" s="13" t="s">
        <v>29</v>
      </c>
      <c r="L38" s="39"/>
      <c r="M38" s="39"/>
      <c r="N38" s="13" t="str">
        <f t="shared" si="0"/>
        <v>CoilClgWSHPQRatio_fTwbTcwsIP</v>
      </c>
      <c r="O38" s="13" t="s">
        <v>165</v>
      </c>
      <c r="P38" s="13" t="s">
        <v>160</v>
      </c>
      <c r="Q38" s="13" t="s">
        <v>116</v>
      </c>
      <c r="R38" s="13" t="s">
        <v>140</v>
      </c>
      <c r="V38" s="33">
        <v>-0.2780377</v>
      </c>
      <c r="W38" s="33">
        <v>2.4830700000000001E-2</v>
      </c>
      <c r="X38" s="33">
        <v>-9.5000000000000005E-6</v>
      </c>
      <c r="Y38" s="33">
        <v>-3.2731000000000001E-3</v>
      </c>
      <c r="Z38" s="33">
        <v>6.9999999999999999E-6</v>
      </c>
      <c r="AA38" s="33">
        <v>-2.72E-5</v>
      </c>
      <c r="AF38" s="61"/>
      <c r="AG38" s="113">
        <f t="shared" si="125"/>
        <v>1.28</v>
      </c>
      <c r="AH38" s="113">
        <f t="shared" si="125"/>
        <v>0.75</v>
      </c>
      <c r="AI38" s="113">
        <f t="shared" si="129"/>
        <v>77</v>
      </c>
      <c r="AJ38" s="113">
        <f t="shared" si="130"/>
        <v>57</v>
      </c>
      <c r="AK38" s="113">
        <f t="shared" si="130"/>
        <v>85</v>
      </c>
      <c r="AL38" s="113">
        <f t="shared" si="130"/>
        <v>60</v>
      </c>
      <c r="AO38" s="13">
        <f t="shared" si="110"/>
        <v>0</v>
      </c>
      <c r="AP38" s="120" t="str">
        <f t="shared" si="8"/>
        <v/>
      </c>
      <c r="AQ38" s="120" t="str">
        <f t="shared" si="124"/>
        <v/>
      </c>
      <c r="AR38" s="120" t="str">
        <f t="shared" si="22"/>
        <v/>
      </c>
      <c r="AS38" s="120" t="str">
        <f t="shared" si="23"/>
        <v/>
      </c>
      <c r="AT38" s="13" t="str">
        <f t="shared" si="107"/>
        <v/>
      </c>
      <c r="AU38" s="13" t="str">
        <f t="shared" si="24"/>
        <v xml:space="preserve">               </v>
      </c>
      <c r="AV38" s="13" t="str">
        <f t="shared" si="3"/>
        <v/>
      </c>
      <c r="AW38" s="13" t="str">
        <f t="shared" si="4"/>
        <v xml:space="preserve">                                                                 </v>
      </c>
      <c r="AX38" s="13" t="str">
        <f t="shared" si="146"/>
        <v/>
      </c>
      <c r="AY38" s="13" t="str">
        <f t="shared" si="147"/>
        <v/>
      </c>
      <c r="AZ38" s="13" t="str">
        <f t="shared" si="148"/>
        <v/>
      </c>
      <c r="BA38" s="13" t="str">
        <f t="shared" si="149"/>
        <v/>
      </c>
      <c r="BB38" s="13" t="str">
        <f t="shared" si="150"/>
        <v/>
      </c>
      <c r="BC38" s="13" t="str">
        <f t="shared" si="151"/>
        <v/>
      </c>
      <c r="BD38" s="13" t="str">
        <f t="shared" si="15"/>
        <v xml:space="preserve">_x000D_
                                                                                </v>
      </c>
      <c r="BE38" s="13" t="str">
        <f t="shared" si="25"/>
        <v/>
      </c>
      <c r="BF38" s="13" t="str">
        <f t="shared" si="26"/>
        <v/>
      </c>
      <c r="BG38" s="13" t="str">
        <f t="shared" si="27"/>
        <v/>
      </c>
      <c r="BH38" s="13" t="str">
        <f t="shared" si="28"/>
        <v/>
      </c>
      <c r="BI38" s="13" t="str">
        <f t="shared" si="29"/>
        <v/>
      </c>
      <c r="BJ38" s="13" t="str">
        <f t="shared" si="30"/>
        <v/>
      </c>
      <c r="BM38" s="13" t="str">
        <f t="shared" si="127"/>
        <v>Twb</v>
      </c>
      <c r="BN38" s="13" t="str">
        <f t="shared" si="127"/>
        <v>Tcws</v>
      </c>
      <c r="BO38" s="13">
        <v>67</v>
      </c>
      <c r="BP38" s="13">
        <v>85</v>
      </c>
      <c r="BQ38" s="13">
        <v>77</v>
      </c>
      <c r="BR38" s="13">
        <v>57</v>
      </c>
      <c r="BS38" s="13">
        <v>85</v>
      </c>
      <c r="BT38" s="13">
        <v>60</v>
      </c>
      <c r="BU38" s="104">
        <f t="shared" si="128"/>
        <v>0.96043119999999982</v>
      </c>
      <c r="BV38" s="104">
        <f t="shared" si="144"/>
        <v>1.2807507</v>
      </c>
      <c r="BW38" s="104">
        <f t="shared" si="145"/>
        <v>0.74702420000000003</v>
      </c>
      <c r="BX38" s="13" t="s">
        <v>729</v>
      </c>
    </row>
    <row r="39" spans="1:76" hidden="1" outlineLevel="1" x14ac:dyDescent="0.3">
      <c r="E39" s="13" t="s">
        <v>306</v>
      </c>
      <c r="F39" s="13" t="s">
        <v>403</v>
      </c>
      <c r="G39" s="22" t="s">
        <v>556</v>
      </c>
      <c r="H39" s="13" t="s">
        <v>303</v>
      </c>
      <c r="I39" s="13" t="s">
        <v>659</v>
      </c>
      <c r="J39" s="13" t="s">
        <v>273</v>
      </c>
      <c r="K39" s="13" t="s">
        <v>29</v>
      </c>
      <c r="L39" s="39"/>
      <c r="M39" s="39"/>
      <c r="N39" s="13" t="str">
        <f t="shared" si="0"/>
        <v>CoilClgWSDXQRatio_fTwbTcwsIP</v>
      </c>
      <c r="O39" s="13" t="s">
        <v>165</v>
      </c>
      <c r="P39" s="13" t="s">
        <v>160</v>
      </c>
      <c r="Q39" s="13" t="s">
        <v>116</v>
      </c>
      <c r="R39" s="13" t="s">
        <v>140</v>
      </c>
      <c r="V39" s="33">
        <v>0.94526330000000003</v>
      </c>
      <c r="W39" s="33">
        <v>-9.4199000000000001E-3</v>
      </c>
      <c r="X39" s="33">
        <v>2.2699999999999999E-4</v>
      </c>
      <c r="Y39" s="33">
        <v>4.8050000000000002E-4</v>
      </c>
      <c r="Z39" s="33">
        <v>-4.5000000000000001E-6</v>
      </c>
      <c r="AA39" s="33">
        <v>-5.9899999999999999E-5</v>
      </c>
      <c r="AF39" s="61"/>
      <c r="AG39" s="113">
        <f t="shared" si="125"/>
        <v>1.3</v>
      </c>
      <c r="AH39" s="113">
        <f t="shared" si="125"/>
        <v>0.86</v>
      </c>
      <c r="AI39" s="113">
        <f t="shared" si="129"/>
        <v>77</v>
      </c>
      <c r="AJ39" s="113">
        <f t="shared" si="130"/>
        <v>57</v>
      </c>
      <c r="AK39" s="113">
        <f t="shared" si="130"/>
        <v>85</v>
      </c>
      <c r="AL39" s="113">
        <f t="shared" si="130"/>
        <v>60</v>
      </c>
      <c r="AO39" s="13">
        <f t="shared" si="110"/>
        <v>0</v>
      </c>
      <c r="AP39" s="120" t="str">
        <f t="shared" si="8"/>
        <v/>
      </c>
      <c r="AQ39" s="120" t="str">
        <f t="shared" si="124"/>
        <v/>
      </c>
      <c r="AR39" s="120" t="str">
        <f t="shared" si="22"/>
        <v/>
      </c>
      <c r="AS39" s="120" t="str">
        <f t="shared" si="23"/>
        <v/>
      </c>
      <c r="AT39" s="13" t="str">
        <f t="shared" si="107"/>
        <v/>
      </c>
      <c r="AU39" s="13" t="str">
        <f t="shared" si="24"/>
        <v xml:space="preserve">               </v>
      </c>
      <c r="AV39" s="13" t="str">
        <f t="shared" si="3"/>
        <v/>
      </c>
      <c r="AW39" s="13" t="str">
        <f t="shared" si="4"/>
        <v xml:space="preserve">                                                                 </v>
      </c>
      <c r="AX39" s="13" t="str">
        <f t="shared" si="146"/>
        <v/>
      </c>
      <c r="AY39" s="13" t="str">
        <f t="shared" si="147"/>
        <v/>
      </c>
      <c r="AZ39" s="13" t="str">
        <f t="shared" si="148"/>
        <v/>
      </c>
      <c r="BA39" s="13" t="str">
        <f t="shared" si="149"/>
        <v/>
      </c>
      <c r="BB39" s="13" t="str">
        <f t="shared" si="150"/>
        <v/>
      </c>
      <c r="BC39" s="13" t="str">
        <f t="shared" si="151"/>
        <v/>
      </c>
      <c r="BD39" s="13" t="str">
        <f t="shared" si="15"/>
        <v xml:space="preserve">_x000D_
                                                                                </v>
      </c>
      <c r="BE39" s="13" t="str">
        <f t="shared" si="25"/>
        <v/>
      </c>
      <c r="BF39" s="13" t="str">
        <f t="shared" si="26"/>
        <v/>
      </c>
      <c r="BG39" s="13" t="str">
        <f t="shared" si="27"/>
        <v/>
      </c>
      <c r="BH39" s="13" t="str">
        <f t="shared" si="28"/>
        <v/>
      </c>
      <c r="BI39" s="13" t="str">
        <f t="shared" si="29"/>
        <v/>
      </c>
      <c r="BJ39" s="13" t="str">
        <f t="shared" si="30"/>
        <v/>
      </c>
      <c r="BM39" s="13" t="str">
        <f t="shared" si="127"/>
        <v>Twb</v>
      </c>
      <c r="BN39" s="13" t="str">
        <f t="shared" si="127"/>
        <v>Tcws</v>
      </c>
      <c r="BO39" s="13">
        <v>67</v>
      </c>
      <c r="BP39" s="13">
        <v>85</v>
      </c>
      <c r="BQ39" s="13">
        <v>77</v>
      </c>
      <c r="BR39" s="13">
        <v>57</v>
      </c>
      <c r="BS39" s="13">
        <v>85</v>
      </c>
      <c r="BT39" s="13">
        <v>60</v>
      </c>
      <c r="BU39" s="104">
        <f t="shared" si="128"/>
        <v>1.0003324999999998</v>
      </c>
      <c r="BV39" s="104">
        <f t="shared" si="144"/>
        <v>1.301706</v>
      </c>
      <c r="BW39" s="104">
        <f t="shared" si="145"/>
        <v>0.8639665000000003</v>
      </c>
      <c r="BX39" s="13" t="s">
        <v>729</v>
      </c>
    </row>
    <row r="40" spans="1:76" s="34" customFormat="1" hidden="1" outlineLevel="1" x14ac:dyDescent="0.3">
      <c r="A40" s="40"/>
      <c r="D40" s="24"/>
      <c r="E40" s="34" t="s">
        <v>306</v>
      </c>
      <c r="F40" s="13" t="s">
        <v>403</v>
      </c>
      <c r="G40" s="24" t="s">
        <v>318</v>
      </c>
      <c r="H40" s="34" t="s">
        <v>303</v>
      </c>
      <c r="I40" s="13" t="s">
        <v>660</v>
      </c>
      <c r="J40" s="34" t="s">
        <v>144</v>
      </c>
      <c r="L40" s="41" t="str">
        <f>'E+ Reference'!$D$25</f>
        <v>Coil:Cooling:WaterToAirHeatPump:EquationFit</v>
      </c>
      <c r="M40" s="41" t="s">
        <v>319</v>
      </c>
      <c r="N40" s="13" t="str">
        <f t="shared" si="0"/>
        <v>CoilClgWSDXQRatio_fTwbRatioTwtRatioCFMRatioGPMRatioSI</v>
      </c>
      <c r="O40" s="34" t="s">
        <v>322</v>
      </c>
      <c r="P40" s="34" t="s">
        <v>160</v>
      </c>
      <c r="Q40" s="34" t="s">
        <v>323</v>
      </c>
      <c r="R40" s="34" t="s">
        <v>324</v>
      </c>
      <c r="S40" s="34" t="s">
        <v>120</v>
      </c>
      <c r="T40" s="34" t="s">
        <v>148</v>
      </c>
      <c r="V40" s="34">
        <v>3.3950423239999998</v>
      </c>
      <c r="W40" s="34">
        <v>5.7256842140000002</v>
      </c>
      <c r="X40" s="34">
        <v>1.8131202749999999</v>
      </c>
      <c r="Y40" s="34">
        <v>0.11697278999999999</v>
      </c>
      <c r="Z40" s="34">
        <v>7.7142694999999997E-2</v>
      </c>
      <c r="AA40" s="42"/>
      <c r="AF40" s="61"/>
      <c r="AG40" s="113" t="str">
        <f t="shared" ref="AG40:AG55" si="193">IF(BV40&gt;0,ROUND(BV40,2),"")</f>
        <v/>
      </c>
      <c r="AH40" s="113" t="str">
        <f t="shared" ref="AH40:AH55" si="194">IF(BW40&gt;0,ROUND(BW40,2),"")</f>
        <v/>
      </c>
      <c r="AI40" s="113" t="str">
        <f t="shared" ref="AI40:AI55" si="195">IF(BQ40&gt;0,ROUND(BQ40,2),"")</f>
        <v/>
      </c>
      <c r="AJ40" s="113" t="str">
        <f t="shared" ref="AJ40:AJ64" si="196">IF(BR40&gt;0,ROUND(BR40,2),"")</f>
        <v/>
      </c>
      <c r="AK40" s="113" t="str">
        <f t="shared" ref="AK40:AK64" si="197">IF(BS40&gt;0,ROUND(BS40,2),"")</f>
        <v/>
      </c>
      <c r="AL40" s="113" t="str">
        <f t="shared" ref="AL40:AL55" si="198">IF(BT40&gt;0,ROUND(BT40,2),"")</f>
        <v/>
      </c>
      <c r="AM40" s="22" t="s">
        <v>641</v>
      </c>
      <c r="AO40" s="13">
        <v>0</v>
      </c>
      <c r="AP40" s="121" t="str">
        <f t="shared" si="8"/>
        <v/>
      </c>
      <c r="AQ40" s="121" t="str">
        <f t="shared" si="124"/>
        <v/>
      </c>
      <c r="AR40" s="120" t="str">
        <f t="shared" si="22"/>
        <v/>
      </c>
      <c r="AS40" s="121" t="str">
        <f t="shared" si="23"/>
        <v/>
      </c>
      <c r="AT40" s="34" t="str">
        <f t="shared" si="107"/>
        <v/>
      </c>
      <c r="AU40" s="13" t="str">
        <f t="shared" si="24"/>
        <v xml:space="preserve">               </v>
      </c>
      <c r="AV40" s="13" t="str">
        <f t="shared" si="3"/>
        <v/>
      </c>
      <c r="AW40" s="34" t="str">
        <f t="shared" si="4"/>
        <v xml:space="preserve">                                                                 </v>
      </c>
      <c r="AX40" s="34" t="str">
        <f t="shared" si="146"/>
        <v/>
      </c>
      <c r="AY40" s="34" t="str">
        <f t="shared" si="147"/>
        <v/>
      </c>
      <c r="AZ40" s="34" t="str">
        <f t="shared" si="148"/>
        <v/>
      </c>
      <c r="BA40" s="34" t="str">
        <f t="shared" si="149"/>
        <v/>
      </c>
      <c r="BB40" s="34" t="str">
        <f t="shared" si="150"/>
        <v/>
      </c>
      <c r="BC40" s="34" t="str">
        <f t="shared" si="151"/>
        <v/>
      </c>
      <c r="BD40" s="13" t="str">
        <f t="shared" si="15"/>
        <v xml:space="preserve"> </v>
      </c>
      <c r="BE40" s="34" t="str">
        <f t="shared" si="25"/>
        <v/>
      </c>
      <c r="BF40" s="34" t="str">
        <f t="shared" si="26"/>
        <v/>
      </c>
      <c r="BG40" s="34" t="str">
        <f t="shared" si="27"/>
        <v/>
      </c>
      <c r="BH40" s="34" t="str">
        <f t="shared" si="28"/>
        <v/>
      </c>
      <c r="BI40" s="34" t="str">
        <f t="shared" si="29"/>
        <v/>
      </c>
      <c r="BJ40" s="34" t="str">
        <f t="shared" si="30"/>
        <v/>
      </c>
      <c r="BM40" s="13"/>
      <c r="BN40" s="13"/>
      <c r="BU40" s="104"/>
      <c r="BV40" s="104"/>
      <c r="BW40" s="104"/>
      <c r="BX40" s="13"/>
    </row>
    <row r="41" spans="1:76" ht="28.8" hidden="1" outlineLevel="1" x14ac:dyDescent="0.3">
      <c r="A41" s="40"/>
      <c r="B41" s="34"/>
      <c r="C41" s="34"/>
      <c r="D41" s="24"/>
      <c r="E41" s="13" t="s">
        <v>306</v>
      </c>
      <c r="F41" s="13" t="s">
        <v>403</v>
      </c>
      <c r="G41" s="43" t="s">
        <v>33</v>
      </c>
      <c r="H41" s="38" t="s">
        <v>304</v>
      </c>
      <c r="I41" s="13" t="s">
        <v>659</v>
      </c>
      <c r="J41" s="38" t="s">
        <v>273</v>
      </c>
      <c r="K41" s="13" t="s">
        <v>29</v>
      </c>
      <c r="L41" s="38"/>
      <c r="M41" s="38"/>
      <c r="N41" s="13" t="str">
        <f t="shared" si="0"/>
        <v>CoilClgFCQRatio_fTwbTdbIP</v>
      </c>
      <c r="O41" s="38" t="s">
        <v>165</v>
      </c>
      <c r="P41" s="38" t="s">
        <v>160</v>
      </c>
      <c r="Q41" s="38" t="s">
        <v>116</v>
      </c>
      <c r="R41" s="38" t="s">
        <v>117</v>
      </c>
      <c r="S41" s="38"/>
      <c r="T41" s="38"/>
      <c r="U41" s="38"/>
      <c r="V41" s="44">
        <v>0.50388659999999996</v>
      </c>
      <c r="W41" s="44">
        <v>-8.6917599999999998E-2</v>
      </c>
      <c r="X41" s="44">
        <v>1.6846999999999999E-3</v>
      </c>
      <c r="Y41" s="44">
        <v>3.3630399999999998E-2</v>
      </c>
      <c r="Z41" s="44">
        <v>2.4780000000000001E-4</v>
      </c>
      <c r="AA41" s="44">
        <v>-1.0296999999999999E-3</v>
      </c>
      <c r="AF41" s="61"/>
      <c r="AG41" s="113" t="str">
        <f t="shared" si="193"/>
        <v/>
      </c>
      <c r="AH41" s="113" t="str">
        <f t="shared" si="194"/>
        <v/>
      </c>
      <c r="AI41" s="113" t="str">
        <f t="shared" si="195"/>
        <v/>
      </c>
      <c r="AJ41" s="113" t="str">
        <f t="shared" si="196"/>
        <v/>
      </c>
      <c r="AK41" s="113" t="str">
        <f t="shared" si="197"/>
        <v/>
      </c>
      <c r="AL41" s="113" t="str">
        <f t="shared" si="198"/>
        <v/>
      </c>
      <c r="AM41" s="22" t="s">
        <v>665</v>
      </c>
      <c r="AO41" s="13">
        <f>IF(ISTEXT(A41),"",IF(I41="IP",0,1))</f>
        <v>0</v>
      </c>
      <c r="AP41" s="120" t="str">
        <f t="shared" si="8"/>
        <v/>
      </c>
      <c r="AQ41" s="120" t="str">
        <f t="shared" si="124"/>
        <v/>
      </c>
      <c r="AR41" s="120" t="str">
        <f t="shared" si="22"/>
        <v/>
      </c>
      <c r="AS41" s="120" t="str">
        <f t="shared" si="23"/>
        <v/>
      </c>
      <c r="AT41" s="13" t="str">
        <f t="shared" si="107"/>
        <v/>
      </c>
      <c r="AU41" s="13" t="str">
        <f t="shared" si="24"/>
        <v xml:space="preserve">               </v>
      </c>
      <c r="AV41" s="13" t="str">
        <f t="shared" si="3"/>
        <v/>
      </c>
      <c r="AW41" s="13" t="str">
        <f t="shared" si="4"/>
        <v xml:space="preserve">                                                                 </v>
      </c>
      <c r="AX41" s="13" t="str">
        <f t="shared" si="146"/>
        <v/>
      </c>
      <c r="AY41" s="13" t="str">
        <f t="shared" si="147"/>
        <v/>
      </c>
      <c r="AZ41" s="13" t="str">
        <f t="shared" si="148"/>
        <v/>
      </c>
      <c r="BA41" s="13" t="str">
        <f t="shared" si="149"/>
        <v/>
      </c>
      <c r="BB41" s="13" t="str">
        <f t="shared" si="150"/>
        <v/>
      </c>
      <c r="BC41" s="13" t="str">
        <f t="shared" si="151"/>
        <v/>
      </c>
      <c r="BD41" s="13" t="str">
        <f t="shared" si="15"/>
        <v xml:space="preserve"> </v>
      </c>
      <c r="BE41" s="13" t="str">
        <f t="shared" si="25"/>
        <v/>
      </c>
      <c r="BF41" s="13" t="str">
        <f t="shared" si="26"/>
        <v/>
      </c>
      <c r="BG41" s="13" t="str">
        <f t="shared" si="27"/>
        <v/>
      </c>
      <c r="BH41" s="13" t="str">
        <f t="shared" si="28"/>
        <v/>
      </c>
      <c r="BI41" s="13" t="str">
        <f t="shared" si="29"/>
        <v/>
      </c>
      <c r="BJ41" s="13" t="str">
        <f t="shared" si="30"/>
        <v/>
      </c>
      <c r="BM41" s="13" t="str">
        <f t="shared" ref="BM41:BN45" si="199">Q41</f>
        <v>Twb</v>
      </c>
      <c r="BN41" s="13" t="str">
        <f t="shared" si="199"/>
        <v>Tdb</v>
      </c>
      <c r="BO41" s="13">
        <v>67</v>
      </c>
      <c r="BP41" s="13">
        <v>80</v>
      </c>
      <c r="BU41" s="104">
        <f>$V41+$W41*BO41+$X41*BO41^2+$Y41*BP41+$Z41*BP41^2+$AA41*BO41*BP41</f>
        <v>1.0001857000000003</v>
      </c>
      <c r="BV41" s="104"/>
      <c r="BW41" s="104"/>
    </row>
    <row r="42" spans="1:76" ht="28.8" hidden="1" outlineLevel="1" x14ac:dyDescent="0.3">
      <c r="A42" s="40"/>
      <c r="B42" s="34"/>
      <c r="C42" s="34"/>
      <c r="D42" s="24"/>
      <c r="E42" s="13" t="s">
        <v>306</v>
      </c>
      <c r="F42" s="13" t="s">
        <v>403</v>
      </c>
      <c r="G42" s="43" t="s">
        <v>34</v>
      </c>
      <c r="H42" s="38" t="s">
        <v>524</v>
      </c>
      <c r="I42" s="13" t="s">
        <v>659</v>
      </c>
      <c r="J42" s="38" t="s">
        <v>273</v>
      </c>
      <c r="K42" s="13" t="s">
        <v>29</v>
      </c>
      <c r="L42" s="38"/>
      <c r="M42" s="38"/>
      <c r="N42" s="13" t="str">
        <f t="shared" si="0"/>
        <v>CoilClgChWQRatio_fTwbTdbIP</v>
      </c>
      <c r="O42" s="38" t="s">
        <v>165</v>
      </c>
      <c r="P42" s="38" t="s">
        <v>160</v>
      </c>
      <c r="Q42" s="38" t="s">
        <v>116</v>
      </c>
      <c r="R42" s="38" t="s">
        <v>117</v>
      </c>
      <c r="S42" s="38"/>
      <c r="T42" s="38"/>
      <c r="U42" s="38"/>
      <c r="V42" s="44">
        <v>2.5882584999999998</v>
      </c>
      <c r="W42" s="44">
        <v>-0.23058790000000001</v>
      </c>
      <c r="X42" s="44">
        <v>3.8359000000000002E-3</v>
      </c>
      <c r="Y42" s="44">
        <v>0.1025812</v>
      </c>
      <c r="Z42" s="44">
        <v>5.9840000000000002E-4</v>
      </c>
      <c r="AA42" s="44">
        <v>-2.8720999999999998E-3</v>
      </c>
      <c r="AF42" s="61"/>
      <c r="AG42" s="113" t="str">
        <f t="shared" si="193"/>
        <v/>
      </c>
      <c r="AH42" s="113" t="str">
        <f t="shared" si="194"/>
        <v/>
      </c>
      <c r="AI42" s="113" t="str">
        <f t="shared" si="195"/>
        <v/>
      </c>
      <c r="AJ42" s="113" t="str">
        <f t="shared" si="196"/>
        <v/>
      </c>
      <c r="AK42" s="113" t="str">
        <f t="shared" si="197"/>
        <v/>
      </c>
      <c r="AL42" s="113" t="str">
        <f t="shared" si="198"/>
        <v/>
      </c>
      <c r="AM42" s="22" t="s">
        <v>665</v>
      </c>
      <c r="AO42" s="13">
        <f>IF(ISTEXT(A42),"",IF(I42="IP",0,1))</f>
        <v>0</v>
      </c>
      <c r="AP42" s="120" t="str">
        <f t="shared" si="8"/>
        <v/>
      </c>
      <c r="AQ42" s="120" t="str">
        <f t="shared" si="124"/>
        <v/>
      </c>
      <c r="AR42" s="120" t="str">
        <f t="shared" si="22"/>
        <v/>
      </c>
      <c r="AS42" s="120" t="str">
        <f t="shared" si="23"/>
        <v/>
      </c>
      <c r="AT42" s="13" t="str">
        <f t="shared" si="107"/>
        <v/>
      </c>
      <c r="AU42" s="13" t="str">
        <f t="shared" si="24"/>
        <v xml:space="preserve">               </v>
      </c>
      <c r="AV42" s="13" t="str">
        <f t="shared" si="3"/>
        <v/>
      </c>
      <c r="AW42" s="13" t="str">
        <f t="shared" si="4"/>
        <v xml:space="preserve">                                                                 </v>
      </c>
      <c r="AX42" s="13" t="str">
        <f t="shared" si="146"/>
        <v/>
      </c>
      <c r="AY42" s="13" t="str">
        <f t="shared" si="147"/>
        <v/>
      </c>
      <c r="AZ42" s="13" t="str">
        <f t="shared" si="148"/>
        <v/>
      </c>
      <c r="BA42" s="13" t="str">
        <f t="shared" si="149"/>
        <v/>
      </c>
      <c r="BB42" s="13" t="str">
        <f t="shared" si="150"/>
        <v/>
      </c>
      <c r="BC42" s="13" t="str">
        <f t="shared" si="151"/>
        <v/>
      </c>
      <c r="BD42" s="13" t="str">
        <f t="shared" si="15"/>
        <v xml:space="preserve"> </v>
      </c>
      <c r="BE42" s="13" t="str">
        <f t="shared" si="25"/>
        <v/>
      </c>
      <c r="BF42" s="13" t="str">
        <f t="shared" si="26"/>
        <v/>
      </c>
      <c r="BG42" s="13" t="str">
        <f t="shared" si="27"/>
        <v/>
      </c>
      <c r="BH42" s="13" t="str">
        <f t="shared" si="28"/>
        <v/>
      </c>
      <c r="BI42" s="13" t="str">
        <f t="shared" si="29"/>
        <v/>
      </c>
      <c r="BJ42" s="13" t="str">
        <f t="shared" si="30"/>
        <v/>
      </c>
      <c r="BM42" s="13" t="str">
        <f t="shared" si="199"/>
        <v>Twb</v>
      </c>
      <c r="BN42" s="13" t="str">
        <f t="shared" si="199"/>
        <v>Tdb</v>
      </c>
      <c r="BO42" s="13">
        <v>67</v>
      </c>
      <c r="BP42" s="13">
        <v>80</v>
      </c>
      <c r="BU42" s="104">
        <f>$V42+$W42*BO42+$X42*BO42^2+$Y42*BP42+$Z42*BP42^2+$AA42*BO42*BP42</f>
        <v>1.0000243000000033</v>
      </c>
      <c r="BV42" s="104"/>
      <c r="BW42" s="104"/>
    </row>
    <row r="43" spans="1:76" hidden="1" outlineLevel="1" x14ac:dyDescent="0.3">
      <c r="A43" s="40"/>
      <c r="B43" s="34"/>
      <c r="C43" s="34" t="s">
        <v>810</v>
      </c>
      <c r="D43" s="24"/>
      <c r="E43" s="13" t="s">
        <v>306</v>
      </c>
      <c r="F43" s="13" t="s">
        <v>403</v>
      </c>
      <c r="G43" s="43" t="s">
        <v>825</v>
      </c>
      <c r="H43" s="38" t="s">
        <v>829</v>
      </c>
      <c r="I43" s="13" t="s">
        <v>660</v>
      </c>
      <c r="J43" s="38" t="s">
        <v>144</v>
      </c>
      <c r="L43" s="38"/>
      <c r="M43" s="38" t="s">
        <v>823</v>
      </c>
      <c r="N43" s="13" t="str">
        <f t="shared" si="0"/>
        <v>CoilClgVRFClgQratio_fTwbTdbSI</v>
      </c>
      <c r="O43" s="38" t="s">
        <v>165</v>
      </c>
      <c r="P43" s="38" t="s">
        <v>824</v>
      </c>
      <c r="Q43" s="38" t="s">
        <v>116</v>
      </c>
      <c r="R43" s="38" t="s">
        <v>117</v>
      </c>
      <c r="S43" s="38"/>
      <c r="T43" s="38"/>
      <c r="U43" s="38"/>
      <c r="V43" s="44">
        <v>5.8588407780325903E-2</v>
      </c>
      <c r="W43" s="44">
        <v>5.8739653271838402E-2</v>
      </c>
      <c r="X43" s="44">
        <v>-2.10274979759697E-4</v>
      </c>
      <c r="Y43" s="44">
        <v>1.0937047388964701E-2</v>
      </c>
      <c r="Z43" s="44">
        <v>-1.219549E-4</v>
      </c>
      <c r="AA43" s="44">
        <v>-5.246615E-4</v>
      </c>
      <c r="AF43" s="61"/>
      <c r="AG43" s="113">
        <v>23.89</v>
      </c>
      <c r="AH43" s="113">
        <v>15</v>
      </c>
      <c r="AI43" s="113">
        <v>43.33</v>
      </c>
      <c r="AJ43" s="113">
        <v>20</v>
      </c>
      <c r="AK43" s="113"/>
      <c r="AL43" s="113"/>
      <c r="AM43" s="22" t="s">
        <v>916</v>
      </c>
      <c r="AO43" s="13">
        <f>IF(ISTEXT(A43),"",IF(I43="IP",0,1))</f>
        <v>1</v>
      </c>
      <c r="AP43" s="120" t="str">
        <f t="shared" ref="AP43:AP44" si="200">IF(AO43=1,CONCATENATE(AQ43,AR43,AS43),"")</f>
        <v>CrvDblQuad     "CoilClgVRFClgQratio_fTwbTdbSI"                                  Coef1 =  0.058588  Coef2 =  0.058740  Coef3 = -0.000210  Coef4 =  0.010937  Coef5 = -0.000122  Coef6 = -0.000525  _x000D_
                                                                                MaxOut = 23.890   MinOut = 15.000   MaxVar1 = 43.330   MinVar1 = 20.000   _x000D_
..</v>
      </c>
      <c r="AQ43" s="120" t="str">
        <f t="shared" ref="AQ43:AQ44" si="201">IF(AO43=1,CONCATENATE(AT43,AU43,AV43,AW43,IF(AX43="-","",$AX$15&amp;AX43),IF(AY43="-","",$AY$15&amp;AY43),IF(AZ43="-","",$AZ$15&amp;AZ43),IF(BA43="-","",$BA$15&amp;BA43),IF(BB43="-","",$BB$15&amp;BB43),IF(BC43="-","",$BC$15&amp;BC43)),"")</f>
        <v xml:space="preserve">CrvDblQuad     "CoilClgVRFClgQratio_fTwbTdbSI"                                  Coef1 =  0.058588  Coef2 =  0.058740  Coef3 = -0.000210  Coef4 =  0.010937  Coef5 = -0.000122  Coef6 = -0.000525  </v>
      </c>
      <c r="AR43" s="120" t="str">
        <f t="shared" ref="AR43:AR44" si="202">IF(AO43=1,CONCATENATE(BD43,IF(BE43="-","",$BE$15&amp;BE43),IF(BF43="-","",$BF$15&amp;BF43),IF(BG43="-","",$BG$15&amp;BG43),IF(BH43="-","",$BH$15&amp;BH43),IF(BI43="-","",$BI$15&amp;BI43),IF(BJ43="-","",$BJ$15&amp;BJ43)),"")</f>
        <v xml:space="preserve">_x000D_
                                                                                MaxOut = 23.890   MinOut = 15.000   MaxVar1 = 43.330   MinVar1 = 20.000   </v>
      </c>
      <c r="AS43" s="120" t="str">
        <f t="shared" ref="AS43:AS44" si="203">IF(AO43=1,CHAR(13)&amp;CHAR(10)&amp;"..","")</f>
        <v>_x000D_
..</v>
      </c>
      <c r="AT43" s="13" t="str">
        <f t="shared" ref="AT43:AT44" si="204">IF(AO43=1,VLOOKUP(O43,$AT$2:$AV$13,2,0),"")</f>
        <v>CrvDblQuad</v>
      </c>
      <c r="AU43" s="13" t="str">
        <f t="shared" ref="AU43:AU44" si="205">REPT(" ",AU$14-LEN(AT43))</f>
        <v xml:space="preserve">     </v>
      </c>
      <c r="AV43" s="13" t="str">
        <f t="shared" ref="AV43:AV44" si="206">IF(AO43=1,CONCATENATE("""",N43,""""),"")</f>
        <v>"CoilClgVRFClgQratio_fTwbTdbSI"</v>
      </c>
      <c r="AW43" s="13" t="str">
        <f t="shared" ref="AW43:AW44" si="207">REPT(" ",$AW$14-LEN(AV43))</f>
        <v xml:space="preserve">                                  </v>
      </c>
      <c r="AX43" s="13" t="str">
        <f t="shared" ref="AX43:AX44" si="208">IF($AO43=1,IF(ISBLANK(V43),"-",CONCATENATE(TEXT(V43," 0.000000;-0.000000"),"  ")),"")</f>
        <v xml:space="preserve"> 0.058588  </v>
      </c>
      <c r="AY43" s="13" t="str">
        <f t="shared" ref="AY43:AY44" si="209">IF($AO43=1,IF(ISBLANK(W43),"-",CONCATENATE(TEXT(W43," 0.000000;-0.000000"),"  ")),"")</f>
        <v xml:space="preserve"> 0.058740  </v>
      </c>
      <c r="AZ43" s="13" t="str">
        <f t="shared" ref="AZ43:AZ44" si="210">IF($AO43=1,IF(ISBLANK(X43),"-",CONCATENATE(TEXT(X43," 0.000000;-0.000000"),"  ")),"")</f>
        <v xml:space="preserve">-0.000210  </v>
      </c>
      <c r="BA43" s="13" t="str">
        <f t="shared" ref="BA43:BA44" si="211">IF($AO43=1,IF(ISBLANK(Y43),"-",CONCATENATE(TEXT(Y43," 0.000000;-0.000000"),"  ")),"")</f>
        <v xml:space="preserve"> 0.010937  </v>
      </c>
      <c r="BB43" s="13" t="str">
        <f t="shared" ref="BB43:BB44" si="212">IF($AO43=1,IF(ISBLANK(Z43),"-",CONCATENATE(TEXT(Z43," 0.000000;-0.000000"),"  ")),"")</f>
        <v xml:space="preserve">-0.000122  </v>
      </c>
      <c r="BC43" s="13" t="str">
        <f t="shared" ref="BC43:BC44" si="213">IF($AO43=1,IF(ISBLANK(AA43),"-",CONCATENATE(TEXT(AA43," 0.000000;-0.000000"),"  ")),"")</f>
        <v xml:space="preserve">-0.000525  </v>
      </c>
      <c r="BD43" s="13" t="str">
        <f t="shared" ref="BD43:BD44" si="214">IF(MAX(AG43:AL43)=0,REPT(" ",1),CHAR(13)&amp;CHAR(10)&amp;REPT(" ",BD$14))</f>
        <v xml:space="preserve">_x000D_
                                                                                </v>
      </c>
      <c r="BE43" s="13" t="str">
        <f t="shared" ref="BE43:BE44" si="215">IF($AO43=1,IF(AG43="","-",CONCATENATE(TEXT(AG43,"0.000"),"   ")),"")</f>
        <v xml:space="preserve">23.890   </v>
      </c>
      <c r="BF43" s="13" t="str">
        <f t="shared" ref="BF43:BF44" si="216">IF($AO43=1,IF(AH43="","-",CONCATENATE(TEXT(AH43,"0.000"),"   ")),"")</f>
        <v xml:space="preserve">15.000   </v>
      </c>
      <c r="BG43" s="13" t="str">
        <f t="shared" ref="BG43:BG44" si="217">IF($AO43=1,IF(AI43="","-",CONCATENATE(TEXT(AI43,"0.000"),"   ")),"")</f>
        <v xml:space="preserve">43.330   </v>
      </c>
      <c r="BH43" s="13" t="str">
        <f t="shared" ref="BH43:BH44" si="218">IF($AO43=1,IF(AJ43="","-",CONCATENATE(TEXT(AJ43,"0.000"),"   ")),"")</f>
        <v xml:space="preserve">20.000   </v>
      </c>
      <c r="BI43" s="13" t="str">
        <f t="shared" ref="BI43:BI44" si="219">IF($AO43=1,IF(AK43="","-",CONCATENATE(TEXT(AK43,"0.000"),"   ")),"")</f>
        <v>-</v>
      </c>
      <c r="BJ43" s="13" t="str">
        <f t="shared" ref="BJ43:BJ44" si="220">IF($AO43=1,IF(AL43="","-",CONCATENATE(TEXT(AL43,"0.000"),"   ")),"")</f>
        <v>-</v>
      </c>
      <c r="BM43" s="13" t="str">
        <f t="shared" ref="BM43:BM44" si="221">Q43</f>
        <v>Twb</v>
      </c>
      <c r="BN43" s="13" t="str">
        <f t="shared" ref="BN43:BN44" si="222">R43</f>
        <v>Tdb</v>
      </c>
      <c r="BO43" s="13">
        <v>67</v>
      </c>
      <c r="BP43" s="13">
        <v>80</v>
      </c>
      <c r="BU43" s="104">
        <f t="shared" ref="BU43:BU44" si="223">$V43+$W43*BO43+$X43*BO43^2+$Y43*BP43+$Z43*BP43^2+$AA43*BO43*BP43</f>
        <v>0.33248758396939504</v>
      </c>
      <c r="BV43" s="104"/>
      <c r="BW43" s="104"/>
    </row>
    <row r="44" spans="1:76" hidden="1" outlineLevel="1" x14ac:dyDescent="0.3">
      <c r="A44" s="40"/>
      <c r="B44" s="34"/>
      <c r="C44" s="34" t="s">
        <v>810</v>
      </c>
      <c r="D44" s="24"/>
      <c r="E44" s="13" t="s">
        <v>306</v>
      </c>
      <c r="F44" s="13" t="s">
        <v>502</v>
      </c>
      <c r="G44" s="43" t="s">
        <v>825</v>
      </c>
      <c r="H44" s="38" t="s">
        <v>829</v>
      </c>
      <c r="I44" s="13" t="s">
        <v>660</v>
      </c>
      <c r="J44" s="38" t="s">
        <v>144</v>
      </c>
      <c r="L44" s="38"/>
      <c r="M44" s="38" t="s">
        <v>826</v>
      </c>
      <c r="N44" s="13" t="str">
        <f t="shared" si="0"/>
        <v>CoilClgVRFClgQratio_fCFMRatioSI</v>
      </c>
      <c r="O44" s="38" t="s">
        <v>230</v>
      </c>
      <c r="P44" s="38" t="s">
        <v>824</v>
      </c>
      <c r="Q44" s="38" t="s">
        <v>120</v>
      </c>
      <c r="R44" s="38"/>
      <c r="S44" s="38"/>
      <c r="T44" s="38"/>
      <c r="U44" s="38"/>
      <c r="V44" s="44">
        <v>0.8</v>
      </c>
      <c r="W44" s="44">
        <v>0.2</v>
      </c>
      <c r="X44" s="44">
        <v>0</v>
      </c>
      <c r="Y44" s="44"/>
      <c r="Z44" s="44"/>
      <c r="AA44" s="44"/>
      <c r="AF44" s="61"/>
      <c r="AG44" s="113">
        <v>1.5</v>
      </c>
      <c r="AH44" s="113">
        <v>0.5</v>
      </c>
      <c r="AI44" s="113"/>
      <c r="AJ44" s="113"/>
      <c r="AK44" s="113"/>
      <c r="AL44" s="113"/>
      <c r="AM44" s="22" t="s">
        <v>916</v>
      </c>
      <c r="AO44" s="13">
        <f>IF(ISTEXT(A44),"",IF(I44="IP",0,1))</f>
        <v>1</v>
      </c>
      <c r="AP44" s="120" t="str">
        <f t="shared" si="200"/>
        <v>CrvCubic       "CoilClgVRFClgQratio_fCFMRatioSI"                                Coef1 =  0.800000  Coef2 =  0.200000  Coef3 =  0.000000  _x000D_
                                                                                MaxOut = 1.500   MinOut = 0.500   _x000D_
..</v>
      </c>
      <c r="AQ44" s="120" t="str">
        <f t="shared" si="201"/>
        <v xml:space="preserve">CrvCubic       "CoilClgVRFClgQratio_fCFMRatioSI"                                Coef1 =  0.800000  Coef2 =  0.200000  Coef3 =  0.000000  </v>
      </c>
      <c r="AR44" s="120" t="str">
        <f t="shared" si="202"/>
        <v xml:space="preserve">_x000D_
                                                                                MaxOut = 1.500   MinOut = 0.500   </v>
      </c>
      <c r="AS44" s="120" t="str">
        <f t="shared" si="203"/>
        <v>_x000D_
..</v>
      </c>
      <c r="AT44" s="13" t="str">
        <f t="shared" si="204"/>
        <v>CrvCubic</v>
      </c>
      <c r="AU44" s="13" t="str">
        <f t="shared" si="205"/>
        <v xml:space="preserve">       </v>
      </c>
      <c r="AV44" s="13" t="str">
        <f t="shared" si="206"/>
        <v>"CoilClgVRFClgQratio_fCFMRatioSI"</v>
      </c>
      <c r="AW44" s="13" t="str">
        <f t="shared" si="207"/>
        <v xml:space="preserve">                                </v>
      </c>
      <c r="AX44" s="13" t="str">
        <f t="shared" si="208"/>
        <v xml:space="preserve"> 0.800000  </v>
      </c>
      <c r="AY44" s="13" t="str">
        <f t="shared" si="209"/>
        <v xml:space="preserve"> 0.200000  </v>
      </c>
      <c r="AZ44" s="13" t="str">
        <f t="shared" si="210"/>
        <v xml:space="preserve"> 0.000000  </v>
      </c>
      <c r="BA44" s="13" t="str">
        <f t="shared" si="211"/>
        <v>-</v>
      </c>
      <c r="BB44" s="13" t="str">
        <f t="shared" si="212"/>
        <v>-</v>
      </c>
      <c r="BC44" s="13" t="str">
        <f t="shared" si="213"/>
        <v>-</v>
      </c>
      <c r="BD44" s="13" t="str">
        <f t="shared" si="214"/>
        <v xml:space="preserve">_x000D_
                                                                                </v>
      </c>
      <c r="BE44" s="13" t="str">
        <f t="shared" si="215"/>
        <v xml:space="preserve">1.500   </v>
      </c>
      <c r="BF44" s="13" t="str">
        <f t="shared" si="216"/>
        <v xml:space="preserve">0.500   </v>
      </c>
      <c r="BG44" s="13" t="str">
        <f t="shared" si="217"/>
        <v>-</v>
      </c>
      <c r="BH44" s="13" t="str">
        <f t="shared" si="218"/>
        <v>-</v>
      </c>
      <c r="BI44" s="13" t="str">
        <f t="shared" si="219"/>
        <v>-</v>
      </c>
      <c r="BJ44" s="13" t="str">
        <f t="shared" si="220"/>
        <v>-</v>
      </c>
      <c r="BM44" s="13" t="str">
        <f t="shared" si="221"/>
        <v>CFMRatio</v>
      </c>
      <c r="BN44" s="13">
        <f t="shared" si="222"/>
        <v>0</v>
      </c>
      <c r="BO44" s="13">
        <v>67</v>
      </c>
      <c r="BP44" s="13">
        <v>80</v>
      </c>
      <c r="BU44" s="104">
        <f t="shared" si="223"/>
        <v>14.200000000000001</v>
      </c>
      <c r="BV44" s="104"/>
      <c r="BW44" s="104"/>
    </row>
    <row r="45" spans="1:76" hidden="1" outlineLevel="1" x14ac:dyDescent="0.3">
      <c r="B45" s="13" t="s">
        <v>289</v>
      </c>
      <c r="C45" s="13" t="s">
        <v>504</v>
      </c>
      <c r="D45" s="82" t="s">
        <v>541</v>
      </c>
      <c r="E45" s="13" t="s">
        <v>306</v>
      </c>
      <c r="F45" s="13" t="s">
        <v>502</v>
      </c>
      <c r="G45" s="24" t="s">
        <v>318</v>
      </c>
      <c r="H45" s="34" t="s">
        <v>303</v>
      </c>
      <c r="I45" s="34" t="s">
        <v>660</v>
      </c>
      <c r="J45" s="13" t="s">
        <v>144</v>
      </c>
      <c r="L45" s="41" t="str">
        <f>'E+ Reference'!$D$25</f>
        <v>Coil:Cooling:WaterToAirHeatPump:EquationFit</v>
      </c>
      <c r="M45" s="13" t="s">
        <v>320</v>
      </c>
      <c r="N45" s="13" t="str">
        <f t="shared" si="0"/>
        <v>CoilClgWSDXQRatio_fTdbRatioTwbRatioTwtRatioCFMRatioGPMRatioSI</v>
      </c>
      <c r="O45" s="34" t="s">
        <v>508</v>
      </c>
      <c r="P45" s="34" t="s">
        <v>160</v>
      </c>
      <c r="Q45" s="34" t="s">
        <v>507</v>
      </c>
      <c r="R45" s="34" t="s">
        <v>323</v>
      </c>
      <c r="S45" s="34" t="s">
        <v>324</v>
      </c>
      <c r="T45" s="34" t="s">
        <v>120</v>
      </c>
      <c r="U45" s="34" t="s">
        <v>148</v>
      </c>
      <c r="V45" s="33">
        <v>4.7519887790000004</v>
      </c>
      <c r="W45" s="33">
        <v>19.184484980000001</v>
      </c>
      <c r="X45" s="33">
        <v>22.74622583</v>
      </c>
      <c r="Y45" s="33">
        <v>1.117131096</v>
      </c>
      <c r="Z45" s="33">
        <v>0.47516138000000002</v>
      </c>
      <c r="AA45" s="33">
        <v>6.0557411999999998E-2</v>
      </c>
      <c r="AF45" s="61"/>
      <c r="AG45" s="113" t="str">
        <f t="shared" si="193"/>
        <v/>
      </c>
      <c r="AH45" s="113" t="str">
        <f t="shared" si="194"/>
        <v/>
      </c>
      <c r="AI45" s="113" t="str">
        <f t="shared" si="195"/>
        <v/>
      </c>
      <c r="AJ45" s="113" t="str">
        <f t="shared" si="196"/>
        <v/>
      </c>
      <c r="AK45" s="113" t="str">
        <f t="shared" si="197"/>
        <v/>
      </c>
      <c r="AL45" s="113" t="str">
        <f t="shared" si="198"/>
        <v/>
      </c>
      <c r="AM45" s="22" t="s">
        <v>641</v>
      </c>
      <c r="AO45" s="13">
        <v>0</v>
      </c>
      <c r="AP45" s="120" t="str">
        <f t="shared" si="8"/>
        <v/>
      </c>
      <c r="AQ45" s="120" t="str">
        <f>IF(AO45=1,CONCATENATE(AT45,AU45,AV45,AW45,IF(AX45="-","",$AX$15&amp;AX45),IF(AY45="-","",$AY$15&amp;AY45),IF(AZ45="-","",$AZ$15&amp;AZ45),IF(BA45="-","",$BA$15&amp;BA45),IF(BB45="-","",$BB$15&amp;BB45),IF(BC45="-","",$BC$15&amp;BC45)),"")</f>
        <v/>
      </c>
      <c r="AR45" s="120" t="str">
        <f>IF(AO45=1,CONCATENATE(BD45,IF(BE45="-","",$BE$15&amp;BE45),IF(BF45="-","",$BF$15&amp;BF45),IF(BG45="-","",$BG$15&amp;BG45),IF(BH45="-","",$BH$15&amp;BH45),IF(BI45="-","",$BI$15&amp;BI45),IF(BJ45="-","",$BJ$15&amp;BJ45)),"")</f>
        <v/>
      </c>
      <c r="AS45" s="120" t="str">
        <f>IF(AO45=1,CHAR(13)&amp;CHAR(10)&amp;"..","")</f>
        <v/>
      </c>
      <c r="AT45" s="13" t="str">
        <f>IF(AO45=1,VLOOKUP(O45,$AT$2:$AV$13,2,0),"")</f>
        <v/>
      </c>
      <c r="AU45" s="13" t="str">
        <f t="shared" si="24"/>
        <v xml:space="preserve">               </v>
      </c>
      <c r="AV45" s="13" t="str">
        <f>IF(AO45=1,CONCATENATE("""",N45,""""),"")</f>
        <v/>
      </c>
      <c r="AW45" s="13" t="str">
        <f>REPT(" ",$AW$14-LEN(AV45))</f>
        <v xml:space="preserve">                                                                 </v>
      </c>
      <c r="AX45" s="13" t="str">
        <f t="shared" ref="AX45:BC45" si="224">IF($AO45=1,IF(ISBLANK(V45),"-",CONCATENATE(TEXT(V45," 0.000000;-0.000000"),"  ")),"")</f>
        <v/>
      </c>
      <c r="AY45" s="13" t="str">
        <f t="shared" si="224"/>
        <v/>
      </c>
      <c r="AZ45" s="13" t="str">
        <f t="shared" si="224"/>
        <v/>
      </c>
      <c r="BA45" s="13" t="str">
        <f t="shared" si="224"/>
        <v/>
      </c>
      <c r="BB45" s="13" t="str">
        <f t="shared" si="224"/>
        <v/>
      </c>
      <c r="BC45" s="13" t="str">
        <f t="shared" si="224"/>
        <v/>
      </c>
      <c r="BD45" s="13" t="str">
        <f t="shared" si="15"/>
        <v xml:space="preserve"> </v>
      </c>
      <c r="BE45" s="13" t="str">
        <f t="shared" si="25"/>
        <v/>
      </c>
      <c r="BF45" s="13" t="str">
        <f t="shared" si="26"/>
        <v/>
      </c>
      <c r="BG45" s="13" t="str">
        <f t="shared" si="27"/>
        <v/>
      </c>
      <c r="BH45" s="13" t="str">
        <f t="shared" si="28"/>
        <v/>
      </c>
      <c r="BI45" s="13" t="str">
        <f t="shared" si="29"/>
        <v/>
      </c>
      <c r="BJ45" s="13" t="str">
        <f t="shared" si="30"/>
        <v/>
      </c>
      <c r="BM45" s="13" t="str">
        <f t="shared" si="199"/>
        <v>TdbRatio</v>
      </c>
      <c r="BN45" s="13" t="str">
        <f t="shared" si="199"/>
        <v>TwbRatio</v>
      </c>
      <c r="BU45" s="104"/>
      <c r="BV45" s="104"/>
      <c r="BW45" s="104"/>
    </row>
    <row r="46" spans="1:76" hidden="1" outlineLevel="1" x14ac:dyDescent="0.3">
      <c r="B46" s="13" t="s">
        <v>126</v>
      </c>
      <c r="C46" s="13" t="s">
        <v>292</v>
      </c>
      <c r="D46" s="22" t="s">
        <v>118</v>
      </c>
      <c r="E46" s="13" t="s">
        <v>306</v>
      </c>
      <c r="F46" s="13" t="s">
        <v>404</v>
      </c>
      <c r="G46" s="22" t="s">
        <v>543</v>
      </c>
      <c r="H46" s="13" t="s">
        <v>35</v>
      </c>
      <c r="J46" s="13" t="s">
        <v>273</v>
      </c>
      <c r="K46" s="13" t="s">
        <v>0</v>
      </c>
      <c r="N46" s="13" t="str">
        <f t="shared" si="0"/>
        <v>CoilClgPTACCoilBPF_fCFMRatio</v>
      </c>
      <c r="O46" s="13" t="s">
        <v>230</v>
      </c>
      <c r="P46" s="13" t="s">
        <v>274</v>
      </c>
      <c r="Q46" s="13" t="s">
        <v>120</v>
      </c>
      <c r="V46" s="33">
        <v>-2.2770000000000001</v>
      </c>
      <c r="W46" s="33">
        <v>5.2114000000000003</v>
      </c>
      <c r="X46" s="33">
        <v>-1.9343999999999999</v>
      </c>
      <c r="Y46" s="33">
        <v>0</v>
      </c>
      <c r="AF46" s="61"/>
      <c r="AG46" s="113" t="str">
        <f t="shared" si="193"/>
        <v/>
      </c>
      <c r="AH46" s="113" t="str">
        <f t="shared" si="194"/>
        <v/>
      </c>
      <c r="AI46" s="113" t="str">
        <f t="shared" si="195"/>
        <v/>
      </c>
      <c r="AJ46" s="113" t="str">
        <f t="shared" si="196"/>
        <v/>
      </c>
      <c r="AK46" s="113" t="str">
        <f t="shared" si="197"/>
        <v/>
      </c>
      <c r="AL46" s="113" t="str">
        <f t="shared" si="198"/>
        <v/>
      </c>
      <c r="AO46" s="13">
        <v>0</v>
      </c>
      <c r="AP46" s="120" t="str">
        <f t="shared" si="8"/>
        <v/>
      </c>
      <c r="AQ46" s="120" t="str">
        <f t="shared" si="124"/>
        <v/>
      </c>
      <c r="AR46" s="120" t="str">
        <f t="shared" ref="AR46:AR111" si="225">IF(AO46=1,CONCATENATE(BD46,IF(BE46="-","",$BE$15&amp;BE46),IF(BF46="-","",$BF$15&amp;BF46),IF(BG46="-","",$BG$15&amp;BG46),IF(BH46="-","",$BH$15&amp;BH46),IF(BI46="-","",$BI$15&amp;BI46),IF(BJ46="-","",$BJ$15&amp;BJ46)),"")</f>
        <v/>
      </c>
      <c r="AS46" s="120" t="str">
        <f t="shared" si="23"/>
        <v/>
      </c>
      <c r="AT46" s="13" t="str">
        <f t="shared" si="107"/>
        <v/>
      </c>
      <c r="AU46" s="13" t="str">
        <f t="shared" si="24"/>
        <v xml:space="preserve">               </v>
      </c>
      <c r="AV46" s="13" t="str">
        <f t="shared" ref="AV46:AV57" si="226">IF(AO46=1,CONCATENATE("""",N46,""""),"")</f>
        <v/>
      </c>
      <c r="AW46" s="13" t="str">
        <f t="shared" ref="AW46:AW119" si="227">REPT(" ",$AW$14-LEN(AV46))</f>
        <v xml:space="preserve">                                                                 </v>
      </c>
      <c r="AX46" s="13" t="str">
        <f t="shared" si="146"/>
        <v/>
      </c>
      <c r="AY46" s="13" t="str">
        <f t="shared" si="147"/>
        <v/>
      </c>
      <c r="AZ46" s="13" t="str">
        <f t="shared" si="148"/>
        <v/>
      </c>
      <c r="BA46" s="13" t="str">
        <f t="shared" si="149"/>
        <v/>
      </c>
      <c r="BB46" s="13" t="str">
        <f t="shared" si="150"/>
        <v/>
      </c>
      <c r="BC46" s="13" t="str">
        <f t="shared" si="151"/>
        <v/>
      </c>
      <c r="BD46" s="13" t="str">
        <f t="shared" si="15"/>
        <v xml:space="preserve"> </v>
      </c>
      <c r="BE46" s="13" t="str">
        <f t="shared" si="25"/>
        <v/>
      </c>
      <c r="BF46" s="13" t="str">
        <f t="shared" si="26"/>
        <v/>
      </c>
      <c r="BG46" s="13" t="str">
        <f t="shared" si="27"/>
        <v/>
      </c>
      <c r="BH46" s="13" t="str">
        <f t="shared" si="28"/>
        <v/>
      </c>
      <c r="BI46" s="13" t="str">
        <f t="shared" si="29"/>
        <v/>
      </c>
      <c r="BJ46" s="13" t="str">
        <f t="shared" si="30"/>
        <v/>
      </c>
      <c r="BM46" s="13" t="str">
        <f t="shared" ref="BM46:BM56" si="228">Q46</f>
        <v>CFMRatio</v>
      </c>
      <c r="BO46" s="13">
        <v>1</v>
      </c>
      <c r="BR46" s="13">
        <v>0</v>
      </c>
      <c r="BU46" s="104">
        <f>$V46+$W46*BO46+$X46*BO46^2+$Y46*BO46^3</f>
        <v>1.0000000000000002</v>
      </c>
      <c r="BV46" s="104"/>
      <c r="BW46" s="104"/>
    </row>
    <row r="47" spans="1:76" hidden="1" outlineLevel="1" x14ac:dyDescent="0.3">
      <c r="E47" s="13" t="s">
        <v>306</v>
      </c>
      <c r="F47" s="13" t="s">
        <v>404</v>
      </c>
      <c r="G47" s="22" t="s">
        <v>553</v>
      </c>
      <c r="H47" s="13" t="s">
        <v>36</v>
      </c>
      <c r="J47" s="13" t="s">
        <v>273</v>
      </c>
      <c r="K47" s="13" t="s">
        <v>0</v>
      </c>
      <c r="N47" s="13" t="str">
        <f t="shared" si="0"/>
        <v>CoilClgHPCoilBPF_fCFMRatio</v>
      </c>
      <c r="O47" s="13" t="s">
        <v>230</v>
      </c>
      <c r="P47" s="13" t="s">
        <v>274</v>
      </c>
      <c r="Q47" s="13" t="s">
        <v>120</v>
      </c>
      <c r="V47" s="33">
        <v>-0.82816020000000001</v>
      </c>
      <c r="W47" s="33">
        <v>14.317914999999999</v>
      </c>
      <c r="X47" s="33">
        <v>-21.889440499999999</v>
      </c>
      <c r="Y47" s="33">
        <v>9.3996896999999997</v>
      </c>
      <c r="AF47" s="61"/>
      <c r="AG47" s="113" t="str">
        <f t="shared" si="193"/>
        <v/>
      </c>
      <c r="AH47" s="113" t="str">
        <f t="shared" si="194"/>
        <v/>
      </c>
      <c r="AI47" s="113" t="str">
        <f t="shared" si="195"/>
        <v/>
      </c>
      <c r="AJ47" s="113" t="str">
        <f t="shared" si="196"/>
        <v/>
      </c>
      <c r="AK47" s="113" t="str">
        <f t="shared" si="197"/>
        <v/>
      </c>
      <c r="AL47" s="113" t="str">
        <f t="shared" si="198"/>
        <v/>
      </c>
      <c r="AO47" s="13">
        <v>0</v>
      </c>
      <c r="AP47" s="120" t="str">
        <f t="shared" si="8"/>
        <v/>
      </c>
      <c r="AQ47" s="120" t="str">
        <f t="shared" si="124"/>
        <v/>
      </c>
      <c r="AR47" s="120" t="str">
        <f t="shared" si="225"/>
        <v/>
      </c>
      <c r="AS47" s="120" t="str">
        <f t="shared" si="23"/>
        <v/>
      </c>
      <c r="AT47" s="13" t="str">
        <f t="shared" si="107"/>
        <v/>
      </c>
      <c r="AU47" s="13" t="str">
        <f t="shared" si="24"/>
        <v xml:space="preserve">               </v>
      </c>
      <c r="AV47" s="13" t="str">
        <f t="shared" si="226"/>
        <v/>
      </c>
      <c r="AW47" s="13" t="str">
        <f t="shared" si="227"/>
        <v xml:space="preserve">                                                                 </v>
      </c>
      <c r="AX47" s="13" t="str">
        <f t="shared" si="146"/>
        <v/>
      </c>
      <c r="AY47" s="13" t="str">
        <f t="shared" si="147"/>
        <v/>
      </c>
      <c r="AZ47" s="13" t="str">
        <f t="shared" si="148"/>
        <v/>
      </c>
      <c r="BA47" s="13" t="str">
        <f t="shared" si="149"/>
        <v/>
      </c>
      <c r="BB47" s="13" t="str">
        <f t="shared" si="150"/>
        <v/>
      </c>
      <c r="BC47" s="13" t="str">
        <f t="shared" si="151"/>
        <v/>
      </c>
      <c r="BD47" s="13" t="str">
        <f t="shared" si="15"/>
        <v xml:space="preserve"> </v>
      </c>
      <c r="BE47" s="13" t="str">
        <f t="shared" si="25"/>
        <v/>
      </c>
      <c r="BF47" s="13" t="str">
        <f t="shared" si="26"/>
        <v/>
      </c>
      <c r="BG47" s="13" t="str">
        <f t="shared" si="27"/>
        <v/>
      </c>
      <c r="BH47" s="13" t="str">
        <f t="shared" si="28"/>
        <v/>
      </c>
      <c r="BI47" s="13" t="str">
        <f t="shared" si="29"/>
        <v/>
      </c>
      <c r="BJ47" s="13" t="str">
        <f t="shared" si="30"/>
        <v/>
      </c>
      <c r="BM47" s="13" t="str">
        <f t="shared" si="228"/>
        <v>CFMRatio</v>
      </c>
      <c r="BO47" s="13">
        <v>1</v>
      </c>
      <c r="BR47" s="13">
        <v>0</v>
      </c>
      <c r="BU47" s="104">
        <f>$V47+$W47*BO47+$X47*BO47^2+$Y47*BO47^3</f>
        <v>1.0000040000000006</v>
      </c>
      <c r="BV47" s="104"/>
      <c r="BW47" s="104"/>
    </row>
    <row r="48" spans="1:76" hidden="1" outlineLevel="1" x14ac:dyDescent="0.3">
      <c r="E48" s="13" t="s">
        <v>306</v>
      </c>
      <c r="F48" s="13" t="s">
        <v>404</v>
      </c>
      <c r="G48" s="22" t="s">
        <v>554</v>
      </c>
      <c r="H48" s="13" t="s">
        <v>301</v>
      </c>
      <c r="J48" s="13" t="s">
        <v>273</v>
      </c>
      <c r="K48" s="13" t="s">
        <v>0</v>
      </c>
      <c r="N48" s="13" t="str">
        <f t="shared" si="0"/>
        <v>CoilClgDXCoilBPF_fCFMRatio</v>
      </c>
      <c r="O48" s="13" t="s">
        <v>230</v>
      </c>
      <c r="P48" s="13" t="s">
        <v>274</v>
      </c>
      <c r="Q48" s="13" t="s">
        <v>120</v>
      </c>
      <c r="V48" s="33">
        <v>-0.25423410000000002</v>
      </c>
      <c r="W48" s="33">
        <v>1.2182558000000001</v>
      </c>
      <c r="X48" s="33">
        <v>3.5978400000000001E-2</v>
      </c>
      <c r="Y48" s="33">
        <v>0</v>
      </c>
      <c r="AF48" s="61"/>
      <c r="AG48" s="113" t="str">
        <f t="shared" si="193"/>
        <v/>
      </c>
      <c r="AH48" s="113" t="str">
        <f t="shared" si="194"/>
        <v/>
      </c>
      <c r="AI48" s="113" t="str">
        <f t="shared" si="195"/>
        <v/>
      </c>
      <c r="AJ48" s="113" t="str">
        <f t="shared" si="196"/>
        <v/>
      </c>
      <c r="AK48" s="113" t="str">
        <f t="shared" si="197"/>
        <v/>
      </c>
      <c r="AL48" s="113" t="str">
        <f t="shared" si="198"/>
        <v/>
      </c>
      <c r="AO48" s="13">
        <v>0</v>
      </c>
      <c r="AP48" s="120" t="str">
        <f t="shared" si="8"/>
        <v/>
      </c>
      <c r="AQ48" s="120" t="str">
        <f t="shared" si="124"/>
        <v/>
      </c>
      <c r="AR48" s="120" t="str">
        <f t="shared" si="225"/>
        <v/>
      </c>
      <c r="AS48" s="120" t="str">
        <f t="shared" si="23"/>
        <v/>
      </c>
      <c r="AT48" s="13" t="str">
        <f t="shared" si="107"/>
        <v/>
      </c>
      <c r="AU48" s="13" t="str">
        <f t="shared" si="24"/>
        <v xml:space="preserve">               </v>
      </c>
      <c r="AV48" s="13" t="str">
        <f t="shared" si="226"/>
        <v/>
      </c>
      <c r="AW48" s="13" t="str">
        <f t="shared" si="227"/>
        <v xml:space="preserve">                                                                 </v>
      </c>
      <c r="AX48" s="13" t="str">
        <f t="shared" si="146"/>
        <v/>
      </c>
      <c r="AY48" s="13" t="str">
        <f t="shared" si="147"/>
        <v/>
      </c>
      <c r="AZ48" s="13" t="str">
        <f t="shared" si="148"/>
        <v/>
      </c>
      <c r="BA48" s="13" t="str">
        <f t="shared" si="149"/>
        <v/>
      </c>
      <c r="BB48" s="13" t="str">
        <f t="shared" si="150"/>
        <v/>
      </c>
      <c r="BC48" s="13" t="str">
        <f t="shared" si="151"/>
        <v/>
      </c>
      <c r="BD48" s="13" t="str">
        <f t="shared" si="15"/>
        <v xml:space="preserve"> </v>
      </c>
      <c r="BE48" s="13" t="str">
        <f t="shared" si="25"/>
        <v/>
      </c>
      <c r="BF48" s="13" t="str">
        <f t="shared" si="26"/>
        <v/>
      </c>
      <c r="BG48" s="13" t="str">
        <f t="shared" si="27"/>
        <v/>
      </c>
      <c r="BH48" s="13" t="str">
        <f t="shared" si="28"/>
        <v/>
      </c>
      <c r="BI48" s="13" t="str">
        <f t="shared" si="29"/>
        <v/>
      </c>
      <c r="BJ48" s="13" t="str">
        <f t="shared" si="30"/>
        <v/>
      </c>
      <c r="BM48" s="13" t="str">
        <f t="shared" si="228"/>
        <v>CFMRatio</v>
      </c>
      <c r="BO48" s="13">
        <v>1</v>
      </c>
      <c r="BR48" s="13">
        <v>0</v>
      </c>
      <c r="BU48" s="104">
        <f>$V48+$W48*BO48+$X48*BO48^2+$Y48*BO48^3</f>
        <v>1.0000001000000001</v>
      </c>
      <c r="BV48" s="104"/>
      <c r="BW48" s="104"/>
    </row>
    <row r="49" spans="2:84" hidden="1" outlineLevel="1" x14ac:dyDescent="0.3">
      <c r="E49" s="13" t="s">
        <v>306</v>
      </c>
      <c r="F49" s="13" t="s">
        <v>406</v>
      </c>
      <c r="G49" s="22" t="s">
        <v>728</v>
      </c>
      <c r="H49" s="13" t="s">
        <v>69</v>
      </c>
      <c r="I49" s="13" t="s">
        <v>659</v>
      </c>
      <c r="J49" s="13" t="s">
        <v>273</v>
      </c>
      <c r="K49" s="13" t="s">
        <v>1</v>
      </c>
      <c r="N49" s="13" t="str">
        <f t="shared" si="0"/>
        <v>CoilClgAllCoilBPF_fTwbTdbIP</v>
      </c>
      <c r="O49" s="13" t="s">
        <v>165</v>
      </c>
      <c r="P49" s="13" t="s">
        <v>274</v>
      </c>
      <c r="Q49" s="13" t="s">
        <v>116</v>
      </c>
      <c r="R49" s="13" t="s">
        <v>117</v>
      </c>
      <c r="V49" s="33">
        <v>1.0660053</v>
      </c>
      <c r="W49" s="33">
        <v>-5.1699999999999999E-4</v>
      </c>
      <c r="X49" s="33">
        <v>5.6700000000000003E-5</v>
      </c>
      <c r="Y49" s="33">
        <v>-1.29181E-2</v>
      </c>
      <c r="Z49" s="33">
        <v>-1.7E-6</v>
      </c>
      <c r="AA49" s="33">
        <v>1.5029999999999999E-4</v>
      </c>
      <c r="AF49" s="61"/>
      <c r="AG49" s="113">
        <f t="shared" si="193"/>
        <v>1.26</v>
      </c>
      <c r="AH49" s="113">
        <f t="shared" si="194"/>
        <v>0.82</v>
      </c>
      <c r="AI49" s="113">
        <f t="shared" si="195"/>
        <v>77</v>
      </c>
      <c r="AJ49" s="113">
        <f t="shared" si="196"/>
        <v>57</v>
      </c>
      <c r="AK49" s="113">
        <f t="shared" si="197"/>
        <v>90</v>
      </c>
      <c r="AL49" s="113">
        <f t="shared" si="198"/>
        <v>70</v>
      </c>
      <c r="AO49" s="13">
        <f>IF(ISTEXT(A49),"",IF(I49="IP",0,1))</f>
        <v>0</v>
      </c>
      <c r="AP49" s="120" t="str">
        <f t="shared" si="8"/>
        <v/>
      </c>
      <c r="AQ49" s="120" t="str">
        <f t="shared" si="124"/>
        <v/>
      </c>
      <c r="AR49" s="120" t="str">
        <f t="shared" si="225"/>
        <v/>
      </c>
      <c r="AS49" s="120" t="str">
        <f t="shared" si="23"/>
        <v/>
      </c>
      <c r="AT49" s="13" t="str">
        <f t="shared" si="107"/>
        <v/>
      </c>
      <c r="AU49" s="13" t="str">
        <f t="shared" si="24"/>
        <v xml:space="preserve">               </v>
      </c>
      <c r="AV49" s="13" t="str">
        <f t="shared" si="226"/>
        <v/>
      </c>
      <c r="AW49" s="13" t="str">
        <f t="shared" si="227"/>
        <v xml:space="preserve">                                                                 </v>
      </c>
      <c r="AX49" s="13" t="str">
        <f t="shared" si="146"/>
        <v/>
      </c>
      <c r="AY49" s="13" t="str">
        <f t="shared" si="147"/>
        <v/>
      </c>
      <c r="AZ49" s="13" t="str">
        <f t="shared" si="148"/>
        <v/>
      </c>
      <c r="BA49" s="13" t="str">
        <f t="shared" si="149"/>
        <v/>
      </c>
      <c r="BB49" s="13" t="str">
        <f t="shared" si="150"/>
        <v/>
      </c>
      <c r="BC49" s="13" t="str">
        <f t="shared" si="151"/>
        <v/>
      </c>
      <c r="BD49" s="13" t="str">
        <f t="shared" si="15"/>
        <v xml:space="preserve">_x000D_
                                                                                </v>
      </c>
      <c r="BE49" s="13" t="str">
        <f t="shared" si="25"/>
        <v/>
      </c>
      <c r="BF49" s="13" t="str">
        <f t="shared" si="26"/>
        <v/>
      </c>
      <c r="BG49" s="13" t="str">
        <f t="shared" si="27"/>
        <v/>
      </c>
      <c r="BH49" s="13" t="str">
        <f t="shared" si="28"/>
        <v/>
      </c>
      <c r="BI49" s="13" t="str">
        <f t="shared" si="29"/>
        <v/>
      </c>
      <c r="BJ49" s="13" t="str">
        <f t="shared" si="30"/>
        <v/>
      </c>
      <c r="BM49" s="13" t="str">
        <f t="shared" si="228"/>
        <v>Twb</v>
      </c>
      <c r="BN49" s="13" t="str">
        <f t="shared" ref="BN49" si="229">R49</f>
        <v>Tdb</v>
      </c>
      <c r="BO49" s="13">
        <v>67</v>
      </c>
      <c r="BP49" s="13">
        <v>80</v>
      </c>
      <c r="BQ49" s="13">
        <v>77</v>
      </c>
      <c r="BR49" s="13">
        <v>57</v>
      </c>
      <c r="BS49" s="13">
        <v>90</v>
      </c>
      <c r="BT49" s="13">
        <v>70</v>
      </c>
      <c r="BU49" s="115">
        <f>$V49+$W49*BO49+$X49*BO49^2+$Y49*BP49+$Z49*BP49^2+$AA49*BO49*BP49</f>
        <v>1.0471726000000001</v>
      </c>
      <c r="BV49" s="115">
        <f>$V49+$W49*BQ49+$X49*BQ49^2+$Y49*BT49+$Z49*BT49^2+$AA49*BQ49*BT49</f>
        <v>1.2598906000000001</v>
      </c>
      <c r="BW49" s="115">
        <f>$V49+$W49*BR49+$X49*BR49^2+$Y49*BS49+$Z49*BS49^2+$AA49*BR49*BS49</f>
        <v>0.81539460000000008</v>
      </c>
    </row>
    <row r="50" spans="2:84" hidden="1" outlineLevel="1" x14ac:dyDescent="0.3">
      <c r="E50" s="13" t="s">
        <v>306</v>
      </c>
      <c r="F50" s="13" t="s">
        <v>405</v>
      </c>
      <c r="G50" s="22" t="s">
        <v>543</v>
      </c>
      <c r="H50" s="13" t="s">
        <v>35</v>
      </c>
      <c r="J50" s="13" t="s">
        <v>273</v>
      </c>
      <c r="K50" s="13" t="s">
        <v>2</v>
      </c>
      <c r="N50" s="13" t="str">
        <f t="shared" ref="N50:N57" si="230">IF(ISBLANK(E50),"-",E50&amp;H50&amp;P50&amp;"_f"&amp;Q50&amp;R50&amp;S50&amp;T50&amp;U50&amp;I50)</f>
        <v>CoilClgPTACCoilBPF_fQRatio</v>
      </c>
      <c r="O50" s="13" t="s">
        <v>286</v>
      </c>
      <c r="P50" s="13" t="s">
        <v>274</v>
      </c>
      <c r="Q50" s="34" t="s">
        <v>160</v>
      </c>
      <c r="V50" s="33">
        <v>0</v>
      </c>
      <c r="W50" s="33">
        <v>1</v>
      </c>
      <c r="AF50" s="61"/>
      <c r="AG50" s="113" t="str">
        <f t="shared" si="193"/>
        <v/>
      </c>
      <c r="AH50" s="113" t="str">
        <f t="shared" si="194"/>
        <v/>
      </c>
      <c r="AI50" s="113" t="str">
        <f t="shared" si="195"/>
        <v/>
      </c>
      <c r="AJ50" s="113" t="str">
        <f t="shared" si="196"/>
        <v/>
      </c>
      <c r="AK50" s="113" t="str">
        <f t="shared" si="197"/>
        <v/>
      </c>
      <c r="AL50" s="113" t="str">
        <f t="shared" si="198"/>
        <v/>
      </c>
      <c r="AO50" s="13">
        <v>0</v>
      </c>
      <c r="AP50" s="120" t="str">
        <f t="shared" si="8"/>
        <v/>
      </c>
      <c r="AQ50" s="120" t="str">
        <f t="shared" si="124"/>
        <v/>
      </c>
      <c r="AR50" s="120" t="str">
        <f t="shared" si="225"/>
        <v/>
      </c>
      <c r="AS50" s="120" t="str">
        <f t="shared" si="23"/>
        <v/>
      </c>
      <c r="AT50" s="13" t="str">
        <f t="shared" si="107"/>
        <v/>
      </c>
      <c r="AU50" s="13" t="str">
        <f t="shared" si="24"/>
        <v xml:space="preserve">               </v>
      </c>
      <c r="AV50" s="13" t="str">
        <f t="shared" si="226"/>
        <v/>
      </c>
      <c r="AW50" s="13" t="str">
        <f t="shared" si="227"/>
        <v xml:space="preserve">                                                                 </v>
      </c>
      <c r="AX50" s="13" t="str">
        <f t="shared" si="146"/>
        <v/>
      </c>
      <c r="AY50" s="13" t="str">
        <f t="shared" si="147"/>
        <v/>
      </c>
      <c r="AZ50" s="13" t="str">
        <f t="shared" si="148"/>
        <v/>
      </c>
      <c r="BA50" s="13" t="str">
        <f t="shared" si="149"/>
        <v/>
      </c>
      <c r="BB50" s="13" t="str">
        <f t="shared" si="150"/>
        <v/>
      </c>
      <c r="BC50" s="13" t="str">
        <f t="shared" si="151"/>
        <v/>
      </c>
      <c r="BD50" s="13" t="str">
        <f t="shared" si="15"/>
        <v xml:space="preserve"> </v>
      </c>
      <c r="BE50" s="13" t="str">
        <f t="shared" si="25"/>
        <v/>
      </c>
      <c r="BF50" s="13" t="str">
        <f t="shared" si="26"/>
        <v/>
      </c>
      <c r="BG50" s="13" t="str">
        <f t="shared" si="27"/>
        <v/>
      </c>
      <c r="BH50" s="13" t="str">
        <f t="shared" si="28"/>
        <v/>
      </c>
      <c r="BI50" s="13" t="str">
        <f t="shared" si="29"/>
        <v/>
      </c>
      <c r="BJ50" s="13" t="str">
        <f t="shared" si="30"/>
        <v/>
      </c>
      <c r="BM50" s="13" t="str">
        <f t="shared" si="228"/>
        <v>QRatio</v>
      </c>
      <c r="BO50" s="13">
        <v>1</v>
      </c>
      <c r="BR50" s="13">
        <v>0</v>
      </c>
      <c r="BU50" s="104">
        <f>$V50+$W50*BO50+$X50*BO50^2+$Y50*BO50^3</f>
        <v>1</v>
      </c>
      <c r="BV50" s="104"/>
      <c r="BW50" s="104">
        <f>$V50+$W50*BR50+$X50*BR50^2+$Y50*BR50^3</f>
        <v>0</v>
      </c>
    </row>
    <row r="51" spans="2:84" hidden="1" outlineLevel="1" x14ac:dyDescent="0.3">
      <c r="E51" s="13" t="s">
        <v>306</v>
      </c>
      <c r="F51" s="13" t="s">
        <v>405</v>
      </c>
      <c r="G51" s="22" t="s">
        <v>553</v>
      </c>
      <c r="H51" s="13" t="s">
        <v>36</v>
      </c>
      <c r="J51" s="13" t="s">
        <v>273</v>
      </c>
      <c r="K51" s="13" t="s">
        <v>2</v>
      </c>
      <c r="N51" s="13" t="str">
        <f t="shared" si="230"/>
        <v>CoilClgHPCoilBPF_fQRatio</v>
      </c>
      <c r="O51" s="13" t="s">
        <v>286</v>
      </c>
      <c r="P51" s="13" t="s">
        <v>274</v>
      </c>
      <c r="Q51" s="34" t="s">
        <v>160</v>
      </c>
      <c r="V51" s="33">
        <v>0</v>
      </c>
      <c r="W51" s="33">
        <v>1</v>
      </c>
      <c r="AF51" s="61"/>
      <c r="AG51" s="113" t="str">
        <f t="shared" si="193"/>
        <v/>
      </c>
      <c r="AH51" s="113" t="str">
        <f t="shared" si="194"/>
        <v/>
      </c>
      <c r="AI51" s="113" t="str">
        <f t="shared" si="195"/>
        <v/>
      </c>
      <c r="AJ51" s="113" t="str">
        <f t="shared" si="196"/>
        <v/>
      </c>
      <c r="AK51" s="113" t="str">
        <f t="shared" si="197"/>
        <v/>
      </c>
      <c r="AL51" s="113" t="str">
        <f t="shared" si="198"/>
        <v/>
      </c>
      <c r="AO51" s="13">
        <v>0</v>
      </c>
      <c r="AP51" s="120" t="str">
        <f t="shared" si="8"/>
        <v/>
      </c>
      <c r="AQ51" s="120" t="str">
        <f t="shared" si="124"/>
        <v/>
      </c>
      <c r="AR51" s="120" t="str">
        <f t="shared" si="225"/>
        <v/>
      </c>
      <c r="AS51" s="120" t="str">
        <f t="shared" si="23"/>
        <v/>
      </c>
      <c r="AT51" s="13" t="str">
        <f t="shared" si="107"/>
        <v/>
      </c>
      <c r="AU51" s="13" t="str">
        <f t="shared" si="24"/>
        <v xml:space="preserve">               </v>
      </c>
      <c r="AV51" s="13" t="str">
        <f t="shared" si="226"/>
        <v/>
      </c>
      <c r="AW51" s="13" t="str">
        <f t="shared" si="227"/>
        <v xml:space="preserve">                                                                 </v>
      </c>
      <c r="AX51" s="13" t="str">
        <f t="shared" si="146"/>
        <v/>
      </c>
      <c r="AY51" s="13" t="str">
        <f t="shared" si="147"/>
        <v/>
      </c>
      <c r="AZ51" s="13" t="str">
        <f t="shared" si="148"/>
        <v/>
      </c>
      <c r="BA51" s="13" t="str">
        <f t="shared" si="149"/>
        <v/>
      </c>
      <c r="BB51" s="13" t="str">
        <f t="shared" si="150"/>
        <v/>
      </c>
      <c r="BC51" s="13" t="str">
        <f t="shared" si="151"/>
        <v/>
      </c>
      <c r="BD51" s="13" t="str">
        <f t="shared" si="15"/>
        <v xml:space="preserve"> </v>
      </c>
      <c r="BE51" s="13" t="str">
        <f t="shared" si="25"/>
        <v/>
      </c>
      <c r="BF51" s="13" t="str">
        <f t="shared" si="26"/>
        <v/>
      </c>
      <c r="BG51" s="13" t="str">
        <f t="shared" si="27"/>
        <v/>
      </c>
      <c r="BH51" s="13" t="str">
        <f t="shared" si="28"/>
        <v/>
      </c>
      <c r="BI51" s="13" t="str">
        <f t="shared" si="29"/>
        <v/>
      </c>
      <c r="BJ51" s="13" t="str">
        <f t="shared" si="30"/>
        <v/>
      </c>
      <c r="BM51" s="13" t="str">
        <f t="shared" si="228"/>
        <v>QRatio</v>
      </c>
      <c r="BO51" s="13">
        <v>1</v>
      </c>
      <c r="BR51" s="13">
        <v>0</v>
      </c>
      <c r="BU51" s="104">
        <f>$V51+$W51*BO51+$X51*BO51^2+$Y51*BO51^3</f>
        <v>1</v>
      </c>
      <c r="BV51" s="104"/>
      <c r="BW51" s="104">
        <f>$V51+$W51*BR51+$X51*BR51^2+$Y51*BR51^3</f>
        <v>0</v>
      </c>
    </row>
    <row r="52" spans="2:84" hidden="1" outlineLevel="1" x14ac:dyDescent="0.3">
      <c r="E52" s="13" t="s">
        <v>306</v>
      </c>
      <c r="F52" s="13" t="s">
        <v>405</v>
      </c>
      <c r="G52" s="22" t="s">
        <v>554</v>
      </c>
      <c r="H52" s="13" t="s">
        <v>301</v>
      </c>
      <c r="J52" s="13" t="s">
        <v>273</v>
      </c>
      <c r="K52" s="13" t="s">
        <v>2</v>
      </c>
      <c r="N52" s="13" t="str">
        <f t="shared" si="230"/>
        <v>CoilClgDXCoilBPF_fQRatio</v>
      </c>
      <c r="O52" s="13" t="s">
        <v>286</v>
      </c>
      <c r="P52" s="13" t="s">
        <v>274</v>
      </c>
      <c r="Q52" s="34" t="s">
        <v>160</v>
      </c>
      <c r="V52" s="33">
        <v>0</v>
      </c>
      <c r="W52" s="33">
        <v>1</v>
      </c>
      <c r="AF52" s="61"/>
      <c r="AG52" s="113" t="str">
        <f t="shared" si="193"/>
        <v/>
      </c>
      <c r="AH52" s="113" t="str">
        <f t="shared" si="194"/>
        <v/>
      </c>
      <c r="AI52" s="113" t="str">
        <f t="shared" si="195"/>
        <v/>
      </c>
      <c r="AJ52" s="113" t="str">
        <f t="shared" si="196"/>
        <v/>
      </c>
      <c r="AK52" s="113" t="str">
        <f t="shared" si="197"/>
        <v/>
      </c>
      <c r="AL52" s="113" t="str">
        <f t="shared" si="198"/>
        <v/>
      </c>
      <c r="AO52" s="13">
        <v>0</v>
      </c>
      <c r="AP52" s="120" t="str">
        <f t="shared" si="8"/>
        <v/>
      </c>
      <c r="AQ52" s="120" t="str">
        <f t="shared" si="124"/>
        <v/>
      </c>
      <c r="AR52" s="120" t="str">
        <f t="shared" si="225"/>
        <v/>
      </c>
      <c r="AS52" s="120" t="str">
        <f t="shared" si="23"/>
        <v/>
      </c>
      <c r="AT52" s="13" t="str">
        <f t="shared" si="107"/>
        <v/>
      </c>
      <c r="AU52" s="13" t="str">
        <f t="shared" si="24"/>
        <v xml:space="preserve">               </v>
      </c>
      <c r="AV52" s="13" t="str">
        <f t="shared" si="226"/>
        <v/>
      </c>
      <c r="AW52" s="13" t="str">
        <f t="shared" si="227"/>
        <v xml:space="preserve">                                                                 </v>
      </c>
      <c r="AX52" s="13" t="str">
        <f t="shared" si="146"/>
        <v/>
      </c>
      <c r="AY52" s="13" t="str">
        <f t="shared" si="147"/>
        <v/>
      </c>
      <c r="AZ52" s="13" t="str">
        <f t="shared" si="148"/>
        <v/>
      </c>
      <c r="BA52" s="13" t="str">
        <f t="shared" si="149"/>
        <v/>
      </c>
      <c r="BB52" s="13" t="str">
        <f t="shared" si="150"/>
        <v/>
      </c>
      <c r="BC52" s="13" t="str">
        <f t="shared" si="151"/>
        <v/>
      </c>
      <c r="BD52" s="13" t="str">
        <f t="shared" si="15"/>
        <v xml:space="preserve"> </v>
      </c>
      <c r="BE52" s="13" t="str">
        <f t="shared" si="25"/>
        <v/>
      </c>
      <c r="BF52" s="13" t="str">
        <f t="shared" si="26"/>
        <v/>
      </c>
      <c r="BG52" s="13" t="str">
        <f t="shared" si="27"/>
        <v/>
      </c>
      <c r="BH52" s="13" t="str">
        <f t="shared" si="28"/>
        <v/>
      </c>
      <c r="BI52" s="13" t="str">
        <f t="shared" si="29"/>
        <v/>
      </c>
      <c r="BJ52" s="13" t="str">
        <f t="shared" si="30"/>
        <v/>
      </c>
      <c r="BM52" s="13" t="str">
        <f t="shared" si="228"/>
        <v>QRatio</v>
      </c>
      <c r="BO52" s="13">
        <v>1</v>
      </c>
      <c r="BR52" s="13">
        <v>0</v>
      </c>
      <c r="BU52" s="104">
        <f>$V52+$W52*BO52+$X52*BO52^2+$Y52*BO52^3</f>
        <v>1</v>
      </c>
      <c r="BV52" s="104"/>
      <c r="BW52" s="104">
        <f>$V52+$W52*BR52+$X52*BR52^2+$Y52*BR52^3</f>
        <v>0</v>
      </c>
    </row>
    <row r="53" spans="2:84" hidden="1" outlineLevel="1" x14ac:dyDescent="0.3">
      <c r="B53" s="13" t="s">
        <v>289</v>
      </c>
      <c r="C53" s="13" t="s">
        <v>285</v>
      </c>
      <c r="D53" s="82" t="s">
        <v>541</v>
      </c>
      <c r="E53" s="13" t="s">
        <v>306</v>
      </c>
      <c r="F53" s="13" t="s">
        <v>502</v>
      </c>
      <c r="G53" s="22" t="s">
        <v>551</v>
      </c>
      <c r="H53" s="13" t="s">
        <v>538</v>
      </c>
      <c r="J53" s="13" t="s">
        <v>144</v>
      </c>
      <c r="L53" s="21" t="s">
        <v>171</v>
      </c>
      <c r="M53" s="13" t="s">
        <v>170</v>
      </c>
      <c r="N53" s="13" t="str">
        <f t="shared" si="230"/>
        <v>CoilClgDXSnglQRatio_fCFMRatio</v>
      </c>
      <c r="O53" s="13" t="s">
        <v>162</v>
      </c>
      <c r="P53" s="13" t="s">
        <v>160</v>
      </c>
      <c r="Q53" s="34" t="s">
        <v>120</v>
      </c>
      <c r="V53" s="33">
        <v>0.8</v>
      </c>
      <c r="W53" s="33">
        <v>0.2</v>
      </c>
      <c r="X53" s="33">
        <v>0</v>
      </c>
      <c r="AF53" s="61"/>
      <c r="AG53" s="113" t="str">
        <f t="shared" si="193"/>
        <v/>
      </c>
      <c r="AH53" s="113">
        <f t="shared" si="194"/>
        <v>0.8</v>
      </c>
      <c r="AI53" s="113" t="str">
        <f t="shared" si="195"/>
        <v/>
      </c>
      <c r="AJ53" s="113" t="str">
        <f t="shared" si="196"/>
        <v/>
      </c>
      <c r="AK53" s="113" t="str">
        <f t="shared" si="197"/>
        <v/>
      </c>
      <c r="AL53" s="113" t="str">
        <f t="shared" si="198"/>
        <v/>
      </c>
      <c r="AM53" s="22" t="s">
        <v>640</v>
      </c>
      <c r="AO53" s="13">
        <f>IF(ISTEXT(A53),"",IF(I53="IP",0,1))</f>
        <v>1</v>
      </c>
      <c r="AP53" s="120" t="str">
        <f t="shared" si="8"/>
        <v>CrvQuad        "CoilClgDXSnglQRatio_fCFMRatio"                                  Coef1 =  0.800000  Coef2 =  0.200000  Coef3 =  0.000000  _x000D_
                                                                                MinOut = 0.800   _x000D_
..</v>
      </c>
      <c r="AQ53" s="120" t="str">
        <f t="shared" si="124"/>
        <v xml:space="preserve">CrvQuad        "CoilClgDXSnglQRatio_fCFMRatio"                                  Coef1 =  0.800000  Coef2 =  0.200000  Coef3 =  0.000000  </v>
      </c>
      <c r="AR53" s="120" t="str">
        <f t="shared" si="225"/>
        <v xml:space="preserve">_x000D_
                                                                                MinOut = 0.800   </v>
      </c>
      <c r="AS53" s="120" t="str">
        <f t="shared" si="23"/>
        <v>_x000D_
..</v>
      </c>
      <c r="AT53" s="13" t="str">
        <f t="shared" si="107"/>
        <v>CrvQuad</v>
      </c>
      <c r="AU53" s="13" t="str">
        <f t="shared" si="24"/>
        <v xml:space="preserve">        </v>
      </c>
      <c r="AV53" s="13" t="str">
        <f t="shared" si="226"/>
        <v>"CoilClgDXSnglQRatio_fCFMRatio"</v>
      </c>
      <c r="AW53" s="13" t="str">
        <f t="shared" si="227"/>
        <v xml:space="preserve">                                  </v>
      </c>
      <c r="AX53" s="13" t="str">
        <f t="shared" si="146"/>
        <v xml:space="preserve"> 0.800000  </v>
      </c>
      <c r="AY53" s="13" t="str">
        <f t="shared" si="147"/>
        <v xml:space="preserve"> 0.200000  </v>
      </c>
      <c r="AZ53" s="13" t="str">
        <f t="shared" si="148"/>
        <v xml:space="preserve"> 0.000000  </v>
      </c>
      <c r="BA53" s="13" t="str">
        <f t="shared" si="149"/>
        <v>-</v>
      </c>
      <c r="BB53" s="13" t="str">
        <f t="shared" si="150"/>
        <v>-</v>
      </c>
      <c r="BC53" s="13" t="str">
        <f t="shared" si="151"/>
        <v>-</v>
      </c>
      <c r="BD53" s="13" t="str">
        <f t="shared" si="15"/>
        <v xml:space="preserve">_x000D_
                                                                                </v>
      </c>
      <c r="BE53" s="13" t="str">
        <f t="shared" si="25"/>
        <v>-</v>
      </c>
      <c r="BF53" s="13" t="str">
        <f t="shared" si="26"/>
        <v xml:space="preserve">0.800   </v>
      </c>
      <c r="BG53" s="13" t="str">
        <f t="shared" si="27"/>
        <v>-</v>
      </c>
      <c r="BH53" s="13" t="str">
        <f t="shared" si="28"/>
        <v>-</v>
      </c>
      <c r="BI53" s="13" t="str">
        <f t="shared" si="29"/>
        <v>-</v>
      </c>
      <c r="BJ53" s="13" t="str">
        <f t="shared" si="30"/>
        <v>-</v>
      </c>
      <c r="BM53" s="13" t="str">
        <f t="shared" si="228"/>
        <v>CFMRatio</v>
      </c>
      <c r="BO53" s="13">
        <v>1</v>
      </c>
      <c r="BR53" s="13">
        <v>0</v>
      </c>
      <c r="BU53" s="104">
        <f>$V53+$W53*BO53+$X53*BO53^2+$Y53*BO53^3</f>
        <v>1</v>
      </c>
      <c r="BV53" s="104"/>
      <c r="BW53" s="104">
        <f>$V53+$W53*BR53+$X53*BR53^2+$Y53*BR53^3</f>
        <v>0.8</v>
      </c>
    </row>
    <row r="54" spans="2:84" hidden="1" outlineLevel="1" x14ac:dyDescent="0.3">
      <c r="E54" s="13" t="s">
        <v>306</v>
      </c>
      <c r="F54" s="13" t="s">
        <v>502</v>
      </c>
      <c r="G54" s="22" t="s">
        <v>552</v>
      </c>
      <c r="H54" s="13" t="s">
        <v>539</v>
      </c>
      <c r="J54" s="13" t="s">
        <v>144</v>
      </c>
      <c r="L54" s="21" t="s">
        <v>287</v>
      </c>
      <c r="M54" s="13" t="s">
        <v>170</v>
      </c>
      <c r="N54" s="13" t="str">
        <f t="shared" si="230"/>
        <v>CoilClgDXDblQRatio_fCFMRatio</v>
      </c>
      <c r="O54" s="13" t="s">
        <v>230</v>
      </c>
      <c r="P54" s="13" t="s">
        <v>160</v>
      </c>
      <c r="Q54" s="34" t="s">
        <v>120</v>
      </c>
      <c r="V54" s="33">
        <v>0.47278588999999999</v>
      </c>
      <c r="W54" s="33">
        <v>1.2433415000000001</v>
      </c>
      <c r="X54" s="33">
        <v>-1.0387055000000001</v>
      </c>
      <c r="Y54" s="33">
        <v>0.32257813000000002</v>
      </c>
      <c r="AF54" s="61"/>
      <c r="AG54" s="113" t="str">
        <f t="shared" si="193"/>
        <v/>
      </c>
      <c r="AH54" s="113">
        <f t="shared" si="194"/>
        <v>0.47</v>
      </c>
      <c r="AI54" s="113" t="str">
        <f t="shared" si="195"/>
        <v/>
      </c>
      <c r="AJ54" s="113" t="str">
        <f t="shared" si="196"/>
        <v/>
      </c>
      <c r="AK54" s="113" t="str">
        <f t="shared" si="197"/>
        <v/>
      </c>
      <c r="AL54" s="113" t="str">
        <f t="shared" si="198"/>
        <v/>
      </c>
      <c r="AM54" s="22" t="s">
        <v>640</v>
      </c>
      <c r="AO54" s="13">
        <f>IF(ISTEXT(A54),"",IF(I54="IP",0,1))</f>
        <v>1</v>
      </c>
      <c r="AP54" s="120" t="str">
        <f t="shared" ref="AP54:AP65" si="231">IF(AO54=1,CONCATENATE(AQ54,AR54,AS54),"")</f>
        <v>CrvCubic       "CoilClgDXDblQRatio_fCFMRatio"                                   Coef1 =  0.472786  Coef2 =  1.243342  Coef3 = -1.038706  Coef4 =  0.322578  _x000D_
                                                                                MinOut = 0.470   _x000D_
..</v>
      </c>
      <c r="AQ54" s="120" t="str">
        <f t="shared" ref="AQ54:AQ65" si="232">IF(AO54=1,CONCATENATE(AT54,AU54,AV54,AW54,IF(AX54="-","",$AX$15&amp;AX54),IF(AY54="-","",$AY$15&amp;AY54),IF(AZ54="-","",$AZ$15&amp;AZ54),IF(BA54="-","",$BA$15&amp;BA54),IF(BB54="-","",$BB$15&amp;BB54),IF(BC54="-","",$BC$15&amp;BC54)),"")</f>
        <v xml:space="preserve">CrvCubic       "CoilClgDXDblQRatio_fCFMRatio"                                   Coef1 =  0.472786  Coef2 =  1.243342  Coef3 = -1.038706  Coef4 =  0.322578  </v>
      </c>
      <c r="AR54" s="120" t="str">
        <f t="shared" ref="AR54:AR65" si="233">IF(AO54=1,CONCATENATE(BD54,IF(BE54="-","",$BE$15&amp;BE54),IF(BF54="-","",$BF$15&amp;BF54),IF(BG54="-","",$BG$15&amp;BG54),IF(BH54="-","",$BH$15&amp;BH54),IF(BI54="-","",$BI$15&amp;BI54),IF(BJ54="-","",$BJ$15&amp;BJ54)),"")</f>
        <v xml:space="preserve">_x000D_
                                                                                MinOut = 0.470   </v>
      </c>
      <c r="AS54" s="120" t="str">
        <f t="shared" ref="AS54:AS65" si="234">IF(AO54=1,CHAR(13)&amp;CHAR(10)&amp;"..","")</f>
        <v>_x000D_
..</v>
      </c>
      <c r="AT54" s="13" t="str">
        <f t="shared" ref="AT54:AT65" si="235">IF(AO54=1,VLOOKUP(O54,$AT$2:$AV$13,2,0),"")</f>
        <v>CrvCubic</v>
      </c>
      <c r="AU54" s="13" t="str">
        <f t="shared" si="24"/>
        <v xml:space="preserve">       </v>
      </c>
      <c r="AV54" s="13" t="str">
        <f t="shared" si="226"/>
        <v>"CoilClgDXDblQRatio_fCFMRatio"</v>
      </c>
      <c r="AW54" s="13" t="str">
        <f t="shared" ref="AW54:AW65" si="236">REPT(" ",$AW$14-LEN(AV54))</f>
        <v xml:space="preserve">                                   </v>
      </c>
      <c r="AX54" s="13" t="str">
        <f t="shared" ref="AX54:BC54" si="237">IF($AO54=1,IF(ISBLANK(V54),"-",CONCATENATE(TEXT(V54," 0.000000;-0.000000"),"  ")),"")</f>
        <v xml:space="preserve"> 0.472786  </v>
      </c>
      <c r="AY54" s="13" t="str">
        <f t="shared" si="237"/>
        <v xml:space="preserve"> 1.243342  </v>
      </c>
      <c r="AZ54" s="13" t="str">
        <f t="shared" si="237"/>
        <v xml:space="preserve">-1.038706  </v>
      </c>
      <c r="BA54" s="13" t="str">
        <f t="shared" si="237"/>
        <v xml:space="preserve"> 0.322578  </v>
      </c>
      <c r="BB54" s="13" t="str">
        <f t="shared" si="237"/>
        <v>-</v>
      </c>
      <c r="BC54" s="13" t="str">
        <f t="shared" si="237"/>
        <v>-</v>
      </c>
      <c r="BD54" s="13" t="str">
        <f t="shared" si="15"/>
        <v xml:space="preserve">_x000D_
                                                                                </v>
      </c>
      <c r="BE54" s="13" t="str">
        <f t="shared" ref="BE54:BE121" si="238">IF($AO54=1,IF(AG54="","-",CONCATENATE(TEXT(AG54,"0.000"),"   ")),"")</f>
        <v>-</v>
      </c>
      <c r="BF54" s="13" t="str">
        <f t="shared" ref="BF54:BF121" si="239">IF($AO54=1,IF(AH54="","-",CONCATENATE(TEXT(AH54,"0.000"),"   ")),"")</f>
        <v xml:space="preserve">0.470   </v>
      </c>
      <c r="BG54" s="13" t="str">
        <f t="shared" ref="BG54:BG121" si="240">IF($AO54=1,IF(AI54="","-",CONCATENATE(TEXT(AI54,"0.000"),"   ")),"")</f>
        <v>-</v>
      </c>
      <c r="BH54" s="13" t="str">
        <f t="shared" ref="BH54:BH121" si="241">IF($AO54=1,IF(AJ54="","-",CONCATENATE(TEXT(AJ54,"0.000"),"   ")),"")</f>
        <v>-</v>
      </c>
      <c r="BI54" s="13" t="str">
        <f t="shared" ref="BI54:BI121" si="242">IF($AO54=1,IF(AK54="","-",CONCATENATE(TEXT(AK54,"0.000"),"   ")),"")</f>
        <v>-</v>
      </c>
      <c r="BJ54" s="13" t="str">
        <f t="shared" ref="BJ54:BJ121" si="243">IF($AO54=1,IF(AL54="","-",CONCATENATE(TEXT(AL54,"0.000"),"   ")),"")</f>
        <v>-</v>
      </c>
      <c r="BM54" s="13" t="str">
        <f t="shared" si="228"/>
        <v>CFMRatio</v>
      </c>
      <c r="BO54" s="13">
        <v>1</v>
      </c>
      <c r="BR54" s="13">
        <v>0</v>
      </c>
      <c r="BU54" s="104">
        <f>$V54+$W54*BO54+$X54*BO54^2+$Y54*BO54^3</f>
        <v>1.0000000199999999</v>
      </c>
      <c r="BV54" s="104"/>
      <c r="BW54" s="104">
        <f>$V54+$W54*BR54+$X54*BR54^2+$Y54*BR54^3</f>
        <v>0.47278588999999999</v>
      </c>
    </row>
    <row r="55" spans="2:84" ht="43.2" hidden="1" outlineLevel="1" x14ac:dyDescent="0.3">
      <c r="B55" s="13" t="s">
        <v>127</v>
      </c>
      <c r="C55" s="13" t="s">
        <v>291</v>
      </c>
      <c r="D55" s="15" t="s">
        <v>119</v>
      </c>
      <c r="E55" s="13" t="s">
        <v>306</v>
      </c>
      <c r="F55" s="13" t="s">
        <v>401</v>
      </c>
      <c r="G55" s="22" t="s">
        <v>543</v>
      </c>
      <c r="H55" s="13" t="s">
        <v>35</v>
      </c>
      <c r="I55" s="13" t="s">
        <v>659</v>
      </c>
      <c r="J55" s="13" t="s">
        <v>273</v>
      </c>
      <c r="K55" s="13" t="s">
        <v>3</v>
      </c>
      <c r="L55" s="15"/>
      <c r="M55" s="21"/>
      <c r="N55" s="13" t="str">
        <f t="shared" si="230"/>
        <v>CoilClgPTACEIRRatio_fTwbToadbIP</v>
      </c>
      <c r="O55" s="13" t="s">
        <v>165</v>
      </c>
      <c r="P55" s="13" t="s">
        <v>288</v>
      </c>
      <c r="Q55" s="13" t="s">
        <v>116</v>
      </c>
      <c r="R55" s="13" t="s">
        <v>460</v>
      </c>
      <c r="V55" s="33">
        <v>-0.65504609999999996</v>
      </c>
      <c r="W55" s="33">
        <v>3.8891000000000002E-2</v>
      </c>
      <c r="X55" s="33">
        <v>-1.9249999999999999E-4</v>
      </c>
      <c r="Y55" s="33">
        <v>1.3045999999999999E-3</v>
      </c>
      <c r="Z55" s="33">
        <v>1.3520000000000001E-4</v>
      </c>
      <c r="AA55" s="33">
        <v>-2.2469999999999999E-4</v>
      </c>
      <c r="AF55" s="61"/>
      <c r="AG55" s="113">
        <f t="shared" si="193"/>
        <v>1.4</v>
      </c>
      <c r="AH55" s="113">
        <f t="shared" si="194"/>
        <v>0.76</v>
      </c>
      <c r="AI55" s="113">
        <f t="shared" si="195"/>
        <v>77</v>
      </c>
      <c r="AJ55" s="113">
        <f t="shared" si="196"/>
        <v>57</v>
      </c>
      <c r="AK55" s="113">
        <f t="shared" si="197"/>
        <v>115</v>
      </c>
      <c r="AL55" s="113">
        <f t="shared" si="198"/>
        <v>75</v>
      </c>
      <c r="AM55" s="22" t="s">
        <v>627</v>
      </c>
      <c r="AO55" s="13">
        <f>IF(ISTEXT(A55),"",IF(I55="IP",0,1))</f>
        <v>0</v>
      </c>
      <c r="AP55" s="120" t="str">
        <f t="shared" si="231"/>
        <v/>
      </c>
      <c r="AQ55" s="120" t="str">
        <f t="shared" si="232"/>
        <v/>
      </c>
      <c r="AR55" s="120" t="str">
        <f t="shared" si="233"/>
        <v/>
      </c>
      <c r="AS55" s="120" t="str">
        <f t="shared" si="234"/>
        <v/>
      </c>
      <c r="AT55" s="13" t="str">
        <f t="shared" si="235"/>
        <v/>
      </c>
      <c r="AU55" s="13" t="str">
        <f t="shared" si="24"/>
        <v xml:space="preserve">               </v>
      </c>
      <c r="AV55" s="13" t="str">
        <f t="shared" si="226"/>
        <v/>
      </c>
      <c r="AW55" s="13" t="str">
        <f t="shared" si="236"/>
        <v xml:space="preserve">                                                                 </v>
      </c>
      <c r="AX55" s="13" t="str">
        <f t="shared" ref="AX55:BC64" si="244">IF($AO55=1,IF(ISBLANK(V55),"-",CONCATENATE(TEXT(V55," 0.000000;-0.000000"),"  ")),"")</f>
        <v/>
      </c>
      <c r="AY55" s="13" t="str">
        <f t="shared" si="244"/>
        <v/>
      </c>
      <c r="AZ55" s="13" t="str">
        <f t="shared" si="244"/>
        <v/>
      </c>
      <c r="BA55" s="13" t="str">
        <f t="shared" si="244"/>
        <v/>
      </c>
      <c r="BB55" s="13" t="str">
        <f t="shared" si="244"/>
        <v/>
      </c>
      <c r="BC55" s="13" t="str">
        <f t="shared" si="244"/>
        <v/>
      </c>
      <c r="BD55" s="13" t="str">
        <f t="shared" si="15"/>
        <v xml:space="preserve">_x000D_
                                                                                </v>
      </c>
      <c r="BE55" s="13" t="str">
        <f t="shared" si="238"/>
        <v/>
      </c>
      <c r="BF55" s="13" t="str">
        <f t="shared" si="239"/>
        <v/>
      </c>
      <c r="BG55" s="13" t="str">
        <f t="shared" si="240"/>
        <v/>
      </c>
      <c r="BH55" s="13" t="str">
        <f t="shared" si="241"/>
        <v/>
      </c>
      <c r="BI55" s="13" t="str">
        <f t="shared" si="242"/>
        <v/>
      </c>
      <c r="BJ55" s="13" t="str">
        <f t="shared" si="243"/>
        <v/>
      </c>
      <c r="BM55" s="13" t="str">
        <f t="shared" si="228"/>
        <v>Twb</v>
      </c>
      <c r="BN55" s="13" t="str">
        <f>R55</f>
        <v>Toadb</v>
      </c>
      <c r="BO55" s="13">
        <v>67</v>
      </c>
      <c r="BP55" s="13">
        <v>95</v>
      </c>
      <c r="BQ55" s="13">
        <v>77</v>
      </c>
      <c r="BR55" s="13">
        <v>57</v>
      </c>
      <c r="BS55" s="13">
        <v>115</v>
      </c>
      <c r="BT55" s="13">
        <v>75</v>
      </c>
      <c r="BU55" s="104">
        <f>$V55+$W55*BO55+$X55*BO55^2+$Y55*BP55+$Z55*BP55^2+$AA55*BO55*BP55</f>
        <v>1.0004199000000005</v>
      </c>
      <c r="BV55" s="104">
        <f>$V55+$W55*BR55+$X55*BR55^2+$Y55*BS55+$Z55*BS55^2+$AA55*BR55*BS55</f>
        <v>1.4014489000000006</v>
      </c>
      <c r="BW55" s="104">
        <f>$V55+$W55*BQ55+$X55*BQ55^2+$Y55*BT55+$Z55*BT55^2+$AA55*BQ55*BT55</f>
        <v>0.75893090000000063</v>
      </c>
      <c r="BX55" s="13" t="s">
        <v>729</v>
      </c>
    </row>
    <row r="56" spans="2:84" hidden="1" outlineLevel="1" x14ac:dyDescent="0.3">
      <c r="D56" s="15"/>
      <c r="E56" s="13" t="s">
        <v>306</v>
      </c>
      <c r="F56" s="13" t="s">
        <v>401</v>
      </c>
      <c r="G56" s="22" t="s">
        <v>543</v>
      </c>
      <c r="H56" s="13" t="s">
        <v>35</v>
      </c>
      <c r="I56" s="13" t="s">
        <v>660</v>
      </c>
      <c r="J56" s="13" t="s">
        <v>144</v>
      </c>
      <c r="L56" s="15" t="s">
        <v>171</v>
      </c>
      <c r="M56" s="21" t="s">
        <v>169</v>
      </c>
      <c r="N56" s="13" t="str">
        <f t="shared" si="230"/>
        <v>CoilClgPTACEIRRatio_fTwbToadbSI</v>
      </c>
      <c r="O56" s="13" t="s">
        <v>165</v>
      </c>
      <c r="P56" s="13" t="s">
        <v>288</v>
      </c>
      <c r="Q56" s="13" t="s">
        <v>116</v>
      </c>
      <c r="R56" s="13" t="s">
        <v>460</v>
      </c>
      <c r="V56" s="33">
        <v>0.34143400000000002</v>
      </c>
      <c r="W56" s="33">
        <v>3.4810199999999999E-2</v>
      </c>
      <c r="X56" s="33">
        <v>-6.2531999999999996E-4</v>
      </c>
      <c r="Y56" s="33">
        <v>4.9410000000000001E-3</v>
      </c>
      <c r="Z56" s="33">
        <v>4.3740000000000001E-4</v>
      </c>
      <c r="AA56" s="33">
        <v>-7.2900000000000005E-4</v>
      </c>
      <c r="AF56" s="61"/>
      <c r="AG56" s="113">
        <f t="shared" ref="AG56:AG64" si="245">IF(BV56&gt;0,ROUND(BV56,2),"")</f>
        <v>1.4</v>
      </c>
      <c r="AH56" s="113">
        <f t="shared" ref="AH56:AH64" si="246">IF(BW56&gt;0,ROUND(BW56,2),"")</f>
        <v>0.75</v>
      </c>
      <c r="AI56" s="113">
        <f t="shared" ref="AI56:AI64" si="247">IF(BQ56&gt;0,ROUND(BQ56,2),"")</f>
        <v>25</v>
      </c>
      <c r="AJ56" s="113">
        <f t="shared" si="196"/>
        <v>13.89</v>
      </c>
      <c r="AK56" s="113">
        <f t="shared" si="197"/>
        <v>46.11</v>
      </c>
      <c r="AL56" s="113">
        <f t="shared" ref="AL56:AL64" si="248">IF(BT56&gt;0,ROUND(BT56,2),"")</f>
        <v>23.89</v>
      </c>
      <c r="AO56" s="13">
        <f>IF(ISTEXT(A56),"",IF(I56="IP",0,1))</f>
        <v>1</v>
      </c>
      <c r="AP56" s="120" t="str">
        <f t="shared" si="231"/>
        <v>CrvDblQuad     "CoilClgPTACEIRRatio_fTwbToadbSI"                                Coef1 =  0.341434  Coef2 =  0.034810  Coef3 = -0.000625  Coef4 =  0.004941  Coef5 =  0.000437  Coef6 = -0.000729  _x000D_
                                                                                MaxOut = 1.400   MinOut = 0.750   MaxVar1 = 25.000   MinVar1 = 13.890   MaxVar2 = 46.110   MinVar2 = 23.890   _x000D_
..</v>
      </c>
      <c r="AQ56" s="120" t="str">
        <f t="shared" si="232"/>
        <v xml:space="preserve">CrvDblQuad     "CoilClgPTACEIRRatio_fTwbToadbSI"                                Coef1 =  0.341434  Coef2 =  0.034810  Coef3 = -0.000625  Coef4 =  0.004941  Coef5 =  0.000437  Coef6 = -0.000729  </v>
      </c>
      <c r="AR56" s="120" t="str">
        <f t="shared" si="233"/>
        <v xml:space="preserve">_x000D_
                                                                                MaxOut = 1.400   MinOut = 0.750   MaxVar1 = 25.000   MinVar1 = 13.890   MaxVar2 = 46.110   MinVar2 = 23.890   </v>
      </c>
      <c r="AS56" s="120" t="str">
        <f t="shared" si="234"/>
        <v>_x000D_
..</v>
      </c>
      <c r="AT56" s="13" t="str">
        <f t="shared" si="235"/>
        <v>CrvDblQuad</v>
      </c>
      <c r="AU56" s="13" t="str">
        <f t="shared" si="24"/>
        <v xml:space="preserve">     </v>
      </c>
      <c r="AV56" s="13" t="str">
        <f t="shared" ref="AV56" si="249">IF(AO56=1,CONCATENATE("""",N56,""""),"")</f>
        <v>"CoilClgPTACEIRRatio_fTwbToadbSI"</v>
      </c>
      <c r="AW56" s="13" t="str">
        <f t="shared" si="236"/>
        <v xml:space="preserve">                                </v>
      </c>
      <c r="AX56" s="13" t="str">
        <f t="shared" ref="AX56" si="250">IF($AO56=1,IF(ISBLANK(V56),"-",CONCATENATE(TEXT(V56," 0.000000;-0.000000"),"  ")),"")</f>
        <v xml:space="preserve"> 0.341434  </v>
      </c>
      <c r="AY56" s="13" t="str">
        <f t="shared" ref="AY56" si="251">IF($AO56=1,IF(ISBLANK(W56),"-",CONCATENATE(TEXT(W56," 0.000000;-0.000000"),"  ")),"")</f>
        <v xml:space="preserve"> 0.034810  </v>
      </c>
      <c r="AZ56" s="13" t="str">
        <f t="shared" ref="AZ56" si="252">IF($AO56=1,IF(ISBLANK(X56),"-",CONCATENATE(TEXT(X56," 0.000000;-0.000000"),"  ")),"")</f>
        <v xml:space="preserve">-0.000625  </v>
      </c>
      <c r="BA56" s="13" t="str">
        <f t="shared" ref="BA56" si="253">IF($AO56=1,IF(ISBLANK(Y56),"-",CONCATENATE(TEXT(Y56," 0.000000;-0.000000"),"  ")),"")</f>
        <v xml:space="preserve"> 0.004941  </v>
      </c>
      <c r="BB56" s="13" t="str">
        <f t="shared" ref="BB56" si="254">IF($AO56=1,IF(ISBLANK(Z56),"-",CONCATENATE(TEXT(Z56," 0.000000;-0.000000"),"  ")),"")</f>
        <v xml:space="preserve"> 0.000437  </v>
      </c>
      <c r="BC56" s="13" t="str">
        <f t="shared" ref="BC56" si="255">IF($AO56=1,IF(ISBLANK(AA56),"-",CONCATENATE(TEXT(AA56," 0.000000;-0.000000"),"  ")),"")</f>
        <v xml:space="preserve">-0.000729  </v>
      </c>
      <c r="BD56" s="13" t="str">
        <f t="shared" si="15"/>
        <v xml:space="preserve">_x000D_
                                                                                </v>
      </c>
      <c r="BE56" s="13" t="str">
        <f t="shared" si="238"/>
        <v xml:space="preserve">1.400   </v>
      </c>
      <c r="BF56" s="13" t="str">
        <f t="shared" si="239"/>
        <v xml:space="preserve">0.750   </v>
      </c>
      <c r="BG56" s="13" t="str">
        <f t="shared" si="240"/>
        <v xml:space="preserve">25.000   </v>
      </c>
      <c r="BH56" s="13" t="str">
        <f t="shared" si="241"/>
        <v xml:space="preserve">13.890   </v>
      </c>
      <c r="BI56" s="13" t="str">
        <f t="shared" si="242"/>
        <v xml:space="preserve">46.110   </v>
      </c>
      <c r="BJ56" s="13" t="str">
        <f t="shared" si="243"/>
        <v xml:space="preserve">23.890   </v>
      </c>
      <c r="BM56" s="13" t="str">
        <f t="shared" si="228"/>
        <v>Twb</v>
      </c>
      <c r="BN56" s="13" t="str">
        <f>R56</f>
        <v>Toadb</v>
      </c>
      <c r="BO56" s="118">
        <f>(BO55-32)/1.8</f>
        <v>19.444444444444443</v>
      </c>
      <c r="BP56" s="118">
        <f>(BP55-32)/1.8</f>
        <v>35</v>
      </c>
      <c r="BQ56" s="118">
        <f t="shared" ref="BQ56" si="256">(BQ55-32)/1.8</f>
        <v>25</v>
      </c>
      <c r="BR56" s="118">
        <f t="shared" ref="BR56" si="257">(BR55-32)/1.8</f>
        <v>13.888888888888889</v>
      </c>
      <c r="BS56" s="118">
        <f t="shared" ref="BS56" si="258">(BS55-32)/1.8</f>
        <v>46.111111111111107</v>
      </c>
      <c r="BT56" s="118">
        <f t="shared" ref="BT56" si="259">(BT55-32)/1.8</f>
        <v>23.888888888888889</v>
      </c>
      <c r="BU56" s="104">
        <f>$V56+$W56*BO56+$X56*BO56^2+$Y56*BP56+$Z56*BP56^2+$AA56*BO56*BP56</f>
        <v>0.99449900000000002</v>
      </c>
      <c r="BV56" s="104">
        <f t="shared" ref="BV56:BV68" si="260">$V56+$W56*BR56+$X56*BR56^2+$Y56*BS56+$Z56*BS56^2+$AA56*BR56*BS56</f>
        <v>1.3952589999999998</v>
      </c>
      <c r="BW56" s="104">
        <f t="shared" ref="BW56:BW68" si="261">$V56+$W56*BQ56+$X56*BQ56^2+$Y56*BT56+$Z56*BT56^2+$AA56*BQ56*BT56</f>
        <v>0.753139</v>
      </c>
      <c r="BX56" s="13" t="s">
        <v>729</v>
      </c>
    </row>
    <row r="57" spans="2:84" hidden="1" outlineLevel="1" x14ac:dyDescent="0.3">
      <c r="E57" s="13" t="s">
        <v>306</v>
      </c>
      <c r="F57" s="13" t="s">
        <v>401</v>
      </c>
      <c r="G57" s="22" t="s">
        <v>544</v>
      </c>
      <c r="H57" s="13" t="s">
        <v>525</v>
      </c>
      <c r="I57" s="13" t="s">
        <v>659</v>
      </c>
      <c r="J57" s="13" t="s">
        <v>273</v>
      </c>
      <c r="K57" s="13" t="s">
        <v>3</v>
      </c>
      <c r="L57" s="15"/>
      <c r="M57" s="21"/>
      <c r="N57" s="13" t="str">
        <f t="shared" si="230"/>
        <v>CoilClgDXSEEREIRRatio_fTwbToadbIP</v>
      </c>
      <c r="O57" s="13" t="s">
        <v>165</v>
      </c>
      <c r="P57" s="13" t="s">
        <v>288</v>
      </c>
      <c r="Q57" s="13" t="s">
        <v>116</v>
      </c>
      <c r="R57" s="13" t="s">
        <v>460</v>
      </c>
      <c r="V57" s="51"/>
      <c r="W57" s="51"/>
      <c r="X57" s="51"/>
      <c r="Y57" s="51"/>
      <c r="Z57" s="51"/>
      <c r="AA57" s="51"/>
      <c r="AF57" s="61"/>
      <c r="AG57" s="113" t="str">
        <f t="shared" si="245"/>
        <v/>
      </c>
      <c r="AH57" s="113" t="str">
        <f t="shared" si="246"/>
        <v/>
      </c>
      <c r="AI57" s="113">
        <f t="shared" si="247"/>
        <v>77</v>
      </c>
      <c r="AJ57" s="113">
        <f t="shared" si="196"/>
        <v>57</v>
      </c>
      <c r="AK57" s="113">
        <f t="shared" si="197"/>
        <v>115</v>
      </c>
      <c r="AL57" s="113">
        <f t="shared" si="248"/>
        <v>75</v>
      </c>
      <c r="AM57" s="22" t="s">
        <v>562</v>
      </c>
      <c r="AO57" s="13">
        <f>IF(ISTEXT(A57),"",IF(I57="IP",0,1))</f>
        <v>0</v>
      </c>
      <c r="AP57" s="120" t="str">
        <f t="shared" si="231"/>
        <v/>
      </c>
      <c r="AQ57" s="120" t="str">
        <f t="shared" si="232"/>
        <v/>
      </c>
      <c r="AR57" s="120" t="str">
        <f t="shared" si="233"/>
        <v/>
      </c>
      <c r="AS57" s="120" t="str">
        <f t="shared" si="234"/>
        <v/>
      </c>
      <c r="AT57" s="13" t="str">
        <f t="shared" si="235"/>
        <v/>
      </c>
      <c r="AU57" s="13" t="str">
        <f t="shared" si="24"/>
        <v xml:space="preserve">               </v>
      </c>
      <c r="AV57" s="13" t="str">
        <f t="shared" si="226"/>
        <v/>
      </c>
      <c r="AW57" s="13" t="str">
        <f t="shared" si="236"/>
        <v xml:space="preserve">                                                                 </v>
      </c>
      <c r="AX57" s="13" t="str">
        <f t="shared" si="244"/>
        <v/>
      </c>
      <c r="AY57" s="13" t="str">
        <f t="shared" si="244"/>
        <v/>
      </c>
      <c r="AZ57" s="13" t="str">
        <f t="shared" si="244"/>
        <v/>
      </c>
      <c r="BA57" s="13" t="str">
        <f t="shared" si="244"/>
        <v/>
      </c>
      <c r="BB57" s="13" t="str">
        <f t="shared" si="244"/>
        <v/>
      </c>
      <c r="BC57" s="13" t="str">
        <f t="shared" si="244"/>
        <v/>
      </c>
      <c r="BD57" s="13" t="str">
        <f t="shared" si="15"/>
        <v xml:space="preserve">_x000D_
                                                                                </v>
      </c>
      <c r="BE57" s="13" t="str">
        <f t="shared" si="238"/>
        <v/>
      </c>
      <c r="BF57" s="13" t="str">
        <f t="shared" si="239"/>
        <v/>
      </c>
      <c r="BG57" s="13" t="str">
        <f t="shared" si="240"/>
        <v/>
      </c>
      <c r="BH57" s="13" t="str">
        <f t="shared" si="241"/>
        <v/>
      </c>
      <c r="BI57" s="13" t="str">
        <f t="shared" si="242"/>
        <v/>
      </c>
      <c r="BJ57" s="13" t="str">
        <f t="shared" si="243"/>
        <v/>
      </c>
      <c r="BM57" s="13" t="str">
        <f t="shared" ref="BM57:BM58" si="262">Q57</f>
        <v>Twb</v>
      </c>
      <c r="BN57" s="13" t="str">
        <f t="shared" ref="BN57:BN58" si="263">R57</f>
        <v>Toadb</v>
      </c>
      <c r="BO57" s="13">
        <v>67</v>
      </c>
      <c r="BP57" s="13">
        <v>95</v>
      </c>
      <c r="BQ57" s="13">
        <v>77</v>
      </c>
      <c r="BR57" s="13">
        <v>57</v>
      </c>
      <c r="BS57" s="13">
        <v>115</v>
      </c>
      <c r="BT57" s="13">
        <v>75</v>
      </c>
      <c r="BU57" s="104"/>
      <c r="BV57" s="104">
        <f t="shared" si="260"/>
        <v>0</v>
      </c>
      <c r="BW57" s="104">
        <f t="shared" si="261"/>
        <v>0</v>
      </c>
      <c r="BX57" s="13" t="s">
        <v>729</v>
      </c>
    </row>
    <row r="58" spans="2:84" hidden="1" outlineLevel="1" x14ac:dyDescent="0.3">
      <c r="E58" s="13" t="s">
        <v>306</v>
      </c>
      <c r="F58" s="13" t="s">
        <v>401</v>
      </c>
      <c r="G58" s="22" t="s">
        <v>544</v>
      </c>
      <c r="H58" s="13" t="s">
        <v>905</v>
      </c>
      <c r="I58" s="13" t="s">
        <v>660</v>
      </c>
      <c r="J58" s="13" t="s">
        <v>144</v>
      </c>
      <c r="L58" s="15" t="s">
        <v>171</v>
      </c>
      <c r="M58" s="21" t="s">
        <v>169</v>
      </c>
      <c r="N58" s="13" t="str">
        <f t="shared" ref="N58:N90" si="264">IF(ISBLANK(E58),"-",E58&amp;H58&amp;P58&amp;"_f"&amp;Q58&amp;R58&amp;S58&amp;T58&amp;U58&amp;I58)</f>
        <v>CoilClgDXEER11SEER13EIRRatio_fTwbToadbSI</v>
      </c>
      <c r="O58" s="13" t="s">
        <v>165</v>
      </c>
      <c r="P58" s="13" t="s">
        <v>288</v>
      </c>
      <c r="Q58" s="13" t="s">
        <v>116</v>
      </c>
      <c r="R58" s="13" t="s">
        <v>460</v>
      </c>
      <c r="V58" s="136">
        <v>0.68668371859999999</v>
      </c>
      <c r="W58" s="136">
        <v>-3.5825755200000003E-2</v>
      </c>
      <c r="X58" s="136">
        <v>7.8065630000000001E-4</v>
      </c>
      <c r="Y58" s="136">
        <v>2.55636817E-2</v>
      </c>
      <c r="Z58" s="136">
        <v>1.634393E-4</v>
      </c>
      <c r="AA58" s="136">
        <v>-5.5893900000000005E-4</v>
      </c>
      <c r="AF58" s="61"/>
      <c r="AG58" s="113">
        <f t="shared" si="245"/>
        <v>1.51</v>
      </c>
      <c r="AH58" s="113">
        <f t="shared" si="246"/>
        <v>0.65</v>
      </c>
      <c r="AI58" s="113">
        <f t="shared" si="247"/>
        <v>25</v>
      </c>
      <c r="AJ58" s="113">
        <f t="shared" si="196"/>
        <v>13.89</v>
      </c>
      <c r="AK58" s="113">
        <f t="shared" si="197"/>
        <v>46.11</v>
      </c>
      <c r="AL58" s="113">
        <f t="shared" si="248"/>
        <v>23.89</v>
      </c>
      <c r="AM58" t="s">
        <v>893</v>
      </c>
      <c r="AO58" s="13">
        <v>1</v>
      </c>
      <c r="AP58" s="120" t="str">
        <f>IF(AO58=1,CONCATENATE(AQ58,AR58,AS58),"")</f>
        <v>CrvDblQuad     "CoilClgDXEER11SEER13EIRRatio_fTwbToadbSI"                       Coef1 =  0.686684  Coef2 = -0.035826  Coef3 =  0.000781  Coef4 =  0.025564  Coef5 =  0.000163  Coef6 = -0.000559  _x000D_
                                                                                MaxOut = 1.510   MinOut = 0.650   MaxVar1 = 25.000   MinVar1 = 13.890   MaxVar2 = 46.110   MinVar2 = 23.890   _x000D_
..</v>
      </c>
      <c r="AQ58" s="120" t="str">
        <f t="shared" si="232"/>
        <v xml:space="preserve">CrvDblQuad     "CoilClgDXEER11SEER13EIRRatio_fTwbToadbSI"                       Coef1 =  0.686684  Coef2 = -0.035826  Coef3 =  0.000781  Coef4 =  0.025564  Coef5 =  0.000163  Coef6 = -0.000559  </v>
      </c>
      <c r="AR58" s="120" t="str">
        <f t="shared" si="233"/>
        <v xml:space="preserve">_x000D_
                                                                                MaxOut = 1.510   MinOut = 0.650   MaxVar1 = 25.000   MinVar1 = 13.890   MaxVar2 = 46.110   MinVar2 = 23.890   </v>
      </c>
      <c r="AS58" s="120" t="str">
        <f t="shared" si="234"/>
        <v>_x000D_
..</v>
      </c>
      <c r="AT58" s="13" t="str">
        <f t="shared" si="235"/>
        <v>CrvDblQuad</v>
      </c>
      <c r="AU58" s="13" t="str">
        <f t="shared" si="24"/>
        <v xml:space="preserve">     </v>
      </c>
      <c r="AV58" s="13" t="str">
        <f t="shared" ref="AV58:AV90" si="265">IF(AO58=1,CONCATENATE("""",N58,""""),"")</f>
        <v>"CoilClgDXEER11SEER13EIRRatio_fTwbToadbSI"</v>
      </c>
      <c r="AW58" s="13" t="str">
        <f t="shared" si="236"/>
        <v xml:space="preserve">                       </v>
      </c>
      <c r="AX58" s="13" t="str">
        <f t="shared" ref="AX58" si="266">IF($AO58=1,IF(ISBLANK(V58),"-",CONCATENATE(TEXT(V58," 0.000000;-0.000000"),"  ")),"")</f>
        <v xml:space="preserve"> 0.686684  </v>
      </c>
      <c r="AY58" s="13" t="str">
        <f t="shared" ref="AY58" si="267">IF($AO58=1,IF(ISBLANK(W58),"-",CONCATENATE(TEXT(W58," 0.000000;-0.000000"),"  ")),"")</f>
        <v xml:space="preserve">-0.035826  </v>
      </c>
      <c r="AZ58" s="13" t="str">
        <f t="shared" ref="AZ58" si="268">IF($AO58=1,IF(ISBLANK(X58),"-",CONCATENATE(TEXT(X58," 0.000000;-0.000000"),"  ")),"")</f>
        <v xml:space="preserve"> 0.000781  </v>
      </c>
      <c r="BA58" s="13" t="str">
        <f t="shared" ref="BA58" si="269">IF($AO58=1,IF(ISBLANK(Y58),"-",CONCATENATE(TEXT(Y58," 0.000000;-0.000000"),"  ")),"")</f>
        <v xml:space="preserve"> 0.025564  </v>
      </c>
      <c r="BB58" s="13" t="str">
        <f t="shared" ref="BB58" si="270">IF($AO58=1,IF(ISBLANK(Z58),"-",CONCATENATE(TEXT(Z58," 0.000000;-0.000000"),"  ")),"")</f>
        <v xml:space="preserve"> 0.000163  </v>
      </c>
      <c r="BC58" s="13" t="str">
        <f t="shared" ref="BC58" si="271">IF($AO58=1,IF(ISBLANK(AA58),"-",CONCATENATE(TEXT(AA58," 0.000000;-0.000000"),"  ")),"")</f>
        <v xml:space="preserve">-0.000559  </v>
      </c>
      <c r="BD58" s="13" t="str">
        <f t="shared" si="15"/>
        <v xml:space="preserve">_x000D_
                                                                                </v>
      </c>
      <c r="BE58" s="13" t="str">
        <f t="shared" si="238"/>
        <v xml:space="preserve">1.510   </v>
      </c>
      <c r="BF58" s="13" t="str">
        <f t="shared" si="239"/>
        <v xml:space="preserve">0.650   </v>
      </c>
      <c r="BG58" s="13" t="str">
        <f t="shared" si="240"/>
        <v xml:space="preserve">25.000   </v>
      </c>
      <c r="BH58" s="13" t="str">
        <f t="shared" si="241"/>
        <v xml:space="preserve">13.890   </v>
      </c>
      <c r="BI58" s="13" t="str">
        <f t="shared" si="242"/>
        <v xml:space="preserve">46.110   </v>
      </c>
      <c r="BJ58" s="13" t="str">
        <f t="shared" si="243"/>
        <v xml:space="preserve">23.890   </v>
      </c>
      <c r="BM58" s="13" t="str">
        <f t="shared" si="262"/>
        <v>Twb</v>
      </c>
      <c r="BN58" s="13" t="str">
        <f t="shared" si="263"/>
        <v>Toadb</v>
      </c>
      <c r="BO58" s="13">
        <v>19.399999999999999</v>
      </c>
      <c r="BP58" s="118">
        <f>(BP57-32)/1.8</f>
        <v>35</v>
      </c>
      <c r="BQ58" s="118">
        <f t="shared" ref="BQ58" si="272">(BQ57-32)/1.8</f>
        <v>25</v>
      </c>
      <c r="BR58" s="118">
        <f t="shared" ref="BR58" si="273">(BR57-32)/1.8</f>
        <v>13.888888888888889</v>
      </c>
      <c r="BS58" s="118">
        <f t="shared" ref="BS58" si="274">(BS57-32)/1.8</f>
        <v>46.111111111111107</v>
      </c>
      <c r="BT58" s="118">
        <f t="shared" ref="BT58" si="275">(BT57-32)/1.8</f>
        <v>23.888888888888889</v>
      </c>
      <c r="BU58" s="104">
        <f t="shared" ref="BU58:BU68" si="276">$V58+$W58*BO58+$X58*BO58^2+$Y58*BP58+$Z58*BP58^2+$AA58*BO58*BP58</f>
        <v>1.0008942937879999</v>
      </c>
      <c r="BV58" s="104">
        <f t="shared" si="260"/>
        <v>1.5080109291493826</v>
      </c>
      <c r="BW58" s="104">
        <f t="shared" si="261"/>
        <v>0.6490985644580245</v>
      </c>
      <c r="BX58" s="13" t="s">
        <v>729</v>
      </c>
      <c r="CB58" s="13">
        <f>1/3</f>
        <v>0.33333333333333331</v>
      </c>
      <c r="CC58" s="13" t="s">
        <v>736</v>
      </c>
      <c r="CD58" s="95">
        <f>$CB58*BV58</f>
        <v>0.50267030971646087</v>
      </c>
      <c r="CE58" s="95">
        <f>$CB58*BW58</f>
        <v>0.21636618815267483</v>
      </c>
      <c r="CF58" s="13" t="s">
        <v>737</v>
      </c>
    </row>
    <row r="59" spans="2:84" hidden="1" outlineLevel="1" x14ac:dyDescent="0.3">
      <c r="E59" s="13" t="s">
        <v>306</v>
      </c>
      <c r="F59" s="13" t="s">
        <v>401</v>
      </c>
      <c r="G59" s="22" t="s">
        <v>544</v>
      </c>
      <c r="H59" s="13" t="s">
        <v>906</v>
      </c>
      <c r="I59" s="13" t="s">
        <v>660</v>
      </c>
      <c r="J59" s="13" t="s">
        <v>144</v>
      </c>
      <c r="L59" s="15" t="s">
        <v>171</v>
      </c>
      <c r="M59" s="21" t="s">
        <v>169</v>
      </c>
      <c r="N59" s="13" t="str">
        <f t="shared" si="264"/>
        <v>CoilClgDXEER11SEER15EIRRatio_fTwbToadbSI</v>
      </c>
      <c r="O59" s="13" t="s">
        <v>165</v>
      </c>
      <c r="P59" s="13" t="s">
        <v>288</v>
      </c>
      <c r="Q59" s="13" t="s">
        <v>116</v>
      </c>
      <c r="R59" s="13" t="s">
        <v>460</v>
      </c>
      <c r="V59" s="136">
        <v>-0.19999207490000001</v>
      </c>
      <c r="W59" s="136">
        <v>-3.5685746099999999E-2</v>
      </c>
      <c r="X59" s="136">
        <v>7.865557E-4</v>
      </c>
      <c r="Y59" s="136">
        <v>7.4834090000000006E-2</v>
      </c>
      <c r="Z59" s="136">
        <v>-5.1612809999999996E-4</v>
      </c>
      <c r="AA59" s="136">
        <v>-5.734968E-4</v>
      </c>
      <c r="AF59" s="61"/>
      <c r="AG59" s="113">
        <f t="shared" si="245"/>
        <v>1.44</v>
      </c>
      <c r="AH59" s="113">
        <f t="shared" si="246"/>
        <v>0.55000000000000004</v>
      </c>
      <c r="AI59" s="113">
        <f t="shared" si="247"/>
        <v>25</v>
      </c>
      <c r="AJ59" s="113">
        <f t="shared" si="196"/>
        <v>13.89</v>
      </c>
      <c r="AK59" s="113">
        <f t="shared" si="197"/>
        <v>46.11</v>
      </c>
      <c r="AL59" s="113">
        <f t="shared" si="248"/>
        <v>23.89</v>
      </c>
      <c r="AM59" t="s">
        <v>894</v>
      </c>
      <c r="AO59" s="13">
        <v>1</v>
      </c>
      <c r="AP59" s="120" t="str">
        <f t="shared" ref="AP59:AP63" si="277">IF(AO59=1,CONCATENATE(AQ59,AR59,AS59),"")</f>
        <v>CrvDblQuad     "CoilClgDXEER11SEER15EIRRatio_fTwbToadbSI"                       Coef1 = -0.199992  Coef2 = -0.035686  Coef3 =  0.000787  Coef4 =  0.074834  Coef5 = -0.000516  Coef6 = -0.000573  _x000D_
                                                                                MaxOut = 1.440   MinOut = 0.550   MaxVar1 = 25.000   MinVar1 = 13.890   MaxVar2 = 46.110   MinVar2 = 23.890   _x000D_
..</v>
      </c>
      <c r="AQ59" s="120" t="str">
        <f t="shared" ref="AQ59:AQ63" si="278">IF(AO59=1,CONCATENATE(AT59,AU59,AV59,AW59,IF(AX59="-","",$AX$15&amp;AX59),IF(AY59="-","",$AY$15&amp;AY59),IF(AZ59="-","",$AZ$15&amp;AZ59),IF(BA59="-","",$BA$15&amp;BA59),IF(BB59="-","",$BB$15&amp;BB59),IF(BC59="-","",$BC$15&amp;BC59)),"")</f>
        <v xml:space="preserve">CrvDblQuad     "CoilClgDXEER11SEER15EIRRatio_fTwbToadbSI"                       Coef1 = -0.199992  Coef2 = -0.035686  Coef3 =  0.000787  Coef4 =  0.074834  Coef5 = -0.000516  Coef6 = -0.000573  </v>
      </c>
      <c r="AR59" s="120" t="str">
        <f t="shared" ref="AR59:AR63" si="279">IF(AO59=1,CONCATENATE(BD59,IF(BE59="-","",$BE$15&amp;BE59),IF(BF59="-","",$BF$15&amp;BF59),IF(BG59="-","",$BG$15&amp;BG59),IF(BH59="-","",$BH$15&amp;BH59),IF(BI59="-","",$BI$15&amp;BI59),IF(BJ59="-","",$BJ$15&amp;BJ59)),"")</f>
        <v xml:space="preserve">_x000D_
                                                                                MaxOut = 1.440   MinOut = 0.550   MaxVar1 = 25.000   MinVar1 = 13.890   MaxVar2 = 46.110   MinVar2 = 23.890   </v>
      </c>
      <c r="AS59" s="120" t="str">
        <f t="shared" ref="AS59:AS63" si="280">IF(AO59=1,CHAR(13)&amp;CHAR(10)&amp;"..","")</f>
        <v>_x000D_
..</v>
      </c>
      <c r="AT59" s="13" t="str">
        <f t="shared" ref="AT59:AT63" si="281">IF(AO59=1,VLOOKUP(O59,$AT$2:$AV$13,2,0),"")</f>
        <v>CrvDblQuad</v>
      </c>
      <c r="AU59" s="13" t="str">
        <f t="shared" ref="AU59:AU63" si="282">REPT(" ",AU$14-LEN(AT59))</f>
        <v xml:space="preserve">     </v>
      </c>
      <c r="AV59" s="13" t="str">
        <f t="shared" si="265"/>
        <v>"CoilClgDXEER11SEER15EIRRatio_fTwbToadbSI"</v>
      </c>
      <c r="AW59" s="13" t="str">
        <f t="shared" ref="AW59:AW63" si="283">REPT(" ",$AW$14-LEN(AV59))</f>
        <v xml:space="preserve">                       </v>
      </c>
      <c r="AX59" s="13" t="str">
        <f t="shared" ref="AX59:AX63" si="284">IF($AO59=1,IF(ISBLANK(V59),"-",CONCATENATE(TEXT(V59," 0.000000;-0.000000"),"  ")),"")</f>
        <v xml:space="preserve">-0.199992  </v>
      </c>
      <c r="AY59" s="13" t="str">
        <f t="shared" ref="AY59:AY63" si="285">IF($AO59=1,IF(ISBLANK(W59),"-",CONCATENATE(TEXT(W59," 0.000000;-0.000000"),"  ")),"")</f>
        <v xml:space="preserve">-0.035686  </v>
      </c>
      <c r="AZ59" s="13" t="str">
        <f t="shared" ref="AZ59:AZ63" si="286">IF($AO59=1,IF(ISBLANK(X59),"-",CONCATENATE(TEXT(X59," 0.000000;-0.000000"),"  ")),"")</f>
        <v xml:space="preserve"> 0.000787  </v>
      </c>
      <c r="BA59" s="13" t="str">
        <f t="shared" ref="BA59:BA63" si="287">IF($AO59=1,IF(ISBLANK(Y59),"-",CONCATENATE(TEXT(Y59," 0.000000;-0.000000"),"  ")),"")</f>
        <v xml:space="preserve"> 0.074834  </v>
      </c>
      <c r="BB59" s="13" t="str">
        <f t="shared" ref="BB59:BB63" si="288">IF($AO59=1,IF(ISBLANK(Z59),"-",CONCATENATE(TEXT(Z59," 0.000000;-0.000000"),"  ")),"")</f>
        <v xml:space="preserve">-0.000516  </v>
      </c>
      <c r="BC59" s="13" t="str">
        <f t="shared" ref="BC59:BC63" si="289">IF($AO59=1,IF(ISBLANK(AA59),"-",CONCATENATE(TEXT(AA59," 0.000000;-0.000000"),"  ")),"")</f>
        <v xml:space="preserve">-0.000573  </v>
      </c>
      <c r="BD59" s="13" t="str">
        <f t="shared" ref="BD59:BD63" si="290">IF(MAX(AG59:AL59)=0,REPT(" ",1),CHAR(13)&amp;CHAR(10)&amp;REPT(" ",BD$14))</f>
        <v xml:space="preserve">_x000D_
                                                                                </v>
      </c>
      <c r="BE59" s="13" t="str">
        <f t="shared" si="238"/>
        <v xml:space="preserve">1.440   </v>
      </c>
      <c r="BF59" s="13" t="str">
        <f t="shared" si="239"/>
        <v xml:space="preserve">0.550   </v>
      </c>
      <c r="BG59" s="13" t="str">
        <f t="shared" si="240"/>
        <v xml:space="preserve">25.000   </v>
      </c>
      <c r="BH59" s="13" t="str">
        <f t="shared" si="241"/>
        <v xml:space="preserve">13.890   </v>
      </c>
      <c r="BI59" s="13" t="str">
        <f t="shared" si="242"/>
        <v xml:space="preserve">46.110   </v>
      </c>
      <c r="BJ59" s="13" t="str">
        <f t="shared" si="243"/>
        <v xml:space="preserve">23.890   </v>
      </c>
      <c r="BM59" s="13" t="str">
        <f t="shared" ref="BM59:BN63" si="291">Q59</f>
        <v>Twb</v>
      </c>
      <c r="BN59" s="13" t="str">
        <f t="shared" si="291"/>
        <v>Toadb</v>
      </c>
      <c r="BO59" s="118">
        <f>BO58</f>
        <v>19.399999999999999</v>
      </c>
      <c r="BP59" s="118">
        <f>BP58</f>
        <v>35</v>
      </c>
      <c r="BQ59" s="118">
        <f t="shared" ref="BQ59:BT59" si="292">BQ58</f>
        <v>25</v>
      </c>
      <c r="BR59" s="118">
        <f>BR58</f>
        <v>13.888888888888889</v>
      </c>
      <c r="BS59" s="118">
        <f t="shared" si="292"/>
        <v>46.111111111111107</v>
      </c>
      <c r="BT59" s="118">
        <f t="shared" si="292"/>
        <v>23.888888888888889</v>
      </c>
      <c r="BU59" s="104">
        <f t="shared" si="276"/>
        <v>1.0012644543120004</v>
      </c>
      <c r="BV59" s="104">
        <f t="shared" si="260"/>
        <v>1.4420880001308647</v>
      </c>
      <c r="BW59" s="104">
        <f t="shared" si="261"/>
        <v>0.55011633852592623</v>
      </c>
      <c r="BX59" s="13" t="s">
        <v>729</v>
      </c>
      <c r="CB59" s="13">
        <f t="shared" ref="CB59:CB63" si="293">1/3</f>
        <v>0.33333333333333331</v>
      </c>
      <c r="CC59" s="13" t="s">
        <v>736</v>
      </c>
      <c r="CD59" s="95">
        <f t="shared" ref="CD59:CD63" si="294">$CB59*BV59</f>
        <v>0.48069600004362156</v>
      </c>
      <c r="CE59" s="95">
        <f t="shared" ref="CE59:CE63" si="295">$CB59*BW59</f>
        <v>0.18337211284197541</v>
      </c>
      <c r="CF59" s="13" t="s">
        <v>737</v>
      </c>
    </row>
    <row r="60" spans="2:84" hidden="1" outlineLevel="1" x14ac:dyDescent="0.3">
      <c r="E60" s="13" t="s">
        <v>306</v>
      </c>
      <c r="F60" s="13" t="s">
        <v>401</v>
      </c>
      <c r="G60" s="22" t="s">
        <v>544</v>
      </c>
      <c r="H60" s="13" t="s">
        <v>910</v>
      </c>
      <c r="I60" s="13" t="s">
        <v>660</v>
      </c>
      <c r="J60" s="13" t="s">
        <v>144</v>
      </c>
      <c r="L60" s="15" t="s">
        <v>171</v>
      </c>
      <c r="M60" s="21" t="s">
        <v>169</v>
      </c>
      <c r="N60" s="13" t="str">
        <f t="shared" si="264"/>
        <v>CoilClgDXEER11SEER17EIRRatio_fTwbToadbSI</v>
      </c>
      <c r="O60" s="13" t="s">
        <v>165</v>
      </c>
      <c r="P60" s="13" t="s">
        <v>288</v>
      </c>
      <c r="Q60" s="13" t="s">
        <v>116</v>
      </c>
      <c r="R60" s="13" t="s">
        <v>460</v>
      </c>
      <c r="V60" s="136">
        <v>-1.7904739961</v>
      </c>
      <c r="W60" s="136">
        <v>-2.87772944E-2</v>
      </c>
      <c r="X60" s="136">
        <v>7.6288609999999998E-4</v>
      </c>
      <c r="Y60" s="136">
        <v>0.15339063089999999</v>
      </c>
      <c r="Z60" s="136">
        <v>-1.4824492999999999E-3</v>
      </c>
      <c r="AA60" s="136">
        <v>-7.2065360000000001E-4</v>
      </c>
      <c r="AF60" s="61"/>
      <c r="AG60" s="113">
        <f t="shared" si="245"/>
        <v>1.42</v>
      </c>
      <c r="AH60" s="113">
        <f t="shared" si="246"/>
        <v>0.35</v>
      </c>
      <c r="AI60" s="113">
        <f t="shared" si="247"/>
        <v>25</v>
      </c>
      <c r="AJ60" s="113">
        <f t="shared" si="196"/>
        <v>13.89</v>
      </c>
      <c r="AK60" s="113">
        <f t="shared" si="197"/>
        <v>46.11</v>
      </c>
      <c r="AL60" s="113">
        <f t="shared" si="248"/>
        <v>23.89</v>
      </c>
      <c r="AM60" t="s">
        <v>895</v>
      </c>
      <c r="AO60" s="13">
        <v>1</v>
      </c>
      <c r="AP60" s="120" t="str">
        <f t="shared" si="277"/>
        <v>CrvDblQuad     "CoilClgDXEER11SEER17EIRRatio_fTwbToadbSI"                       Coef1 = -1.790474  Coef2 = -0.028777  Coef3 =  0.000763  Coef4 =  0.153391  Coef5 = -0.001482  Coef6 = -0.000721  _x000D_
                                                                                MaxOut = 1.420   MinOut = 0.350   MaxVar1 = 25.000   MinVar1 = 13.890   MaxVar2 = 46.110   MinVar2 = 23.890   _x000D_
..</v>
      </c>
      <c r="AQ60" s="120" t="str">
        <f t="shared" si="278"/>
        <v xml:space="preserve">CrvDblQuad     "CoilClgDXEER11SEER17EIRRatio_fTwbToadbSI"                       Coef1 = -1.790474  Coef2 = -0.028777  Coef3 =  0.000763  Coef4 =  0.153391  Coef5 = -0.001482  Coef6 = -0.000721  </v>
      </c>
      <c r="AR60" s="120" t="str">
        <f t="shared" si="279"/>
        <v xml:space="preserve">_x000D_
                                                                                MaxOut = 1.420   MinOut = 0.350   MaxVar1 = 25.000   MinVar1 = 13.890   MaxVar2 = 46.110   MinVar2 = 23.890   </v>
      </c>
      <c r="AS60" s="120" t="str">
        <f t="shared" si="280"/>
        <v>_x000D_
..</v>
      </c>
      <c r="AT60" s="13" t="str">
        <f t="shared" si="281"/>
        <v>CrvDblQuad</v>
      </c>
      <c r="AU60" s="13" t="str">
        <f t="shared" si="282"/>
        <v xml:space="preserve">     </v>
      </c>
      <c r="AV60" s="13" t="str">
        <f t="shared" si="265"/>
        <v>"CoilClgDXEER11SEER17EIRRatio_fTwbToadbSI"</v>
      </c>
      <c r="AW60" s="13" t="str">
        <f t="shared" si="283"/>
        <v xml:space="preserve">                       </v>
      </c>
      <c r="AX60" s="13" t="str">
        <f t="shared" si="284"/>
        <v xml:space="preserve">-1.790474  </v>
      </c>
      <c r="AY60" s="13" t="str">
        <f t="shared" si="285"/>
        <v xml:space="preserve">-0.028777  </v>
      </c>
      <c r="AZ60" s="13" t="str">
        <f t="shared" si="286"/>
        <v xml:space="preserve"> 0.000763  </v>
      </c>
      <c r="BA60" s="13" t="str">
        <f t="shared" si="287"/>
        <v xml:space="preserve"> 0.153391  </v>
      </c>
      <c r="BB60" s="13" t="str">
        <f t="shared" si="288"/>
        <v xml:space="preserve">-0.001482  </v>
      </c>
      <c r="BC60" s="13" t="str">
        <f t="shared" si="289"/>
        <v xml:space="preserve">-0.000721  </v>
      </c>
      <c r="BD60" s="13" t="str">
        <f t="shared" si="290"/>
        <v xml:space="preserve">_x000D_
                                                                                </v>
      </c>
      <c r="BE60" s="13" t="str">
        <f t="shared" si="238"/>
        <v xml:space="preserve">1.420   </v>
      </c>
      <c r="BF60" s="13" t="str">
        <f t="shared" si="239"/>
        <v xml:space="preserve">0.350   </v>
      </c>
      <c r="BG60" s="13" t="str">
        <f t="shared" si="240"/>
        <v xml:space="preserve">25.000   </v>
      </c>
      <c r="BH60" s="13" t="str">
        <f t="shared" si="241"/>
        <v xml:space="preserve">13.890   </v>
      </c>
      <c r="BI60" s="13" t="str">
        <f t="shared" si="242"/>
        <v xml:space="preserve">46.110   </v>
      </c>
      <c r="BJ60" s="13" t="str">
        <f t="shared" si="243"/>
        <v xml:space="preserve">23.890   </v>
      </c>
      <c r="BM60" s="13" t="str">
        <f t="shared" si="291"/>
        <v>Twb</v>
      </c>
      <c r="BN60" s="13" t="str">
        <f t="shared" si="291"/>
        <v>Toadb</v>
      </c>
      <c r="BO60" s="118">
        <f t="shared" ref="BO60:BP63" si="296">BO59</f>
        <v>19.399999999999999</v>
      </c>
      <c r="BP60" s="118">
        <f t="shared" si="296"/>
        <v>35</v>
      </c>
      <c r="BQ60" s="118">
        <f t="shared" ref="BQ60:BQ63" si="297">BQ59</f>
        <v>25</v>
      </c>
      <c r="BR60" s="118">
        <f t="shared" ref="BR60:BR63" si="298">BR59</f>
        <v>13.888888888888889</v>
      </c>
      <c r="BS60" s="118">
        <f t="shared" ref="BS60:BS63" si="299">BS59</f>
        <v>46.111111111111107</v>
      </c>
      <c r="BT60" s="118">
        <f t="shared" ref="BT60:BT63" si="300">BT59</f>
        <v>23.888888888888889</v>
      </c>
      <c r="BU60" s="104">
        <f t="shared" si="276"/>
        <v>1.0017141997359997</v>
      </c>
      <c r="BV60" s="104">
        <f t="shared" si="260"/>
        <v>1.4164508104617282</v>
      </c>
      <c r="BW60" s="104">
        <f t="shared" si="261"/>
        <v>0.35483614774567901</v>
      </c>
      <c r="BX60" s="13" t="s">
        <v>729</v>
      </c>
      <c r="CB60" s="13">
        <f t="shared" si="293"/>
        <v>0.33333333333333331</v>
      </c>
      <c r="CC60" s="13" t="s">
        <v>736</v>
      </c>
      <c r="CD60" s="95">
        <f t="shared" si="294"/>
        <v>0.47215027015390937</v>
      </c>
      <c r="CE60" s="95">
        <f t="shared" si="295"/>
        <v>0.11827871591522633</v>
      </c>
      <c r="CF60" s="13" t="s">
        <v>737</v>
      </c>
    </row>
    <row r="61" spans="2:84" hidden="1" outlineLevel="1" x14ac:dyDescent="0.3">
      <c r="E61" s="13" t="s">
        <v>306</v>
      </c>
      <c r="F61" s="13" t="s">
        <v>401</v>
      </c>
      <c r="G61" s="22" t="s">
        <v>544</v>
      </c>
      <c r="H61" s="13" t="s">
        <v>907</v>
      </c>
      <c r="I61" s="13" t="s">
        <v>660</v>
      </c>
      <c r="J61" s="13" t="s">
        <v>144</v>
      </c>
      <c r="L61" s="15" t="s">
        <v>171</v>
      </c>
      <c r="M61" s="21" t="s">
        <v>169</v>
      </c>
      <c r="N61" s="13" t="str">
        <f t="shared" si="264"/>
        <v>CoilClgDXEER13SEER16EIRRatio_fTwbToadbSI</v>
      </c>
      <c r="O61" s="13" t="s">
        <v>165</v>
      </c>
      <c r="P61" s="13" t="s">
        <v>288</v>
      </c>
      <c r="Q61" s="13" t="s">
        <v>116</v>
      </c>
      <c r="R61" s="13" t="s">
        <v>460</v>
      </c>
      <c r="V61" s="136">
        <v>-1.2471210388</v>
      </c>
      <c r="W61" s="136">
        <v>-2.75131006E-2</v>
      </c>
      <c r="X61" s="136">
        <v>7.5193649999999999E-4</v>
      </c>
      <c r="Y61" s="136">
        <v>0.1211232191</v>
      </c>
      <c r="Z61" s="136">
        <v>-1.0125734E-3</v>
      </c>
      <c r="AA61" s="136">
        <v>-7.3577820000000004E-4</v>
      </c>
      <c r="AF61" s="61"/>
      <c r="AG61" s="113">
        <f t="shared" si="245"/>
        <v>1.48</v>
      </c>
      <c r="AH61" s="113">
        <f t="shared" si="246"/>
        <v>0.41</v>
      </c>
      <c r="AI61" s="113">
        <f t="shared" si="247"/>
        <v>25</v>
      </c>
      <c r="AJ61" s="113">
        <f t="shared" si="196"/>
        <v>13.89</v>
      </c>
      <c r="AK61" s="113">
        <f t="shared" si="197"/>
        <v>46.11</v>
      </c>
      <c r="AL61" s="113">
        <f t="shared" si="248"/>
        <v>23.89</v>
      </c>
      <c r="AM61" t="s">
        <v>896</v>
      </c>
      <c r="AO61" s="13">
        <v>1</v>
      </c>
      <c r="AP61" s="120" t="str">
        <f t="shared" si="277"/>
        <v>CrvDblQuad     "CoilClgDXEER13SEER16EIRRatio_fTwbToadbSI"                       Coef1 = -1.247121  Coef2 = -0.027513  Coef3 =  0.000752  Coef4 =  0.121123  Coef5 = -0.001013  Coef6 = -0.000736  _x000D_
                                                                                MaxOut = 1.480   MinOut = 0.410   MaxVar1 = 25.000   MinVar1 = 13.890   MaxVar2 = 46.110   MinVar2 = 23.890   _x000D_
..</v>
      </c>
      <c r="AQ61" s="120" t="str">
        <f t="shared" si="278"/>
        <v xml:space="preserve">CrvDblQuad     "CoilClgDXEER13SEER16EIRRatio_fTwbToadbSI"                       Coef1 = -1.247121  Coef2 = -0.027513  Coef3 =  0.000752  Coef4 =  0.121123  Coef5 = -0.001013  Coef6 = -0.000736  </v>
      </c>
      <c r="AR61" s="120" t="str">
        <f t="shared" si="279"/>
        <v xml:space="preserve">_x000D_
                                                                                MaxOut = 1.480   MinOut = 0.410   MaxVar1 = 25.000   MinVar1 = 13.890   MaxVar2 = 46.110   MinVar2 = 23.890   </v>
      </c>
      <c r="AS61" s="120" t="str">
        <f t="shared" si="280"/>
        <v>_x000D_
..</v>
      </c>
      <c r="AT61" s="13" t="str">
        <f t="shared" si="281"/>
        <v>CrvDblQuad</v>
      </c>
      <c r="AU61" s="13" t="str">
        <f t="shared" si="282"/>
        <v xml:space="preserve">     </v>
      </c>
      <c r="AV61" s="13" t="str">
        <f t="shared" si="265"/>
        <v>"CoilClgDXEER13SEER16EIRRatio_fTwbToadbSI"</v>
      </c>
      <c r="AW61" s="13" t="str">
        <f t="shared" si="283"/>
        <v xml:space="preserve">                       </v>
      </c>
      <c r="AX61" s="13" t="str">
        <f t="shared" si="284"/>
        <v xml:space="preserve">-1.247121  </v>
      </c>
      <c r="AY61" s="13" t="str">
        <f t="shared" si="285"/>
        <v xml:space="preserve">-0.027513  </v>
      </c>
      <c r="AZ61" s="13" t="str">
        <f t="shared" si="286"/>
        <v xml:space="preserve"> 0.000752  </v>
      </c>
      <c r="BA61" s="13" t="str">
        <f t="shared" si="287"/>
        <v xml:space="preserve"> 0.121123  </v>
      </c>
      <c r="BB61" s="13" t="str">
        <f t="shared" si="288"/>
        <v xml:space="preserve">-0.001013  </v>
      </c>
      <c r="BC61" s="13" t="str">
        <f t="shared" si="289"/>
        <v xml:space="preserve">-0.000736  </v>
      </c>
      <c r="BD61" s="13" t="str">
        <f t="shared" si="290"/>
        <v xml:space="preserve">_x000D_
                                                                                </v>
      </c>
      <c r="BE61" s="13" t="str">
        <f t="shared" si="238"/>
        <v xml:space="preserve">1.480   </v>
      </c>
      <c r="BF61" s="13" t="str">
        <f t="shared" si="239"/>
        <v xml:space="preserve">0.410   </v>
      </c>
      <c r="BG61" s="13" t="str">
        <f t="shared" si="240"/>
        <v xml:space="preserve">25.000   </v>
      </c>
      <c r="BH61" s="13" t="str">
        <f t="shared" si="241"/>
        <v xml:space="preserve">13.890   </v>
      </c>
      <c r="BI61" s="13" t="str">
        <f t="shared" si="242"/>
        <v xml:space="preserve">46.110   </v>
      </c>
      <c r="BJ61" s="13" t="str">
        <f t="shared" si="243"/>
        <v xml:space="preserve">23.890   </v>
      </c>
      <c r="BM61" s="13" t="str">
        <f t="shared" si="291"/>
        <v>Twb</v>
      </c>
      <c r="BN61" s="13" t="str">
        <f t="shared" si="291"/>
        <v>Toadb</v>
      </c>
      <c r="BO61" s="118">
        <f t="shared" si="296"/>
        <v>19.399999999999999</v>
      </c>
      <c r="BP61" s="118">
        <f t="shared" si="296"/>
        <v>35</v>
      </c>
      <c r="BQ61" s="118">
        <f t="shared" si="297"/>
        <v>25</v>
      </c>
      <c r="BR61" s="118">
        <f t="shared" si="298"/>
        <v>13.888888888888889</v>
      </c>
      <c r="BS61" s="118">
        <f t="shared" si="299"/>
        <v>46.111111111111107</v>
      </c>
      <c r="BT61" s="118">
        <f t="shared" si="300"/>
        <v>23.888888888888889</v>
      </c>
      <c r="BU61" s="104">
        <f t="shared" si="276"/>
        <v>1.0014404863999999</v>
      </c>
      <c r="BV61" s="104">
        <f t="shared" si="260"/>
        <v>1.4767437147308642</v>
      </c>
      <c r="BW61" s="104">
        <f t="shared" si="261"/>
        <v>0.41123340213827186</v>
      </c>
      <c r="BX61" s="13" t="s">
        <v>729</v>
      </c>
      <c r="CB61" s="13">
        <f t="shared" si="293"/>
        <v>0.33333333333333331</v>
      </c>
      <c r="CC61" s="13" t="s">
        <v>736</v>
      </c>
      <c r="CD61" s="95">
        <f t="shared" si="294"/>
        <v>0.49224790491028803</v>
      </c>
      <c r="CE61" s="95">
        <f t="shared" si="295"/>
        <v>0.13707780071275727</v>
      </c>
      <c r="CF61" s="13" t="s">
        <v>737</v>
      </c>
    </row>
    <row r="62" spans="2:84" hidden="1" outlineLevel="1" x14ac:dyDescent="0.3">
      <c r="E62" s="13" t="s">
        <v>306</v>
      </c>
      <c r="F62" s="13" t="s">
        <v>401</v>
      </c>
      <c r="G62" s="22" t="s">
        <v>544</v>
      </c>
      <c r="H62" s="13" t="s">
        <v>908</v>
      </c>
      <c r="I62" s="13" t="s">
        <v>660</v>
      </c>
      <c r="J62" s="13" t="s">
        <v>144</v>
      </c>
      <c r="L62" s="15" t="s">
        <v>171</v>
      </c>
      <c r="M62" s="21" t="s">
        <v>169</v>
      </c>
      <c r="N62" s="13" t="str">
        <f t="shared" si="264"/>
        <v>CoilClgDXEER13SEER18EIRRatio_fTwbToadbSI</v>
      </c>
      <c r="O62" s="13" t="s">
        <v>165</v>
      </c>
      <c r="P62" s="13" t="s">
        <v>288</v>
      </c>
      <c r="Q62" s="13" t="s">
        <v>116</v>
      </c>
      <c r="R62" s="13" t="s">
        <v>460</v>
      </c>
      <c r="V62" s="136">
        <v>-2.7249195793999998</v>
      </c>
      <c r="W62" s="136">
        <v>-2.1119805299999999E-2</v>
      </c>
      <c r="X62" s="136">
        <v>7.2996729999999998E-4</v>
      </c>
      <c r="Y62" s="136">
        <v>0.194127624</v>
      </c>
      <c r="Z62" s="136">
        <v>-1.9107555E-3</v>
      </c>
      <c r="AA62" s="136">
        <v>-8.7189989999999996E-4</v>
      </c>
      <c r="AF62" s="61"/>
      <c r="AG62" s="113">
        <f t="shared" si="245"/>
        <v>1.45</v>
      </c>
      <c r="AH62" s="113">
        <f t="shared" si="246"/>
        <v>0.23</v>
      </c>
      <c r="AI62" s="113">
        <f t="shared" si="247"/>
        <v>25</v>
      </c>
      <c r="AJ62" s="113">
        <f t="shared" si="196"/>
        <v>13.89</v>
      </c>
      <c r="AK62" s="113">
        <f t="shared" si="197"/>
        <v>46.11</v>
      </c>
      <c r="AL62" s="113">
        <f t="shared" si="248"/>
        <v>23.89</v>
      </c>
      <c r="AM62" t="s">
        <v>897</v>
      </c>
      <c r="AO62" s="13">
        <v>1</v>
      </c>
      <c r="AP62" s="120" t="str">
        <f t="shared" si="277"/>
        <v>CrvDblQuad     "CoilClgDXEER13SEER18EIRRatio_fTwbToadbSI"                       Coef1 = -2.724920  Coef2 = -0.021120  Coef3 =  0.000730  Coef4 =  0.194128  Coef5 = -0.001911  Coef6 = -0.000872  _x000D_
                                                                                MaxOut = 1.450   MinOut = 0.230   MaxVar1 = 25.000   MinVar1 = 13.890   MaxVar2 = 46.110   MinVar2 = 23.890   _x000D_
..</v>
      </c>
      <c r="AQ62" s="120" t="str">
        <f t="shared" si="278"/>
        <v xml:space="preserve">CrvDblQuad     "CoilClgDXEER13SEER18EIRRatio_fTwbToadbSI"                       Coef1 = -2.724920  Coef2 = -0.021120  Coef3 =  0.000730  Coef4 =  0.194128  Coef5 = -0.001911  Coef6 = -0.000872  </v>
      </c>
      <c r="AR62" s="120" t="str">
        <f t="shared" si="279"/>
        <v xml:space="preserve">_x000D_
                                                                                MaxOut = 1.450   MinOut = 0.230   MaxVar1 = 25.000   MinVar1 = 13.890   MaxVar2 = 46.110   MinVar2 = 23.890   </v>
      </c>
      <c r="AS62" s="120" t="str">
        <f t="shared" si="280"/>
        <v>_x000D_
..</v>
      </c>
      <c r="AT62" s="13" t="str">
        <f t="shared" si="281"/>
        <v>CrvDblQuad</v>
      </c>
      <c r="AU62" s="13" t="str">
        <f t="shared" si="282"/>
        <v xml:space="preserve">     </v>
      </c>
      <c r="AV62" s="13" t="str">
        <f t="shared" si="265"/>
        <v>"CoilClgDXEER13SEER18EIRRatio_fTwbToadbSI"</v>
      </c>
      <c r="AW62" s="13" t="str">
        <f t="shared" si="283"/>
        <v xml:space="preserve">                       </v>
      </c>
      <c r="AX62" s="13" t="str">
        <f t="shared" si="284"/>
        <v xml:space="preserve">-2.724920  </v>
      </c>
      <c r="AY62" s="13" t="str">
        <f t="shared" si="285"/>
        <v xml:space="preserve">-0.021120  </v>
      </c>
      <c r="AZ62" s="13" t="str">
        <f t="shared" si="286"/>
        <v xml:space="preserve"> 0.000730  </v>
      </c>
      <c r="BA62" s="13" t="str">
        <f t="shared" si="287"/>
        <v xml:space="preserve"> 0.194128  </v>
      </c>
      <c r="BB62" s="13" t="str">
        <f t="shared" si="288"/>
        <v xml:space="preserve">-0.001911  </v>
      </c>
      <c r="BC62" s="13" t="str">
        <f t="shared" si="289"/>
        <v xml:space="preserve">-0.000872  </v>
      </c>
      <c r="BD62" s="13" t="str">
        <f t="shared" si="290"/>
        <v xml:space="preserve">_x000D_
                                                                                </v>
      </c>
      <c r="BE62" s="13" t="str">
        <f t="shared" si="238"/>
        <v xml:space="preserve">1.450   </v>
      </c>
      <c r="BF62" s="13" t="str">
        <f t="shared" si="239"/>
        <v xml:space="preserve">0.230   </v>
      </c>
      <c r="BG62" s="13" t="str">
        <f t="shared" si="240"/>
        <v xml:space="preserve">25.000   </v>
      </c>
      <c r="BH62" s="13" t="str">
        <f t="shared" si="241"/>
        <v xml:space="preserve">13.890   </v>
      </c>
      <c r="BI62" s="13" t="str">
        <f t="shared" si="242"/>
        <v xml:space="preserve">46.110   </v>
      </c>
      <c r="BJ62" s="13" t="str">
        <f t="shared" si="243"/>
        <v xml:space="preserve">23.890   </v>
      </c>
      <c r="BM62" s="13" t="str">
        <f t="shared" si="291"/>
        <v>Twb</v>
      </c>
      <c r="BN62" s="13" t="str">
        <f t="shared" si="291"/>
        <v>Toadb</v>
      </c>
      <c r="BO62" s="118">
        <f t="shared" si="296"/>
        <v>19.399999999999999</v>
      </c>
      <c r="BP62" s="118">
        <f t="shared" si="296"/>
        <v>35</v>
      </c>
      <c r="BQ62" s="118">
        <f t="shared" si="297"/>
        <v>25</v>
      </c>
      <c r="BR62" s="118">
        <f t="shared" si="298"/>
        <v>13.888888888888889</v>
      </c>
      <c r="BS62" s="118">
        <f t="shared" si="299"/>
        <v>46.111111111111107</v>
      </c>
      <c r="BT62" s="118">
        <f t="shared" si="300"/>
        <v>23.888888888888889</v>
      </c>
      <c r="BU62" s="104">
        <f t="shared" si="276"/>
        <v>1.0018580112080004</v>
      </c>
      <c r="BV62" s="104">
        <f t="shared" si="260"/>
        <v>1.4528947470197533</v>
      </c>
      <c r="BW62" s="104">
        <f t="shared" si="261"/>
        <v>0.22966203319259304</v>
      </c>
      <c r="BX62" s="13" t="s">
        <v>729</v>
      </c>
      <c r="CB62" s="13">
        <f t="shared" si="293"/>
        <v>0.33333333333333331</v>
      </c>
      <c r="CC62" s="13" t="s">
        <v>736</v>
      </c>
      <c r="CD62" s="95">
        <f t="shared" si="294"/>
        <v>0.48429824900658441</v>
      </c>
      <c r="CE62" s="95">
        <f t="shared" si="295"/>
        <v>7.655401106419768E-2</v>
      </c>
      <c r="CF62" s="13" t="s">
        <v>737</v>
      </c>
    </row>
    <row r="63" spans="2:84" hidden="1" outlineLevel="1" x14ac:dyDescent="0.3">
      <c r="E63" s="13" t="s">
        <v>306</v>
      </c>
      <c r="F63" s="13" t="s">
        <v>401</v>
      </c>
      <c r="G63" s="22" t="s">
        <v>544</v>
      </c>
      <c r="H63" s="13" t="s">
        <v>909</v>
      </c>
      <c r="I63" s="13" t="s">
        <v>660</v>
      </c>
      <c r="J63" s="13" t="s">
        <v>144</v>
      </c>
      <c r="L63" s="15" t="s">
        <v>171</v>
      </c>
      <c r="M63" s="21" t="s">
        <v>169</v>
      </c>
      <c r="N63" s="13" t="str">
        <f t="shared" si="264"/>
        <v>CoilClgDXEER13SEER20EIRRatio_fTwbToadbSI</v>
      </c>
      <c r="O63" s="13" t="s">
        <v>165</v>
      </c>
      <c r="P63" s="13" t="s">
        <v>288</v>
      </c>
      <c r="Q63" s="13" t="s">
        <v>116</v>
      </c>
      <c r="R63" s="13" t="s">
        <v>460</v>
      </c>
      <c r="V63" s="127">
        <v>-3.0605380000000002</v>
      </c>
      <c r="W63" s="127">
        <v>-2.3206999999999998E-2</v>
      </c>
      <c r="X63" s="127">
        <v>7.4399999999999998E-4</v>
      </c>
      <c r="Y63" s="127">
        <v>0.21609300000000001</v>
      </c>
      <c r="Z63" s="127">
        <v>-2.2529999999999998E-3</v>
      </c>
      <c r="AA63" s="127">
        <v>-8.3900000000000001E-4</v>
      </c>
      <c r="AF63" s="61"/>
      <c r="AG63" s="113">
        <f t="shared" si="245"/>
        <v>1.4</v>
      </c>
      <c r="AH63" s="113">
        <f t="shared" si="246"/>
        <v>0.2</v>
      </c>
      <c r="AI63" s="113">
        <f t="shared" si="247"/>
        <v>25</v>
      </c>
      <c r="AJ63" s="113">
        <f t="shared" si="196"/>
        <v>13.89</v>
      </c>
      <c r="AK63" s="113">
        <f t="shared" si="197"/>
        <v>46.11</v>
      </c>
      <c r="AL63" s="113">
        <f t="shared" si="248"/>
        <v>23.89</v>
      </c>
      <c r="AM63" t="s">
        <v>898</v>
      </c>
      <c r="AO63" s="13">
        <v>1</v>
      </c>
      <c r="AP63" s="120" t="str">
        <f t="shared" si="277"/>
        <v>CrvDblQuad     "CoilClgDXEER13SEER20EIRRatio_fTwbToadbSI"                       Coef1 = -3.060538  Coef2 = -0.023207  Coef3 =  0.000744  Coef4 =  0.216093  Coef5 = -0.002253  Coef6 = -0.000839  _x000D_
                                                                                MaxOut = 1.400   MinOut = 0.200   MaxVar1 = 25.000   MinVar1 = 13.890   MaxVar2 = 46.110   MinVar2 = 23.890   _x000D_
..</v>
      </c>
      <c r="AQ63" s="120" t="str">
        <f t="shared" si="278"/>
        <v xml:space="preserve">CrvDblQuad     "CoilClgDXEER13SEER20EIRRatio_fTwbToadbSI"                       Coef1 = -3.060538  Coef2 = -0.023207  Coef3 =  0.000744  Coef4 =  0.216093  Coef5 = -0.002253  Coef6 = -0.000839  </v>
      </c>
      <c r="AR63" s="120" t="str">
        <f t="shared" si="279"/>
        <v xml:space="preserve">_x000D_
                                                                                MaxOut = 1.400   MinOut = 0.200   MaxVar1 = 25.000   MinVar1 = 13.890   MaxVar2 = 46.110   MinVar2 = 23.890   </v>
      </c>
      <c r="AS63" s="120" t="str">
        <f t="shared" si="280"/>
        <v>_x000D_
..</v>
      </c>
      <c r="AT63" s="13" t="str">
        <f t="shared" si="281"/>
        <v>CrvDblQuad</v>
      </c>
      <c r="AU63" s="13" t="str">
        <f t="shared" si="282"/>
        <v xml:space="preserve">     </v>
      </c>
      <c r="AV63" s="13" t="str">
        <f t="shared" si="265"/>
        <v>"CoilClgDXEER13SEER20EIRRatio_fTwbToadbSI"</v>
      </c>
      <c r="AW63" s="13" t="str">
        <f t="shared" si="283"/>
        <v xml:space="preserve">                       </v>
      </c>
      <c r="AX63" s="13" t="str">
        <f t="shared" si="284"/>
        <v xml:space="preserve">-3.060538  </v>
      </c>
      <c r="AY63" s="13" t="str">
        <f t="shared" si="285"/>
        <v xml:space="preserve">-0.023207  </v>
      </c>
      <c r="AZ63" s="13" t="str">
        <f t="shared" si="286"/>
        <v xml:space="preserve"> 0.000744  </v>
      </c>
      <c r="BA63" s="13" t="str">
        <f t="shared" si="287"/>
        <v xml:space="preserve"> 0.216093  </v>
      </c>
      <c r="BB63" s="13" t="str">
        <f t="shared" si="288"/>
        <v xml:space="preserve">-0.002253  </v>
      </c>
      <c r="BC63" s="13" t="str">
        <f t="shared" si="289"/>
        <v xml:space="preserve">-0.000839  </v>
      </c>
      <c r="BD63" s="13" t="str">
        <f t="shared" si="290"/>
        <v xml:space="preserve">_x000D_
                                                                                </v>
      </c>
      <c r="BE63" s="13" t="str">
        <f t="shared" si="238"/>
        <v xml:space="preserve">1.400   </v>
      </c>
      <c r="BF63" s="13" t="str">
        <f t="shared" si="239"/>
        <v xml:space="preserve">0.200   </v>
      </c>
      <c r="BG63" s="13" t="str">
        <f t="shared" si="240"/>
        <v xml:space="preserve">25.000   </v>
      </c>
      <c r="BH63" s="13" t="str">
        <f t="shared" si="241"/>
        <v xml:space="preserve">13.890   </v>
      </c>
      <c r="BI63" s="13" t="str">
        <f t="shared" si="242"/>
        <v xml:space="preserve">46.110   </v>
      </c>
      <c r="BJ63" s="13" t="str">
        <f t="shared" si="243"/>
        <v xml:space="preserve">23.890   </v>
      </c>
      <c r="BM63" s="13" t="str">
        <f t="shared" si="291"/>
        <v>Twb</v>
      </c>
      <c r="BN63" s="13" t="str">
        <f t="shared" si="291"/>
        <v>Toadb</v>
      </c>
      <c r="BO63" s="118">
        <f t="shared" si="296"/>
        <v>19.399999999999999</v>
      </c>
      <c r="BP63" s="118">
        <f t="shared" si="296"/>
        <v>35</v>
      </c>
      <c r="BQ63" s="118">
        <f t="shared" si="297"/>
        <v>25</v>
      </c>
      <c r="BR63" s="118">
        <f t="shared" si="298"/>
        <v>13.888888888888889</v>
      </c>
      <c r="BS63" s="118">
        <f t="shared" si="299"/>
        <v>46.111111111111107</v>
      </c>
      <c r="BT63" s="118">
        <f t="shared" si="300"/>
        <v>23.888888888888889</v>
      </c>
      <c r="BU63" s="104">
        <f t="shared" si="276"/>
        <v>1.0029070399999993</v>
      </c>
      <c r="BV63" s="104">
        <f t="shared" si="260"/>
        <v>1.3972203950617281</v>
      </c>
      <c r="BW63" s="104">
        <f t="shared" si="261"/>
        <v>0.19969940740740688</v>
      </c>
      <c r="BX63" s="13" t="s">
        <v>729</v>
      </c>
      <c r="CB63" s="13">
        <f t="shared" si="293"/>
        <v>0.33333333333333331</v>
      </c>
      <c r="CC63" s="13" t="s">
        <v>736</v>
      </c>
      <c r="CD63" s="95">
        <f t="shared" si="294"/>
        <v>0.46574013168724271</v>
      </c>
      <c r="CE63" s="95">
        <f t="shared" si="295"/>
        <v>6.6566469135802289E-2</v>
      </c>
      <c r="CF63" s="13" t="s">
        <v>737</v>
      </c>
    </row>
    <row r="64" spans="2:84" ht="43.2" hidden="1" outlineLevel="1" x14ac:dyDescent="0.3">
      <c r="E64" s="13" t="s">
        <v>306</v>
      </c>
      <c r="F64" s="13" t="s">
        <v>401</v>
      </c>
      <c r="G64" s="22" t="s">
        <v>545</v>
      </c>
      <c r="H64" s="13" t="s">
        <v>301</v>
      </c>
      <c r="I64" s="13" t="s">
        <v>659</v>
      </c>
      <c r="J64" s="13" t="s">
        <v>273</v>
      </c>
      <c r="K64" s="13" t="s">
        <v>3</v>
      </c>
      <c r="L64" s="15"/>
      <c r="M64" s="21"/>
      <c r="N64" s="13" t="str">
        <f t="shared" si="264"/>
        <v>CoilClgDXEIRRatio_fTwbToadbIP</v>
      </c>
      <c r="O64" s="13" t="s">
        <v>165</v>
      </c>
      <c r="P64" s="13" t="s">
        <v>288</v>
      </c>
      <c r="Q64" s="13" t="s">
        <v>116</v>
      </c>
      <c r="R64" s="13" t="s">
        <v>460</v>
      </c>
      <c r="V64" s="33">
        <v>-1.063931</v>
      </c>
      <c r="W64" s="33">
        <v>3.0658399999999999E-2</v>
      </c>
      <c r="X64" s="33">
        <v>-1.2689999999999999E-4</v>
      </c>
      <c r="Y64" s="33">
        <v>1.5421300000000001E-2</v>
      </c>
      <c r="Z64" s="33">
        <v>4.9700000000000002E-5</v>
      </c>
      <c r="AA64" s="33">
        <v>-2.096E-4</v>
      </c>
      <c r="AF64" s="61"/>
      <c r="AG64" s="113">
        <f t="shared" si="245"/>
        <v>1.33</v>
      </c>
      <c r="AH64" s="113">
        <f t="shared" si="246"/>
        <v>0.77</v>
      </c>
      <c r="AI64" s="113">
        <f t="shared" si="247"/>
        <v>77</v>
      </c>
      <c r="AJ64" s="113">
        <f t="shared" si="196"/>
        <v>57</v>
      </c>
      <c r="AK64" s="113">
        <f t="shared" si="197"/>
        <v>115</v>
      </c>
      <c r="AL64" s="113">
        <f t="shared" si="248"/>
        <v>75</v>
      </c>
      <c r="AM64" s="22" t="s">
        <v>627</v>
      </c>
      <c r="AO64" s="13">
        <f t="shared" ref="AO64:AO68" si="301">IF(ISTEXT(A64),"",IF(I64="IP",0,1))</f>
        <v>0</v>
      </c>
      <c r="AP64" s="120" t="str">
        <f t="shared" si="231"/>
        <v/>
      </c>
      <c r="AQ64" s="120" t="str">
        <f t="shared" si="232"/>
        <v/>
      </c>
      <c r="AR64" s="120" t="str">
        <f t="shared" si="233"/>
        <v/>
      </c>
      <c r="AS64" s="120" t="str">
        <f t="shared" si="234"/>
        <v/>
      </c>
      <c r="AT64" s="13" t="str">
        <f t="shared" si="235"/>
        <v/>
      </c>
      <c r="AU64" s="13" t="str">
        <f t="shared" si="24"/>
        <v xml:space="preserve">               </v>
      </c>
      <c r="AV64" s="13" t="str">
        <f t="shared" si="265"/>
        <v/>
      </c>
      <c r="AW64" s="13" t="str">
        <f t="shared" si="236"/>
        <v xml:space="preserve">                                                                 </v>
      </c>
      <c r="AX64" s="13" t="str">
        <f t="shared" si="244"/>
        <v/>
      </c>
      <c r="AY64" s="13" t="str">
        <f t="shared" si="244"/>
        <v/>
      </c>
      <c r="AZ64" s="13" t="str">
        <f t="shared" si="244"/>
        <v/>
      </c>
      <c r="BA64" s="13" t="str">
        <f t="shared" si="244"/>
        <v/>
      </c>
      <c r="BB64" s="13" t="str">
        <f t="shared" si="244"/>
        <v/>
      </c>
      <c r="BC64" s="13" t="str">
        <f t="shared" si="244"/>
        <v/>
      </c>
      <c r="BD64" s="13" t="str">
        <f t="shared" si="15"/>
        <v xml:space="preserve">_x000D_
                                                                                </v>
      </c>
      <c r="BE64" s="13" t="str">
        <f t="shared" si="238"/>
        <v/>
      </c>
      <c r="BF64" s="13" t="str">
        <f t="shared" si="239"/>
        <v/>
      </c>
      <c r="BG64" s="13" t="str">
        <f t="shared" si="240"/>
        <v/>
      </c>
      <c r="BH64" s="13" t="str">
        <f t="shared" si="241"/>
        <v/>
      </c>
      <c r="BI64" s="13" t="str">
        <f t="shared" si="242"/>
        <v/>
      </c>
      <c r="BJ64" s="13" t="str">
        <f t="shared" si="243"/>
        <v/>
      </c>
      <c r="BM64" s="13" t="str">
        <f t="shared" ref="BM64:BM74" si="302">Q64</f>
        <v>Twb</v>
      </c>
      <c r="BN64" s="13" t="str">
        <f t="shared" ref="BN64:BN84" si="303">R64</f>
        <v>Toadb</v>
      </c>
      <c r="BO64" s="13">
        <v>67</v>
      </c>
      <c r="BP64" s="13">
        <v>95</v>
      </c>
      <c r="BQ64" s="13">
        <v>77</v>
      </c>
      <c r="BR64" s="13">
        <v>57</v>
      </c>
      <c r="BS64" s="13">
        <v>115</v>
      </c>
      <c r="BT64" s="13">
        <v>75</v>
      </c>
      <c r="BU64" s="104">
        <f t="shared" si="276"/>
        <v>0.99998969999999998</v>
      </c>
      <c r="BV64" s="104">
        <f t="shared" si="260"/>
        <v>1.3281037</v>
      </c>
      <c r="BW64" s="104">
        <f t="shared" si="261"/>
        <v>0.77009569999999994</v>
      </c>
      <c r="BX64" s="13" t="s">
        <v>729</v>
      </c>
    </row>
    <row r="65" spans="1:80" ht="28.8" hidden="1" outlineLevel="1" x14ac:dyDescent="0.3">
      <c r="E65" s="13" t="s">
        <v>306</v>
      </c>
      <c r="F65" s="13" t="s">
        <v>401</v>
      </c>
      <c r="G65" s="22" t="s">
        <v>545</v>
      </c>
      <c r="H65" s="13" t="s">
        <v>301</v>
      </c>
      <c r="I65" s="13" t="s">
        <v>660</v>
      </c>
      <c r="J65" s="13" t="s">
        <v>144</v>
      </c>
      <c r="L65" s="15" t="s">
        <v>533</v>
      </c>
      <c r="M65" s="21" t="s">
        <v>169</v>
      </c>
      <c r="N65" s="13" t="str">
        <f t="shared" si="264"/>
        <v>CoilClgDXEIRRatio_fTwbToadbSI</v>
      </c>
      <c r="O65" s="13" t="s">
        <v>165</v>
      </c>
      <c r="P65" s="13" t="s">
        <v>288</v>
      </c>
      <c r="Q65" s="13" t="s">
        <v>116</v>
      </c>
      <c r="R65" s="13" t="s">
        <v>460</v>
      </c>
      <c r="V65" s="33">
        <v>0.11670899999999999</v>
      </c>
      <c r="W65" s="33">
        <v>2.8458000000000001E-2</v>
      </c>
      <c r="X65" s="33">
        <v>-4.1147999999999998E-4</v>
      </c>
      <c r="Y65" s="33">
        <v>2.1421800000000001E-2</v>
      </c>
      <c r="Z65" s="33">
        <v>1.6200000000000001E-4</v>
      </c>
      <c r="AA65" s="33">
        <v>-6.8039999999999995E-4</v>
      </c>
      <c r="AF65" s="61"/>
      <c r="AG65" s="113">
        <f t="shared" ref="AG65:AG77" si="304">IF(BV65&gt;0,ROUND(BV65,2),"")</f>
        <v>1.33</v>
      </c>
      <c r="AH65" s="113">
        <f t="shared" ref="AH65:AH77" si="305">IF(BW65&gt;0,ROUND(BW65,2),"")</f>
        <v>0.77</v>
      </c>
      <c r="AI65" s="113">
        <f t="shared" ref="AI65:AI77" si="306">IF(BQ65&gt;0,ROUND(BQ65,2),"")</f>
        <v>25</v>
      </c>
      <c r="AJ65" s="113">
        <f>IF(BR65&gt;0,ROUND(BR65,2),"")</f>
        <v>13.89</v>
      </c>
      <c r="AK65" s="113">
        <f t="shared" ref="AK65:AK77" si="307">IF(BS65&gt;0,ROUND(BS65,2),"")</f>
        <v>46.11</v>
      </c>
      <c r="AL65" s="113">
        <f t="shared" ref="AL65:AL77" si="308">IF(BT65&gt;0,ROUND(BT65,2),"")</f>
        <v>23.89</v>
      </c>
      <c r="AO65" s="13">
        <f t="shared" si="301"/>
        <v>1</v>
      </c>
      <c r="AP65" s="120" t="str">
        <f t="shared" si="231"/>
        <v>CrvDblQuad     "CoilClgDXEIRRatio_fTwbToadbSI"                                  Coef1 =  0.116709  Coef2 =  0.028458  Coef3 = -0.000411  Coef4 =  0.021422  Coef5 =  0.000162  Coef6 = -0.000680  _x000D_
                                                                                MaxOut = 1.330   MinOut = 0.770   MaxVar1 = 25.000   MinVar1 = 13.890   MaxVar2 = 46.110   MinVar2 = 23.890   _x000D_
..</v>
      </c>
      <c r="AQ65" s="120" t="str">
        <f t="shared" si="232"/>
        <v xml:space="preserve">CrvDblQuad     "CoilClgDXEIRRatio_fTwbToadbSI"                                  Coef1 =  0.116709  Coef2 =  0.028458  Coef3 = -0.000411  Coef4 =  0.021422  Coef5 =  0.000162  Coef6 = -0.000680  </v>
      </c>
      <c r="AR65" s="120" t="str">
        <f t="shared" si="233"/>
        <v xml:space="preserve">_x000D_
                                                                                MaxOut = 1.330   MinOut = 0.770   MaxVar1 = 25.000   MinVar1 = 13.890   MaxVar2 = 46.110   MinVar2 = 23.890   </v>
      </c>
      <c r="AS65" s="120" t="str">
        <f t="shared" si="234"/>
        <v>_x000D_
..</v>
      </c>
      <c r="AT65" s="13" t="str">
        <f t="shared" si="235"/>
        <v>CrvDblQuad</v>
      </c>
      <c r="AU65" s="13" t="str">
        <f t="shared" si="24"/>
        <v xml:space="preserve">     </v>
      </c>
      <c r="AV65" s="13" t="str">
        <f t="shared" si="265"/>
        <v>"CoilClgDXEIRRatio_fTwbToadbSI"</v>
      </c>
      <c r="AW65" s="13" t="str">
        <f t="shared" si="236"/>
        <v xml:space="preserve">                                  </v>
      </c>
      <c r="AX65" s="13" t="str">
        <f t="shared" ref="AX65" si="309">IF($AO65=1,IF(ISBLANK(V65),"-",CONCATENATE(TEXT(V65," 0.000000;-0.000000"),"  ")),"")</f>
        <v xml:space="preserve"> 0.116709  </v>
      </c>
      <c r="AY65" s="13" t="str">
        <f t="shared" ref="AY65" si="310">IF($AO65=1,IF(ISBLANK(W65),"-",CONCATENATE(TEXT(W65," 0.000000;-0.000000"),"  ")),"")</f>
        <v xml:space="preserve"> 0.028458  </v>
      </c>
      <c r="AZ65" s="13" t="str">
        <f t="shared" ref="AZ65" si="311">IF($AO65=1,IF(ISBLANK(X65),"-",CONCATENATE(TEXT(X65," 0.000000;-0.000000"),"  ")),"")</f>
        <v xml:space="preserve">-0.000411  </v>
      </c>
      <c r="BA65" s="13" t="str">
        <f t="shared" ref="BA65" si="312">IF($AO65=1,IF(ISBLANK(Y65),"-",CONCATENATE(TEXT(Y65," 0.000000;-0.000000"),"  ")),"")</f>
        <v xml:space="preserve"> 0.021422  </v>
      </c>
      <c r="BB65" s="13" t="str">
        <f t="shared" ref="BB65" si="313">IF($AO65=1,IF(ISBLANK(Z65),"-",CONCATENATE(TEXT(Z65," 0.000000;-0.000000"),"  ")),"")</f>
        <v xml:space="preserve"> 0.000162  </v>
      </c>
      <c r="BC65" s="13" t="str">
        <f t="shared" ref="BC65" si="314">IF($AO65=1,IF(ISBLANK(AA65),"-",CONCATENATE(TEXT(AA65," 0.000000;-0.000000"),"  ")),"")</f>
        <v xml:space="preserve">-0.000680  </v>
      </c>
      <c r="BD65" s="13" t="str">
        <f t="shared" si="15"/>
        <v xml:space="preserve">_x000D_
                                                                                </v>
      </c>
      <c r="BE65" s="13" t="str">
        <f t="shared" si="238"/>
        <v xml:space="preserve">1.330   </v>
      </c>
      <c r="BF65" s="13" t="str">
        <f t="shared" si="239"/>
        <v xml:space="preserve">0.770   </v>
      </c>
      <c r="BG65" s="13" t="str">
        <f t="shared" si="240"/>
        <v xml:space="preserve">25.000   </v>
      </c>
      <c r="BH65" s="13" t="str">
        <f t="shared" si="241"/>
        <v xml:space="preserve">13.890   </v>
      </c>
      <c r="BI65" s="13" t="str">
        <f t="shared" si="242"/>
        <v xml:space="preserve">46.110   </v>
      </c>
      <c r="BJ65" s="13" t="str">
        <f t="shared" si="243"/>
        <v xml:space="preserve">23.890   </v>
      </c>
      <c r="BM65" s="13" t="str">
        <f t="shared" si="302"/>
        <v>Twb</v>
      </c>
      <c r="BN65" s="13" t="str">
        <f t="shared" si="303"/>
        <v>Toadb</v>
      </c>
      <c r="BO65" s="118">
        <f>(BO64-32)/1.8</f>
        <v>19.444444444444443</v>
      </c>
      <c r="BP65" s="118">
        <f>(BP64-32)/1.8</f>
        <v>35</v>
      </c>
      <c r="BQ65" s="118">
        <f t="shared" ref="BQ65" si="315">(BQ64-32)/1.8</f>
        <v>25</v>
      </c>
      <c r="BR65" s="118">
        <f t="shared" ref="BR65" si="316">(BR64-32)/1.8</f>
        <v>13.888888888888889</v>
      </c>
      <c r="BS65" s="118">
        <f t="shared" ref="BS65" si="317">(BS64-32)/1.8</f>
        <v>46.111111111111107</v>
      </c>
      <c r="BT65" s="118">
        <f t="shared" ref="BT65" si="318">(BT64-32)/1.8</f>
        <v>23.888888888888889</v>
      </c>
      <c r="BU65" s="104">
        <f t="shared" si="276"/>
        <v>0.99964700000000017</v>
      </c>
      <c r="BV65" s="104">
        <f t="shared" si="260"/>
        <v>1.3290670000000002</v>
      </c>
      <c r="BW65" s="104">
        <f t="shared" si="261"/>
        <v>0.76882699999999993</v>
      </c>
      <c r="BX65" s="13" t="s">
        <v>729</v>
      </c>
    </row>
    <row r="66" spans="1:80" s="46" customFormat="1" ht="43.2" hidden="1" outlineLevel="1" x14ac:dyDescent="0.3">
      <c r="A66" s="60"/>
      <c r="D66" s="59"/>
      <c r="E66" s="46" t="s">
        <v>306</v>
      </c>
      <c r="F66" s="46" t="s">
        <v>401</v>
      </c>
      <c r="G66" s="59" t="s">
        <v>1162</v>
      </c>
      <c r="H66" s="46" t="s">
        <v>1160</v>
      </c>
      <c r="I66" s="46" t="s">
        <v>660</v>
      </c>
      <c r="J66" s="46" t="s">
        <v>144</v>
      </c>
      <c r="L66" s="290" t="s">
        <v>533</v>
      </c>
      <c r="M66" s="286" t="s">
        <v>169</v>
      </c>
      <c r="N66" s="46" t="str">
        <f t="shared" ref="N66" si="319">IF(ISBLANK(E66),"-",E66&amp;H66&amp;P66&amp;"_f"&amp;Q66&amp;R66&amp;S66&amp;T66&amp;U66&amp;I66)</f>
        <v>CoilClgCRACwPREEIRRatio_fTwbToadbSI</v>
      </c>
      <c r="O66" s="46" t="s">
        <v>165</v>
      </c>
      <c r="P66" s="46" t="s">
        <v>288</v>
      </c>
      <c r="Q66" s="46" t="s">
        <v>116</v>
      </c>
      <c r="R66" s="46" t="s">
        <v>460</v>
      </c>
      <c r="V66" s="287">
        <v>0.27589000000000002</v>
      </c>
      <c r="W66" s="287">
        <v>0</v>
      </c>
      <c r="X66" s="287">
        <v>0</v>
      </c>
      <c r="Y66" s="287">
        <v>1.7625999999999999E-2</v>
      </c>
      <c r="Z66" s="287">
        <v>1.0095E-4</v>
      </c>
      <c r="AA66" s="287">
        <v>0</v>
      </c>
      <c r="AF66" s="288"/>
      <c r="AG66" s="289">
        <f t="shared" ref="AG66" si="320">IF(BV66&gt;0,ROUND(BV66,2),"")</f>
        <v>1.33</v>
      </c>
      <c r="AH66" s="289">
        <f t="shared" ref="AH66" si="321">IF(BW66&gt;0,ROUND(BW66,2),"")</f>
        <v>0.25</v>
      </c>
      <c r="AI66" s="289">
        <f t="shared" ref="AI66" si="322">IF(BQ66&gt;0,ROUND(BQ66,2),"")</f>
        <v>25</v>
      </c>
      <c r="AJ66" s="289">
        <f>IF(BR66&gt;0,ROUND(BR66,2),"")</f>
        <v>0</v>
      </c>
      <c r="AK66" s="289">
        <f t="shared" ref="AK66" si="323">IF(BS66&gt;0,ROUND(BS66,2),"")</f>
        <v>46.11</v>
      </c>
      <c r="AL66" s="289">
        <f t="shared" ref="AL66" si="324">IF(BT66&gt;0,ROUND(BT66,2),"")</f>
        <v>0</v>
      </c>
      <c r="AM66" s="59" t="s">
        <v>1161</v>
      </c>
      <c r="AO66" s="46">
        <f t="shared" si="301"/>
        <v>1</v>
      </c>
      <c r="AP66" s="262" t="str">
        <f t="shared" ref="AP66" si="325">IF(AO66=1,CONCATENATE(AQ66,AR66,AS66),"")</f>
        <v>CrvDblQuad     "CoilClgCRACwPREEIRRatio_fTwbToadbSI"                            Coef1 =  0.275890  Coef2 =  0.000000  Coef3 =  0.000000  Coef4 =  0.017626  Coef5 =  0.000101  Coef6 =  0.000000  _x000D_
                                                                                MaxOut = 1.330   MinOut = 0.250   MaxVar1 = 25.000   MinVar1 = 0.000   MaxVar2 = 46.110   MinVar2 = 0.000   _x000D_
..</v>
      </c>
      <c r="AQ66" s="262" t="str">
        <f t="shared" ref="AQ66" si="326">IF(AO66=1,CONCATENATE(AT66,AU66,AV66,AW66,IF(AX66="-","",$AX$15&amp;AX66),IF(AY66="-","",$AY$15&amp;AY66),IF(AZ66="-","",$AZ$15&amp;AZ66),IF(BA66="-","",$BA$15&amp;BA66),IF(BB66="-","",$BB$15&amp;BB66),IF(BC66="-","",$BC$15&amp;BC66)),"")</f>
        <v xml:space="preserve">CrvDblQuad     "CoilClgCRACwPREEIRRatio_fTwbToadbSI"                            Coef1 =  0.275890  Coef2 =  0.000000  Coef3 =  0.000000  Coef4 =  0.017626  Coef5 =  0.000101  Coef6 =  0.000000  </v>
      </c>
      <c r="AR66" s="262" t="str">
        <f t="shared" ref="AR66" si="327">IF(AO66=1,CONCATENATE(BD66,IF(BE66="-","",$BE$15&amp;BE66),IF(BF66="-","",$BF$15&amp;BF66),IF(BG66="-","",$BG$15&amp;BG66),IF(BH66="-","",$BH$15&amp;BH66),IF(BI66="-","",$BI$15&amp;BI66),IF(BJ66="-","",$BJ$15&amp;BJ66)),"")</f>
        <v xml:space="preserve">_x000D_
                                                                                MaxOut = 1.330   MinOut = 0.250   MaxVar1 = 25.000   MinVar1 = 0.000   MaxVar2 = 46.110   MinVar2 = 0.000   </v>
      </c>
      <c r="AS66" s="262" t="str">
        <f t="shared" ref="AS66" si="328">IF(AO66=1,CHAR(13)&amp;CHAR(10)&amp;"..","")</f>
        <v>_x000D_
..</v>
      </c>
      <c r="AT66" s="46" t="str">
        <f t="shared" ref="AT66" si="329">IF(AO66=1,VLOOKUP(O66,$AT$2:$AV$13,2,0),"")</f>
        <v>CrvDblQuad</v>
      </c>
      <c r="AU66" s="46" t="str">
        <f t="shared" ref="AU66" si="330">REPT(" ",AU$14-LEN(AT66))</f>
        <v xml:space="preserve">     </v>
      </c>
      <c r="AV66" s="46" t="str">
        <f t="shared" ref="AV66" si="331">IF(AO66=1,CONCATENATE("""",N66,""""),"")</f>
        <v>"CoilClgCRACwPREEIRRatio_fTwbToadbSI"</v>
      </c>
      <c r="AW66" s="46" t="str">
        <f t="shared" ref="AW66" si="332">REPT(" ",$AW$14-LEN(AV66))</f>
        <v xml:space="preserve">                            </v>
      </c>
      <c r="AX66" s="46" t="str">
        <f t="shared" ref="AX66" si="333">IF($AO66=1,IF(ISBLANK(V66),"-",CONCATENATE(TEXT(V66," 0.000000;-0.000000"),"  ")),"")</f>
        <v xml:space="preserve"> 0.275890  </v>
      </c>
      <c r="AY66" s="46" t="str">
        <f t="shared" ref="AY66" si="334">IF($AO66=1,IF(ISBLANK(W66),"-",CONCATENATE(TEXT(W66," 0.000000;-0.000000"),"  ")),"")</f>
        <v xml:space="preserve"> 0.000000  </v>
      </c>
      <c r="AZ66" s="46" t="str">
        <f t="shared" ref="AZ66" si="335">IF($AO66=1,IF(ISBLANK(X66),"-",CONCATENATE(TEXT(X66," 0.000000;-0.000000"),"  ")),"")</f>
        <v xml:space="preserve"> 0.000000  </v>
      </c>
      <c r="BA66" s="46" t="str">
        <f t="shared" ref="BA66" si="336">IF($AO66=1,IF(ISBLANK(Y66),"-",CONCATENATE(TEXT(Y66," 0.000000;-0.000000"),"  ")),"")</f>
        <v xml:space="preserve"> 0.017626  </v>
      </c>
      <c r="BB66" s="46" t="str">
        <f t="shared" ref="BB66" si="337">IF($AO66=1,IF(ISBLANK(Z66),"-",CONCATENATE(TEXT(Z66," 0.000000;-0.000000"),"  ")),"")</f>
        <v xml:space="preserve"> 0.000101  </v>
      </c>
      <c r="BC66" s="46" t="str">
        <f t="shared" ref="BC66" si="338">IF($AO66=1,IF(ISBLANK(AA66),"-",CONCATENATE(TEXT(AA66," 0.000000;-0.000000"),"  ")),"")</f>
        <v xml:space="preserve"> 0.000000  </v>
      </c>
      <c r="BD66" s="46" t="str">
        <f t="shared" ref="BD66" si="339">IF(MAX(AG66:AL66)=0,REPT(" ",1),CHAR(13)&amp;CHAR(10)&amp;REPT(" ",BD$14))</f>
        <v xml:space="preserve">_x000D_
                                                                                </v>
      </c>
      <c r="BE66" s="46" t="str">
        <f t="shared" ref="BE66" si="340">IF($AO66=1,IF(AG66="","-",CONCATENATE(TEXT(AG66,"0.000"),"   ")),"")</f>
        <v xml:space="preserve">1.330   </v>
      </c>
      <c r="BF66" s="46" t="str">
        <f t="shared" ref="BF66" si="341">IF($AO66=1,IF(AH66="","-",CONCATENATE(TEXT(AH66,"0.000"),"   ")),"")</f>
        <v xml:space="preserve">0.250   </v>
      </c>
      <c r="BG66" s="46" t="str">
        <f t="shared" ref="BG66" si="342">IF($AO66=1,IF(AI66="","-",CONCATENATE(TEXT(AI66,"0.000"),"   ")),"")</f>
        <v xml:space="preserve">25.000   </v>
      </c>
      <c r="BH66" s="46" t="str">
        <f t="shared" ref="BH66" si="343">IF($AO66=1,IF(AJ66="","-",CONCATENATE(TEXT(AJ66,"0.000"),"   ")),"")</f>
        <v xml:space="preserve">0.000   </v>
      </c>
      <c r="BI66" s="46" t="str">
        <f t="shared" ref="BI66" si="344">IF($AO66=1,IF(AK66="","-",CONCATENATE(TEXT(AK66,"0.000"),"   ")),"")</f>
        <v xml:space="preserve">46.110   </v>
      </c>
      <c r="BJ66" s="46" t="str">
        <f t="shared" ref="BJ66" si="345">IF($AO66=1,IF(AL66="","-",CONCATENATE(TEXT(AL66,"0.000"),"   ")),"")</f>
        <v xml:space="preserve">0.000   </v>
      </c>
      <c r="BM66" s="46" t="str">
        <f t="shared" ref="BM66" si="346">Q66</f>
        <v>Twb</v>
      </c>
      <c r="BN66" s="46" t="str">
        <f t="shared" ref="BN66" si="347">R66</f>
        <v>Toadb</v>
      </c>
      <c r="BO66" s="119">
        <v>19.440000000000001</v>
      </c>
      <c r="BP66" s="119">
        <v>35</v>
      </c>
      <c r="BQ66" s="119">
        <f>BQ65</f>
        <v>25</v>
      </c>
      <c r="BR66" s="119">
        <v>1E-3</v>
      </c>
      <c r="BS66" s="119">
        <f>BS65</f>
        <v>46.111111111111107</v>
      </c>
      <c r="BT66" s="119">
        <v>1E-3</v>
      </c>
      <c r="BU66" s="116">
        <f t="shared" ref="BU66" si="348">$V66+$W66*BO66+$X66*BO66^2+$Y66*BP66+$Z66*BP66^2+$AA66*BO66*BP66</f>
        <v>1.01646375</v>
      </c>
      <c r="BV66" s="116">
        <v>1.33</v>
      </c>
      <c r="BW66" s="116">
        <v>0.25</v>
      </c>
      <c r="BX66" s="46" t="s">
        <v>729</v>
      </c>
    </row>
    <row r="67" spans="1:80" hidden="1" outlineLevel="1" x14ac:dyDescent="0.3">
      <c r="D67" s="15"/>
      <c r="E67" s="13" t="s">
        <v>306</v>
      </c>
      <c r="F67" s="13" t="s">
        <v>401</v>
      </c>
      <c r="G67" s="22" t="s">
        <v>37</v>
      </c>
      <c r="H67" s="13" t="s">
        <v>302</v>
      </c>
      <c r="I67" s="13" t="s">
        <v>659</v>
      </c>
      <c r="J67" s="13" t="s">
        <v>273</v>
      </c>
      <c r="K67" s="13" t="s">
        <v>3</v>
      </c>
      <c r="L67" s="39"/>
      <c r="M67" s="39"/>
      <c r="N67" s="13" t="str">
        <f t="shared" si="264"/>
        <v>CoilClgWSHPEIRRatio_fTwbTcwsIP</v>
      </c>
      <c r="O67" s="13" t="s">
        <v>165</v>
      </c>
      <c r="P67" s="13" t="s">
        <v>288</v>
      </c>
      <c r="Q67" s="13" t="s">
        <v>116</v>
      </c>
      <c r="R67" s="13" t="s">
        <v>140</v>
      </c>
      <c r="V67" s="33">
        <v>2.0280385000000001</v>
      </c>
      <c r="W67" s="33">
        <v>-4.2309100000000002E-2</v>
      </c>
      <c r="X67" s="33">
        <v>3.054E-4</v>
      </c>
      <c r="Y67" s="33">
        <v>1.49672E-2</v>
      </c>
      <c r="Z67" s="33">
        <v>2.44E-5</v>
      </c>
      <c r="AA67" s="33">
        <v>-1.64E-4</v>
      </c>
      <c r="AF67" s="61"/>
      <c r="AG67" s="113">
        <f t="shared" si="304"/>
        <v>0.96</v>
      </c>
      <c r="AH67" s="113">
        <f t="shared" si="305"/>
        <v>1.03</v>
      </c>
      <c r="AI67" s="113">
        <f t="shared" si="306"/>
        <v>57</v>
      </c>
      <c r="AJ67" s="113">
        <f>IF(BR67&gt;0,ROUND(BR67,2),"")</f>
        <v>77</v>
      </c>
      <c r="AK67" s="113">
        <f t="shared" si="307"/>
        <v>85</v>
      </c>
      <c r="AL67" s="113">
        <f t="shared" si="308"/>
        <v>60</v>
      </c>
      <c r="AM67" s="24"/>
      <c r="AO67" s="13">
        <f t="shared" si="301"/>
        <v>0</v>
      </c>
      <c r="AP67" s="120" t="str">
        <f t="shared" si="8"/>
        <v/>
      </c>
      <c r="AQ67" s="120" t="str">
        <f t="shared" si="124"/>
        <v/>
      </c>
      <c r="AR67" s="120" t="str">
        <f t="shared" si="225"/>
        <v/>
      </c>
      <c r="AS67" s="120" t="str">
        <f t="shared" si="23"/>
        <v/>
      </c>
      <c r="AT67" s="13" t="str">
        <f t="shared" si="107"/>
        <v/>
      </c>
      <c r="AU67" s="13" t="str">
        <f t="shared" si="24"/>
        <v xml:space="preserve">               </v>
      </c>
      <c r="AV67" s="13" t="str">
        <f t="shared" si="265"/>
        <v/>
      </c>
      <c r="AW67" s="13" t="str">
        <f t="shared" si="227"/>
        <v xml:space="preserve">                                                                 </v>
      </c>
      <c r="AX67" s="13" t="str">
        <f t="shared" si="146"/>
        <v/>
      </c>
      <c r="AY67" s="13" t="str">
        <f t="shared" si="147"/>
        <v/>
      </c>
      <c r="AZ67" s="13" t="str">
        <f t="shared" si="148"/>
        <v/>
      </c>
      <c r="BA67" s="13" t="str">
        <f t="shared" si="149"/>
        <v/>
      </c>
      <c r="BB67" s="13" t="str">
        <f t="shared" si="150"/>
        <v/>
      </c>
      <c r="BC67" s="13" t="str">
        <f t="shared" si="151"/>
        <v/>
      </c>
      <c r="BD67" s="13" t="str">
        <f t="shared" si="15"/>
        <v xml:space="preserve">_x000D_
                                                                                </v>
      </c>
      <c r="BE67" s="13" t="str">
        <f t="shared" si="238"/>
        <v/>
      </c>
      <c r="BF67" s="13" t="str">
        <f t="shared" si="239"/>
        <v/>
      </c>
      <c r="BG67" s="13" t="str">
        <f t="shared" si="240"/>
        <v/>
      </c>
      <c r="BH67" s="13" t="str">
        <f t="shared" si="241"/>
        <v/>
      </c>
      <c r="BI67" s="13" t="str">
        <f t="shared" si="242"/>
        <v/>
      </c>
      <c r="BJ67" s="13" t="str">
        <f t="shared" si="243"/>
        <v/>
      </c>
      <c r="BM67" s="13" t="str">
        <f t="shared" si="302"/>
        <v>Twb</v>
      </c>
      <c r="BN67" s="13" t="str">
        <f t="shared" si="303"/>
        <v>Tcws</v>
      </c>
      <c r="BO67" s="13">
        <v>67</v>
      </c>
      <c r="BP67" s="13">
        <v>75</v>
      </c>
      <c r="BQ67" s="13">
        <v>57</v>
      </c>
      <c r="BR67" s="13">
        <v>77</v>
      </c>
      <c r="BS67" s="13">
        <v>85</v>
      </c>
      <c r="BT67" s="13">
        <v>60</v>
      </c>
      <c r="BU67" s="104">
        <f t="shared" si="276"/>
        <v>0.99995939999999994</v>
      </c>
      <c r="BV67" s="104">
        <f t="shared" si="260"/>
        <v>0.95607639999999949</v>
      </c>
      <c r="BW67" s="104">
        <f t="shared" si="261"/>
        <v>1.0336563999999999</v>
      </c>
      <c r="BX67" s="13" t="s">
        <v>729</v>
      </c>
    </row>
    <row r="68" spans="1:80" hidden="1" outlineLevel="1" x14ac:dyDescent="0.3">
      <c r="E68" s="13" t="s">
        <v>306</v>
      </c>
      <c r="F68" s="13" t="s">
        <v>401</v>
      </c>
      <c r="G68" s="22" t="s">
        <v>38</v>
      </c>
      <c r="H68" s="13" t="s">
        <v>303</v>
      </c>
      <c r="I68" s="13" t="s">
        <v>659</v>
      </c>
      <c r="J68" s="13" t="s">
        <v>273</v>
      </c>
      <c r="K68" s="13" t="s">
        <v>3</v>
      </c>
      <c r="L68" s="39"/>
      <c r="M68" s="39"/>
      <c r="N68" s="13" t="str">
        <f t="shared" si="264"/>
        <v>CoilClgWSDXEIRRatio_fTwbTcwsIP</v>
      </c>
      <c r="O68" s="13" t="s">
        <v>165</v>
      </c>
      <c r="P68" s="13" t="s">
        <v>288</v>
      </c>
      <c r="Q68" s="13" t="s">
        <v>116</v>
      </c>
      <c r="R68" s="13" t="s">
        <v>140</v>
      </c>
      <c r="V68" s="33">
        <v>-1.8394759999999999</v>
      </c>
      <c r="W68" s="33">
        <v>7.5136300000000003E-2</v>
      </c>
      <c r="X68" s="33">
        <v>-5.6860000000000005E-4</v>
      </c>
      <c r="Y68" s="33">
        <v>4.7089999999999996E-3</v>
      </c>
      <c r="Z68" s="33">
        <v>9.0099999999999995E-5</v>
      </c>
      <c r="AA68" s="33">
        <v>-1.2180000000000001E-4</v>
      </c>
      <c r="AF68" s="61"/>
      <c r="AG68" s="113">
        <f t="shared" si="304"/>
        <v>0.83</v>
      </c>
      <c r="AH68" s="113">
        <f t="shared" si="305"/>
        <v>0.79</v>
      </c>
      <c r="AI68" s="113">
        <f t="shared" si="306"/>
        <v>57</v>
      </c>
      <c r="AJ68" s="113">
        <f>IF(BR68&gt;0,ROUND(BR68,2),"")</f>
        <v>77</v>
      </c>
      <c r="AK68" s="113">
        <f t="shared" si="307"/>
        <v>85</v>
      </c>
      <c r="AL68" s="113">
        <f t="shared" si="308"/>
        <v>60</v>
      </c>
      <c r="AO68" s="13">
        <f t="shared" si="301"/>
        <v>0</v>
      </c>
      <c r="AP68" s="120" t="str">
        <f t="shared" si="8"/>
        <v/>
      </c>
      <c r="AQ68" s="120" t="str">
        <f t="shared" si="124"/>
        <v/>
      </c>
      <c r="AR68" s="120" t="str">
        <f t="shared" si="225"/>
        <v/>
      </c>
      <c r="AS68" s="120" t="str">
        <f t="shared" si="23"/>
        <v/>
      </c>
      <c r="AT68" s="13" t="str">
        <f t="shared" si="107"/>
        <v/>
      </c>
      <c r="AU68" s="13" t="str">
        <f t="shared" si="24"/>
        <v xml:space="preserve">               </v>
      </c>
      <c r="AV68" s="13" t="str">
        <f t="shared" si="265"/>
        <v/>
      </c>
      <c r="AW68" s="13" t="str">
        <f t="shared" si="227"/>
        <v xml:space="preserve">                                                                 </v>
      </c>
      <c r="AX68" s="13" t="str">
        <f t="shared" si="146"/>
        <v/>
      </c>
      <c r="AY68" s="13" t="str">
        <f t="shared" si="147"/>
        <v/>
      </c>
      <c r="AZ68" s="13" t="str">
        <f t="shared" si="148"/>
        <v/>
      </c>
      <c r="BA68" s="13" t="str">
        <f t="shared" si="149"/>
        <v/>
      </c>
      <c r="BB68" s="13" t="str">
        <f t="shared" si="150"/>
        <v/>
      </c>
      <c r="BC68" s="13" t="str">
        <f t="shared" si="151"/>
        <v/>
      </c>
      <c r="BD68" s="13" t="str">
        <f t="shared" si="15"/>
        <v xml:space="preserve">_x000D_
                                                                                </v>
      </c>
      <c r="BE68" s="13" t="str">
        <f t="shared" si="238"/>
        <v/>
      </c>
      <c r="BF68" s="13" t="str">
        <f t="shared" si="239"/>
        <v/>
      </c>
      <c r="BG68" s="13" t="str">
        <f t="shared" si="240"/>
        <v/>
      </c>
      <c r="BH68" s="13" t="str">
        <f t="shared" si="241"/>
        <v/>
      </c>
      <c r="BI68" s="13" t="str">
        <f t="shared" si="242"/>
        <v/>
      </c>
      <c r="BJ68" s="13" t="str">
        <f t="shared" si="243"/>
        <v/>
      </c>
      <c r="BM68" s="13" t="str">
        <f t="shared" si="302"/>
        <v>Twb</v>
      </c>
      <c r="BN68" s="13" t="str">
        <f t="shared" si="303"/>
        <v>Tcws</v>
      </c>
      <c r="BO68" s="13">
        <v>67</v>
      </c>
      <c r="BP68" s="13">
        <v>85</v>
      </c>
      <c r="BQ68" s="13">
        <v>57</v>
      </c>
      <c r="BR68" s="13">
        <v>77</v>
      </c>
      <c r="BS68" s="13">
        <v>85</v>
      </c>
      <c r="BT68" s="13">
        <v>60</v>
      </c>
      <c r="BU68" s="104">
        <f t="shared" si="276"/>
        <v>0.99979719999999972</v>
      </c>
      <c r="BV68" s="104">
        <f t="shared" si="260"/>
        <v>0.8288462000000002</v>
      </c>
      <c r="BW68" s="104">
        <f t="shared" si="261"/>
        <v>0.78625570000000022</v>
      </c>
      <c r="BX68" s="13" t="s">
        <v>729</v>
      </c>
    </row>
    <row r="69" spans="1:80" hidden="1" outlineLevel="1" x14ac:dyDescent="0.3">
      <c r="E69" s="13" t="s">
        <v>306</v>
      </c>
      <c r="F69" s="13" t="s">
        <v>401</v>
      </c>
      <c r="G69" s="22" t="s">
        <v>318</v>
      </c>
      <c r="H69" s="13" t="s">
        <v>303</v>
      </c>
      <c r="I69" s="13" t="s">
        <v>660</v>
      </c>
      <c r="J69" s="13" t="s">
        <v>144</v>
      </c>
      <c r="L69" s="21" t="str">
        <f>'E+ Reference'!$D$25</f>
        <v>Coil:Cooling:WaterToAirHeatPump:EquationFit</v>
      </c>
      <c r="M69" s="21" t="s">
        <v>321</v>
      </c>
      <c r="N69" s="13" t="str">
        <f t="shared" si="264"/>
        <v>CoilClgWSDXEIRRatio_fTwbRatioTwtRatioCFMRatioGPMRatioSI</v>
      </c>
      <c r="O69" s="34" t="s">
        <v>322</v>
      </c>
      <c r="P69" s="13" t="s">
        <v>288</v>
      </c>
      <c r="Q69" s="34" t="s">
        <v>323</v>
      </c>
      <c r="R69" s="34" t="s">
        <v>324</v>
      </c>
      <c r="S69" s="34" t="s">
        <v>120</v>
      </c>
      <c r="T69" s="34" t="s">
        <v>148</v>
      </c>
      <c r="V69" s="33">
        <v>7.3945237290000003</v>
      </c>
      <c r="W69" s="33">
        <v>0.82845099</v>
      </c>
      <c r="X69" s="33">
        <v>7.8532199360000003</v>
      </c>
      <c r="Y69" s="33">
        <v>0.26946231700000001</v>
      </c>
      <c r="Z69" s="33">
        <v>0.29678486799999998</v>
      </c>
      <c r="AF69" s="61"/>
      <c r="AG69" s="113" t="str">
        <f t="shared" si="304"/>
        <v/>
      </c>
      <c r="AH69" s="113" t="str">
        <f t="shared" si="305"/>
        <v/>
      </c>
      <c r="AI69" s="113" t="str">
        <f t="shared" si="306"/>
        <v/>
      </c>
      <c r="AJ69" s="113" t="str">
        <f>IF(BR69&gt;0,ROUND(BR69,2),"")</f>
        <v/>
      </c>
      <c r="AK69" s="113" t="str">
        <f t="shared" si="307"/>
        <v/>
      </c>
      <c r="AL69" s="113" t="str">
        <f t="shared" si="308"/>
        <v/>
      </c>
      <c r="AM69" s="22" t="s">
        <v>641</v>
      </c>
      <c r="AO69" s="13">
        <v>0</v>
      </c>
      <c r="AP69" s="120" t="str">
        <f t="shared" si="8"/>
        <v/>
      </c>
      <c r="AQ69" s="120" t="str">
        <f t="shared" si="124"/>
        <v/>
      </c>
      <c r="AR69" s="120" t="str">
        <f t="shared" si="225"/>
        <v/>
      </c>
      <c r="AS69" s="120" t="str">
        <f t="shared" si="23"/>
        <v/>
      </c>
      <c r="AT69" s="13" t="str">
        <f t="shared" si="107"/>
        <v/>
      </c>
      <c r="AU69" s="13" t="str">
        <f t="shared" si="24"/>
        <v xml:space="preserve">               </v>
      </c>
      <c r="AV69" s="13" t="str">
        <f t="shared" si="265"/>
        <v/>
      </c>
      <c r="AW69" s="13" t="str">
        <f t="shared" si="227"/>
        <v xml:space="preserve">                                                                 </v>
      </c>
      <c r="AX69" s="13" t="str">
        <f t="shared" si="146"/>
        <v/>
      </c>
      <c r="AY69" s="13" t="str">
        <f t="shared" si="147"/>
        <v/>
      </c>
      <c r="AZ69" s="13" t="str">
        <f t="shared" si="148"/>
        <v/>
      </c>
      <c r="BA69" s="13" t="str">
        <f t="shared" si="149"/>
        <v/>
      </c>
      <c r="BB69" s="13" t="str">
        <f t="shared" si="150"/>
        <v/>
      </c>
      <c r="BC69" s="13" t="str">
        <f t="shared" si="151"/>
        <v/>
      </c>
      <c r="BD69" s="13" t="str">
        <f t="shared" si="15"/>
        <v xml:space="preserve"> </v>
      </c>
      <c r="BE69" s="13" t="str">
        <f t="shared" si="238"/>
        <v/>
      </c>
      <c r="BF69" s="13" t="str">
        <f t="shared" si="239"/>
        <v/>
      </c>
      <c r="BG69" s="13" t="str">
        <f t="shared" si="240"/>
        <v/>
      </c>
      <c r="BH69" s="13" t="str">
        <f t="shared" si="241"/>
        <v/>
      </c>
      <c r="BI69" s="13" t="str">
        <f t="shared" si="242"/>
        <v/>
      </c>
      <c r="BJ69" s="13" t="str">
        <f t="shared" si="243"/>
        <v/>
      </c>
      <c r="BM69" s="13" t="str">
        <f t="shared" si="302"/>
        <v>TwbRatio</v>
      </c>
      <c r="BN69" s="13" t="str">
        <f t="shared" si="303"/>
        <v>TwtRatio</v>
      </c>
      <c r="BU69" s="104"/>
      <c r="BV69" s="104"/>
      <c r="BW69" s="104"/>
    </row>
    <row r="70" spans="1:80" hidden="1" outlineLevel="1" x14ac:dyDescent="0.3">
      <c r="B70" s="13" t="s">
        <v>289</v>
      </c>
      <c r="C70" s="13" t="s">
        <v>285</v>
      </c>
      <c r="D70" s="82" t="s">
        <v>541</v>
      </c>
      <c r="E70" s="13" t="s">
        <v>306</v>
      </c>
      <c r="F70" s="13" t="s">
        <v>532</v>
      </c>
      <c r="G70" s="22" t="s">
        <v>551</v>
      </c>
      <c r="H70" s="13" t="s">
        <v>538</v>
      </c>
      <c r="J70" s="13" t="s">
        <v>144</v>
      </c>
      <c r="L70" s="21" t="s">
        <v>171</v>
      </c>
      <c r="M70" s="21" t="s">
        <v>168</v>
      </c>
      <c r="N70" s="13" t="str">
        <f t="shared" si="264"/>
        <v>CoilClgDXSnglEIRRatio_fCFMRatio</v>
      </c>
      <c r="O70" s="13" t="s">
        <v>162</v>
      </c>
      <c r="P70" s="13" t="s">
        <v>288</v>
      </c>
      <c r="Q70" s="34" t="s">
        <v>120</v>
      </c>
      <c r="V70" s="33">
        <v>1.1559999999999999</v>
      </c>
      <c r="W70" s="33">
        <v>-0.18160000000000001</v>
      </c>
      <c r="X70" s="33">
        <v>2.5600000000000001E-2</v>
      </c>
      <c r="AF70" s="61"/>
      <c r="AG70" s="113"/>
      <c r="AH70" s="113"/>
      <c r="AI70" s="113"/>
      <c r="AJ70" s="113"/>
      <c r="AK70" s="113"/>
      <c r="AL70" s="113"/>
      <c r="AM70" s="22" t="s">
        <v>640</v>
      </c>
      <c r="AO70" s="13">
        <f>IF(ISTEXT(A70),"",IF(I70="IP",0,1))</f>
        <v>1</v>
      </c>
      <c r="AP70" s="120" t="str">
        <f t="shared" si="8"/>
        <v>CrvQuad        "CoilClgDXSnglEIRRatio_fCFMRatio"                                Coef1 =  1.156000  Coef2 = -0.181600  Coef3 =  0.025600   _x000D_
..</v>
      </c>
      <c r="AQ70" s="120" t="str">
        <f t="shared" si="124"/>
        <v xml:space="preserve">CrvQuad        "CoilClgDXSnglEIRRatio_fCFMRatio"                                Coef1 =  1.156000  Coef2 = -0.181600  Coef3 =  0.025600  </v>
      </c>
      <c r="AR70" s="120" t="str">
        <f t="shared" si="225"/>
        <v xml:space="preserve"> </v>
      </c>
      <c r="AS70" s="120" t="str">
        <f t="shared" si="23"/>
        <v>_x000D_
..</v>
      </c>
      <c r="AT70" s="13" t="str">
        <f t="shared" si="107"/>
        <v>CrvQuad</v>
      </c>
      <c r="AU70" s="13" t="str">
        <f t="shared" si="24"/>
        <v xml:space="preserve">        </v>
      </c>
      <c r="AV70" s="13" t="str">
        <f t="shared" si="265"/>
        <v>"CoilClgDXSnglEIRRatio_fCFMRatio"</v>
      </c>
      <c r="AW70" s="13" t="str">
        <f t="shared" si="227"/>
        <v xml:space="preserve">                                </v>
      </c>
      <c r="AX70" s="13" t="str">
        <f t="shared" si="146"/>
        <v xml:space="preserve"> 1.156000  </v>
      </c>
      <c r="AY70" s="13" t="str">
        <f t="shared" si="147"/>
        <v xml:space="preserve">-0.181600  </v>
      </c>
      <c r="AZ70" s="13" t="str">
        <f t="shared" si="148"/>
        <v xml:space="preserve"> 0.025600  </v>
      </c>
      <c r="BA70" s="13" t="str">
        <f t="shared" si="149"/>
        <v>-</v>
      </c>
      <c r="BB70" s="13" t="str">
        <f t="shared" si="150"/>
        <v>-</v>
      </c>
      <c r="BC70" s="13" t="str">
        <f t="shared" si="151"/>
        <v>-</v>
      </c>
      <c r="BD70" s="13" t="str">
        <f t="shared" si="15"/>
        <v xml:space="preserve"> </v>
      </c>
      <c r="BE70" s="13" t="str">
        <f t="shared" si="238"/>
        <v>-</v>
      </c>
      <c r="BF70" s="13" t="str">
        <f t="shared" si="239"/>
        <v>-</v>
      </c>
      <c r="BG70" s="13" t="str">
        <f t="shared" si="240"/>
        <v>-</v>
      </c>
      <c r="BH70" s="13" t="str">
        <f t="shared" si="241"/>
        <v>-</v>
      </c>
      <c r="BI70" s="13" t="str">
        <f t="shared" si="242"/>
        <v>-</v>
      </c>
      <c r="BJ70" s="13" t="str">
        <f t="shared" si="243"/>
        <v>-</v>
      </c>
      <c r="BM70" s="13" t="str">
        <f t="shared" si="302"/>
        <v>CFMRatio</v>
      </c>
      <c r="BO70" s="13">
        <v>1</v>
      </c>
      <c r="BR70" s="13">
        <v>0</v>
      </c>
      <c r="BU70" s="104">
        <f t="shared" ref="BU70:BU79" si="349">$V70+$W70*BO70+$X70*BO70^2+$Y70*BO70^3</f>
        <v>0.99999999999999989</v>
      </c>
      <c r="BV70" s="104"/>
      <c r="BW70" s="104"/>
    </row>
    <row r="71" spans="1:80" hidden="1" outlineLevel="1" x14ac:dyDescent="0.3">
      <c r="E71" s="13" t="s">
        <v>306</v>
      </c>
      <c r="F71" s="13" t="s">
        <v>532</v>
      </c>
      <c r="G71" s="22" t="s">
        <v>552</v>
      </c>
      <c r="H71" s="13" t="s">
        <v>539</v>
      </c>
      <c r="J71" s="13" t="s">
        <v>144</v>
      </c>
      <c r="L71" s="21" t="s">
        <v>287</v>
      </c>
      <c r="M71" s="21" t="s">
        <v>168</v>
      </c>
      <c r="N71" s="13" t="str">
        <f t="shared" si="264"/>
        <v>CoilClgDXDblEIRRatio_fCFMRatio</v>
      </c>
      <c r="O71" s="13" t="s">
        <v>230</v>
      </c>
      <c r="P71" s="13" t="s">
        <v>288</v>
      </c>
      <c r="Q71" s="34" t="s">
        <v>120</v>
      </c>
      <c r="V71" s="33">
        <v>1.0079484000000001</v>
      </c>
      <c r="W71" s="33">
        <v>0.34544129000000001</v>
      </c>
      <c r="X71" s="33">
        <v>-0.69228909999999999</v>
      </c>
      <c r="Y71" s="33">
        <v>0.33889943</v>
      </c>
      <c r="AF71" s="61"/>
      <c r="AG71" s="113"/>
      <c r="AH71" s="113"/>
      <c r="AI71" s="113"/>
      <c r="AJ71" s="113"/>
      <c r="AK71" s="113"/>
      <c r="AL71" s="113"/>
      <c r="AM71" s="22" t="s">
        <v>640</v>
      </c>
      <c r="AO71" s="13">
        <f>IF(ISTEXT(A71),"",IF(I71="IP",0,1))</f>
        <v>1</v>
      </c>
      <c r="AP71" s="120" t="str">
        <f>IF(AO71=1,CONCATENATE(AQ71,AR71,AS71),"")</f>
        <v>CrvCubic       "CoilClgDXDblEIRRatio_fCFMRatio"                                 Coef1 =  1.007948  Coef2 =  0.345441  Coef3 = -0.692289  Coef4 =  0.338899   _x000D_
..</v>
      </c>
      <c r="AQ71" s="120" t="str">
        <f>IF(AO71=1,CONCATENATE(AT71,AU71,AV71,AW71,IF(AX71="-","",$AX$15&amp;AX71),IF(AY71="-","",$AY$15&amp;AY71),IF(AZ71="-","",$AZ$15&amp;AZ71),IF(BA71="-","",$BA$15&amp;BA71),IF(BB71="-","",$BB$15&amp;BB71),IF(BC71="-","",$BC$15&amp;BC71)),"")</f>
        <v xml:space="preserve">CrvCubic       "CoilClgDXDblEIRRatio_fCFMRatio"                                 Coef1 =  1.007948  Coef2 =  0.345441  Coef3 = -0.692289  Coef4 =  0.338899  </v>
      </c>
      <c r="AR71" s="120" t="str">
        <f>IF(AO71=1,CONCATENATE(BD71,IF(BE71="-","",$BE$15&amp;BE71),IF(BF71="-","",$BF$15&amp;BF71),IF(BG71="-","",$BG$15&amp;BG71),IF(BH71="-","",$BH$15&amp;BH71),IF(BI71="-","",$BI$15&amp;BI71),IF(BJ71="-","",$BJ$15&amp;BJ71)),"")</f>
        <v xml:space="preserve"> </v>
      </c>
      <c r="AS71" s="120" t="str">
        <f>IF(AO71=1,CHAR(13)&amp;CHAR(10)&amp;"..","")</f>
        <v>_x000D_
..</v>
      </c>
      <c r="AT71" s="13" t="str">
        <f>IF(AO71=1,VLOOKUP(O71,$AT$2:$AV$13,2,0),"")</f>
        <v>CrvCubic</v>
      </c>
      <c r="AU71" s="13" t="str">
        <f t="shared" si="24"/>
        <v xml:space="preserve">       </v>
      </c>
      <c r="AV71" s="13" t="str">
        <f t="shared" si="265"/>
        <v>"CoilClgDXDblEIRRatio_fCFMRatio"</v>
      </c>
      <c r="AW71" s="13" t="str">
        <f>REPT(" ",$AW$14-LEN(AV71))</f>
        <v xml:space="preserve">                                 </v>
      </c>
      <c r="AX71" s="13" t="str">
        <f t="shared" ref="AX71:BC71" si="350">IF($AO71=1,IF(ISBLANK(V71),"-",CONCATENATE(TEXT(V71," 0.000000;-0.000000"),"  ")),"")</f>
        <v xml:space="preserve"> 1.007948  </v>
      </c>
      <c r="AY71" s="13" t="str">
        <f t="shared" si="350"/>
        <v xml:space="preserve"> 0.345441  </v>
      </c>
      <c r="AZ71" s="13" t="str">
        <f t="shared" si="350"/>
        <v xml:space="preserve">-0.692289  </v>
      </c>
      <c r="BA71" s="13" t="str">
        <f t="shared" si="350"/>
        <v xml:space="preserve"> 0.338899  </v>
      </c>
      <c r="BB71" s="13" t="str">
        <f t="shared" si="350"/>
        <v>-</v>
      </c>
      <c r="BC71" s="13" t="str">
        <f t="shared" si="350"/>
        <v>-</v>
      </c>
      <c r="BD71" s="13" t="str">
        <f t="shared" si="15"/>
        <v xml:space="preserve"> </v>
      </c>
      <c r="BE71" s="13" t="str">
        <f t="shared" si="238"/>
        <v>-</v>
      </c>
      <c r="BF71" s="13" t="str">
        <f t="shared" si="239"/>
        <v>-</v>
      </c>
      <c r="BG71" s="13" t="str">
        <f t="shared" si="240"/>
        <v>-</v>
      </c>
      <c r="BH71" s="13" t="str">
        <f t="shared" si="241"/>
        <v>-</v>
      </c>
      <c r="BI71" s="13" t="str">
        <f t="shared" si="242"/>
        <v>-</v>
      </c>
      <c r="BJ71" s="13" t="str">
        <f t="shared" si="243"/>
        <v>-</v>
      </c>
      <c r="BM71" s="13" t="str">
        <f t="shared" si="302"/>
        <v>CFMRatio</v>
      </c>
      <c r="BO71" s="13">
        <v>1</v>
      </c>
      <c r="BR71" s="13">
        <v>0</v>
      </c>
      <c r="BU71" s="104">
        <f t="shared" si="349"/>
        <v>1.0000000200000003</v>
      </c>
      <c r="BV71" s="104"/>
      <c r="BW71" s="104"/>
    </row>
    <row r="72" spans="1:80" ht="28.8" hidden="1" outlineLevel="1" x14ac:dyDescent="0.3">
      <c r="B72" s="38" t="s">
        <v>127</v>
      </c>
      <c r="C72" s="38" t="s">
        <v>290</v>
      </c>
      <c r="D72" s="22" t="s">
        <v>62</v>
      </c>
      <c r="E72" s="13" t="s">
        <v>306</v>
      </c>
      <c r="F72" s="13" t="s">
        <v>402</v>
      </c>
      <c r="G72" s="22" t="s">
        <v>550</v>
      </c>
      <c r="H72" s="13" t="s">
        <v>302</v>
      </c>
      <c r="J72" s="13" t="s">
        <v>273</v>
      </c>
      <c r="K72" s="13" t="s">
        <v>4</v>
      </c>
      <c r="L72" s="21"/>
      <c r="M72" s="21"/>
      <c r="N72" s="13" t="str">
        <f t="shared" si="264"/>
        <v>CoilClgWSHPEIRRatio_fQRatio</v>
      </c>
      <c r="O72" s="13" t="s">
        <v>230</v>
      </c>
      <c r="P72" s="13" t="s">
        <v>288</v>
      </c>
      <c r="Q72" s="13" t="s">
        <v>160</v>
      </c>
      <c r="V72" s="33">
        <v>0.125</v>
      </c>
      <c r="W72" s="33">
        <v>0.875</v>
      </c>
      <c r="X72" s="33">
        <v>0</v>
      </c>
      <c r="Y72" s="33">
        <v>0</v>
      </c>
      <c r="AF72" s="61"/>
      <c r="AG72" s="113" t="str">
        <f t="shared" si="304"/>
        <v/>
      </c>
      <c r="AH72" s="113">
        <f t="shared" si="305"/>
        <v>0.13</v>
      </c>
      <c r="AI72" s="113" t="str">
        <f t="shared" si="306"/>
        <v/>
      </c>
      <c r="AJ72" s="113" t="str">
        <f t="shared" ref="AJ72:AJ106" si="351">IF(BR72&gt;0,ROUND(BR72,2),"")</f>
        <v/>
      </c>
      <c r="AK72" s="113" t="str">
        <f t="shared" si="307"/>
        <v/>
      </c>
      <c r="AL72" s="113" t="str">
        <f t="shared" si="308"/>
        <v/>
      </c>
      <c r="AO72" s="13">
        <v>0</v>
      </c>
      <c r="AP72" s="120" t="str">
        <f t="shared" si="8"/>
        <v/>
      </c>
      <c r="AQ72" s="120" t="str">
        <f t="shared" si="124"/>
        <v/>
      </c>
      <c r="AR72" s="120" t="str">
        <f t="shared" si="225"/>
        <v/>
      </c>
      <c r="AS72" s="120" t="str">
        <f t="shared" si="23"/>
        <v/>
      </c>
      <c r="AT72" s="13" t="str">
        <f t="shared" si="107"/>
        <v/>
      </c>
      <c r="AU72" s="13" t="str">
        <f t="shared" si="24"/>
        <v xml:space="preserve">               </v>
      </c>
      <c r="AV72" s="13" t="str">
        <f t="shared" si="265"/>
        <v/>
      </c>
      <c r="AW72" s="13" t="str">
        <f t="shared" si="227"/>
        <v xml:space="preserve">                                                                 </v>
      </c>
      <c r="AX72" s="13" t="str">
        <f t="shared" si="146"/>
        <v/>
      </c>
      <c r="AY72" s="13" t="str">
        <f t="shared" si="147"/>
        <v/>
      </c>
      <c r="AZ72" s="13" t="str">
        <f t="shared" si="148"/>
        <v/>
      </c>
      <c r="BA72" s="13" t="str">
        <f t="shared" si="149"/>
        <v/>
      </c>
      <c r="BB72" s="13" t="str">
        <f t="shared" si="150"/>
        <v/>
      </c>
      <c r="BC72" s="13" t="str">
        <f t="shared" si="151"/>
        <v/>
      </c>
      <c r="BD72" s="13" t="str">
        <f t="shared" si="15"/>
        <v xml:space="preserve">_x000D_
                                                                                </v>
      </c>
      <c r="BE72" s="13" t="str">
        <f t="shared" si="238"/>
        <v/>
      </c>
      <c r="BF72" s="13" t="str">
        <f t="shared" si="239"/>
        <v/>
      </c>
      <c r="BG72" s="13" t="str">
        <f t="shared" si="240"/>
        <v/>
      </c>
      <c r="BH72" s="13" t="str">
        <f t="shared" si="241"/>
        <v/>
      </c>
      <c r="BI72" s="13" t="str">
        <f t="shared" si="242"/>
        <v/>
      </c>
      <c r="BJ72" s="13" t="str">
        <f t="shared" si="243"/>
        <v/>
      </c>
      <c r="BM72" s="13" t="str">
        <f t="shared" si="302"/>
        <v>QRatio</v>
      </c>
      <c r="BO72" s="13">
        <v>1</v>
      </c>
      <c r="BR72" s="13">
        <v>0</v>
      </c>
      <c r="BU72" s="104">
        <f t="shared" si="349"/>
        <v>1</v>
      </c>
      <c r="BV72" s="104"/>
      <c r="BW72" s="104">
        <f t="shared" ref="BW72:BW79" si="352">$V72+$W72*BR72+$X72*BR72^2+$Y72*BR72^3</f>
        <v>0.125</v>
      </c>
    </row>
    <row r="73" spans="1:80" hidden="1" outlineLevel="1" x14ac:dyDescent="0.3">
      <c r="B73" s="34"/>
      <c r="C73" s="34"/>
      <c r="E73" s="13" t="s">
        <v>306</v>
      </c>
      <c r="F73" s="13" t="s">
        <v>402</v>
      </c>
      <c r="G73" s="22" t="s">
        <v>557</v>
      </c>
      <c r="H73" s="13" t="s">
        <v>303</v>
      </c>
      <c r="J73" s="13" t="s">
        <v>273</v>
      </c>
      <c r="K73" s="13" t="s">
        <v>4</v>
      </c>
      <c r="L73" s="21"/>
      <c r="M73" s="21"/>
      <c r="N73" s="13" t="str">
        <f t="shared" si="264"/>
        <v>CoilClgWSDXEIRRatio_fQRatio</v>
      </c>
      <c r="O73" s="13" t="s">
        <v>230</v>
      </c>
      <c r="P73" s="13" t="s">
        <v>288</v>
      </c>
      <c r="Q73" s="13" t="s">
        <v>160</v>
      </c>
      <c r="V73" s="33">
        <v>0.2012301</v>
      </c>
      <c r="W73" s="33">
        <v>-3.1217499999999999E-2</v>
      </c>
      <c r="X73" s="33">
        <v>1.9504979</v>
      </c>
      <c r="Y73" s="33">
        <v>-1.1205105</v>
      </c>
      <c r="AF73" s="61"/>
      <c r="AG73" s="113" t="str">
        <f t="shared" si="304"/>
        <v/>
      </c>
      <c r="AH73" s="113">
        <f t="shared" si="305"/>
        <v>0.2</v>
      </c>
      <c r="AI73" s="113" t="str">
        <f t="shared" si="306"/>
        <v/>
      </c>
      <c r="AJ73" s="113" t="str">
        <f t="shared" si="351"/>
        <v/>
      </c>
      <c r="AK73" s="113" t="str">
        <f t="shared" si="307"/>
        <v/>
      </c>
      <c r="AL73" s="113" t="str">
        <f t="shared" si="308"/>
        <v/>
      </c>
      <c r="AO73" s="13">
        <v>0</v>
      </c>
      <c r="AP73" s="120" t="str">
        <f t="shared" si="8"/>
        <v/>
      </c>
      <c r="AQ73" s="120" t="str">
        <f t="shared" ref="AQ73:AQ113" si="353">IF(AO73=1,CONCATENATE(AT73,AU73,AV73,AW73,IF(AX73="-","",$AX$15&amp;AX73),IF(AY73="-","",$AY$15&amp;AY73),IF(AZ73="-","",$AZ$15&amp;AZ73),IF(BA73="-","",$BA$15&amp;BA73),IF(BB73="-","",$BB$15&amp;BB73),IF(BC73="-","",$BC$15&amp;BC73)),"")</f>
        <v/>
      </c>
      <c r="AR73" s="120" t="str">
        <f t="shared" si="225"/>
        <v/>
      </c>
      <c r="AS73" s="120" t="str">
        <f t="shared" si="23"/>
        <v/>
      </c>
      <c r="AT73" s="13" t="str">
        <f t="shared" si="107"/>
        <v/>
      </c>
      <c r="AU73" s="13" t="str">
        <f t="shared" si="24"/>
        <v xml:space="preserve">               </v>
      </c>
      <c r="AV73" s="13" t="str">
        <f t="shared" si="265"/>
        <v/>
      </c>
      <c r="AW73" s="13" t="str">
        <f t="shared" si="227"/>
        <v xml:space="preserve">                                                                 </v>
      </c>
      <c r="AX73" s="13" t="str">
        <f t="shared" si="146"/>
        <v/>
      </c>
      <c r="AY73" s="13" t="str">
        <f t="shared" si="147"/>
        <v/>
      </c>
      <c r="AZ73" s="13" t="str">
        <f t="shared" si="148"/>
        <v/>
      </c>
      <c r="BA73" s="13" t="str">
        <f t="shared" si="149"/>
        <v/>
      </c>
      <c r="BB73" s="13" t="str">
        <f t="shared" si="150"/>
        <v/>
      </c>
      <c r="BC73" s="13" t="str">
        <f t="shared" si="151"/>
        <v/>
      </c>
      <c r="BD73" s="13" t="str">
        <f t="shared" si="15"/>
        <v xml:space="preserve">_x000D_
                                                                                </v>
      </c>
      <c r="BE73" s="13" t="str">
        <f t="shared" si="238"/>
        <v/>
      </c>
      <c r="BF73" s="13" t="str">
        <f t="shared" si="239"/>
        <v/>
      </c>
      <c r="BG73" s="13" t="str">
        <f t="shared" si="240"/>
        <v/>
      </c>
      <c r="BH73" s="13" t="str">
        <f t="shared" si="241"/>
        <v/>
      </c>
      <c r="BI73" s="13" t="str">
        <f t="shared" si="242"/>
        <v/>
      </c>
      <c r="BJ73" s="13" t="str">
        <f t="shared" si="243"/>
        <v/>
      </c>
      <c r="BM73" s="13" t="str">
        <f t="shared" si="302"/>
        <v>QRatio</v>
      </c>
      <c r="BO73" s="13">
        <v>1</v>
      </c>
      <c r="BR73" s="13">
        <v>0</v>
      </c>
      <c r="BU73" s="104">
        <f t="shared" si="349"/>
        <v>1</v>
      </c>
      <c r="BV73" s="104"/>
      <c r="BW73" s="104">
        <f t="shared" si="352"/>
        <v>0.2012301</v>
      </c>
    </row>
    <row r="74" spans="1:80" hidden="1" outlineLevel="1" x14ac:dyDescent="0.3">
      <c r="B74" s="34"/>
      <c r="C74" s="34"/>
      <c r="E74" s="13" t="s">
        <v>306</v>
      </c>
      <c r="F74" s="13" t="s">
        <v>402</v>
      </c>
      <c r="G74" s="22" t="s">
        <v>543</v>
      </c>
      <c r="H74" s="13" t="s">
        <v>35</v>
      </c>
      <c r="J74" s="13" t="s">
        <v>273</v>
      </c>
      <c r="K74" s="13" t="s">
        <v>4</v>
      </c>
      <c r="L74" s="21"/>
      <c r="M74" s="21"/>
      <c r="N74" s="13" t="str">
        <f t="shared" si="264"/>
        <v>CoilClgPTACEIRRatio_fQRatio</v>
      </c>
      <c r="O74" s="13" t="s">
        <v>230</v>
      </c>
      <c r="P74" s="13" t="s">
        <v>288</v>
      </c>
      <c r="Q74" s="13" t="s">
        <v>160</v>
      </c>
      <c r="V74" s="33">
        <v>0.125</v>
      </c>
      <c r="W74" s="33">
        <v>0.875</v>
      </c>
      <c r="X74" s="33">
        <v>0</v>
      </c>
      <c r="Y74" s="33">
        <v>0</v>
      </c>
      <c r="AF74" s="61"/>
      <c r="AG74" s="113" t="str">
        <f t="shared" si="304"/>
        <v/>
      </c>
      <c r="AH74" s="113">
        <f t="shared" si="305"/>
        <v>0.13</v>
      </c>
      <c r="AI74" s="113" t="str">
        <f t="shared" si="306"/>
        <v/>
      </c>
      <c r="AJ74" s="113" t="str">
        <f t="shared" si="351"/>
        <v/>
      </c>
      <c r="AK74" s="113" t="str">
        <f t="shared" si="307"/>
        <v/>
      </c>
      <c r="AL74" s="113" t="str">
        <f t="shared" si="308"/>
        <v/>
      </c>
      <c r="AO74" s="13">
        <v>0</v>
      </c>
      <c r="AP74" s="120" t="str">
        <f t="shared" si="8"/>
        <v/>
      </c>
      <c r="AQ74" s="120" t="str">
        <f t="shared" si="353"/>
        <v/>
      </c>
      <c r="AR74" s="120" t="str">
        <f t="shared" si="225"/>
        <v/>
      </c>
      <c r="AS74" s="120" t="str">
        <f t="shared" si="23"/>
        <v/>
      </c>
      <c r="AT74" s="13" t="str">
        <f t="shared" si="107"/>
        <v/>
      </c>
      <c r="AU74" s="13" t="str">
        <f t="shared" si="24"/>
        <v xml:space="preserve">               </v>
      </c>
      <c r="AV74" s="13" t="str">
        <f t="shared" si="265"/>
        <v/>
      </c>
      <c r="AW74" s="13" t="str">
        <f t="shared" si="227"/>
        <v xml:space="preserve">                                                                 </v>
      </c>
      <c r="AX74" s="13" t="str">
        <f t="shared" si="146"/>
        <v/>
      </c>
      <c r="AY74" s="13" t="str">
        <f t="shared" si="147"/>
        <v/>
      </c>
      <c r="AZ74" s="13" t="str">
        <f t="shared" si="148"/>
        <v/>
      </c>
      <c r="BA74" s="13" t="str">
        <f t="shared" si="149"/>
        <v/>
      </c>
      <c r="BB74" s="13" t="str">
        <f t="shared" si="150"/>
        <v/>
      </c>
      <c r="BC74" s="13" t="str">
        <f t="shared" si="151"/>
        <v/>
      </c>
      <c r="BD74" s="13" t="str">
        <f t="shared" si="15"/>
        <v xml:space="preserve">_x000D_
                                                                                </v>
      </c>
      <c r="BE74" s="13" t="str">
        <f t="shared" si="238"/>
        <v/>
      </c>
      <c r="BF74" s="13" t="str">
        <f t="shared" si="239"/>
        <v/>
      </c>
      <c r="BG74" s="13" t="str">
        <f t="shared" si="240"/>
        <v/>
      </c>
      <c r="BH74" s="13" t="str">
        <f t="shared" si="241"/>
        <v/>
      </c>
      <c r="BI74" s="13" t="str">
        <f t="shared" si="242"/>
        <v/>
      </c>
      <c r="BJ74" s="13" t="str">
        <f t="shared" si="243"/>
        <v/>
      </c>
      <c r="BM74" s="13" t="str">
        <f t="shared" si="302"/>
        <v>QRatio</v>
      </c>
      <c r="BO74" s="13">
        <v>1</v>
      </c>
      <c r="BR74" s="13">
        <v>0</v>
      </c>
      <c r="BU74" s="104">
        <f t="shared" si="349"/>
        <v>1</v>
      </c>
      <c r="BV74" s="104"/>
      <c r="BW74" s="104">
        <f t="shared" si="352"/>
        <v>0.125</v>
      </c>
    </row>
    <row r="75" spans="1:80" hidden="1" outlineLevel="1" x14ac:dyDescent="0.3">
      <c r="B75" s="34"/>
      <c r="C75" s="34"/>
      <c r="E75" s="13" t="s">
        <v>306</v>
      </c>
      <c r="F75" s="13" t="s">
        <v>402</v>
      </c>
      <c r="G75" s="22" t="s">
        <v>546</v>
      </c>
      <c r="H75" s="13" t="s">
        <v>525</v>
      </c>
      <c r="J75" s="13" t="s">
        <v>273</v>
      </c>
      <c r="K75" s="13" t="s">
        <v>4</v>
      </c>
      <c r="L75" s="21"/>
      <c r="M75" s="21"/>
      <c r="N75" s="13" t="str">
        <f t="shared" si="264"/>
        <v>CoilClgDXSEEREIRRatio_fQRatio</v>
      </c>
      <c r="O75" s="13" t="s">
        <v>230</v>
      </c>
      <c r="P75" s="13" t="s">
        <v>288</v>
      </c>
      <c r="Q75" s="13" t="s">
        <v>160</v>
      </c>
      <c r="V75" s="33">
        <v>0</v>
      </c>
      <c r="W75" s="33">
        <v>1</v>
      </c>
      <c r="X75" s="33">
        <v>0</v>
      </c>
      <c r="Y75" s="33">
        <v>0</v>
      </c>
      <c r="AF75" s="61"/>
      <c r="AG75" s="113" t="str">
        <f t="shared" si="304"/>
        <v/>
      </c>
      <c r="AH75" s="113" t="str">
        <f t="shared" si="305"/>
        <v/>
      </c>
      <c r="AI75" s="113" t="str">
        <f t="shared" si="306"/>
        <v/>
      </c>
      <c r="AJ75" s="113" t="str">
        <f t="shared" si="351"/>
        <v/>
      </c>
      <c r="AK75" s="113" t="str">
        <f t="shared" si="307"/>
        <v/>
      </c>
      <c r="AL75" s="113" t="str">
        <f t="shared" si="308"/>
        <v/>
      </c>
      <c r="AO75" s="13">
        <v>0</v>
      </c>
      <c r="AP75" s="120" t="str">
        <f t="shared" si="8"/>
        <v/>
      </c>
      <c r="AQ75" s="120" t="str">
        <f t="shared" si="353"/>
        <v/>
      </c>
      <c r="AR75" s="120" t="str">
        <f t="shared" si="225"/>
        <v/>
      </c>
      <c r="AS75" s="120" t="str">
        <f t="shared" si="23"/>
        <v/>
      </c>
      <c r="AT75" s="13" t="str">
        <f t="shared" si="107"/>
        <v/>
      </c>
      <c r="AU75" s="13" t="str">
        <f t="shared" si="24"/>
        <v xml:space="preserve">               </v>
      </c>
      <c r="AV75" s="13" t="str">
        <f t="shared" si="265"/>
        <v/>
      </c>
      <c r="AW75" s="13" t="str">
        <f t="shared" si="227"/>
        <v xml:space="preserve">                                                                 </v>
      </c>
      <c r="AX75" s="13" t="str">
        <f t="shared" si="146"/>
        <v/>
      </c>
      <c r="AY75" s="13" t="str">
        <f t="shared" si="147"/>
        <v/>
      </c>
      <c r="AZ75" s="13" t="str">
        <f t="shared" si="148"/>
        <v/>
      </c>
      <c r="BA75" s="13" t="str">
        <f t="shared" si="149"/>
        <v/>
      </c>
      <c r="BB75" s="13" t="str">
        <f t="shared" si="150"/>
        <v/>
      </c>
      <c r="BC75" s="13" t="str">
        <f t="shared" si="151"/>
        <v/>
      </c>
      <c r="BD75" s="13" t="str">
        <f t="shared" si="15"/>
        <v xml:space="preserve"> </v>
      </c>
      <c r="BE75" s="13" t="str">
        <f t="shared" si="238"/>
        <v/>
      </c>
      <c r="BF75" s="13" t="str">
        <f t="shared" si="239"/>
        <v/>
      </c>
      <c r="BG75" s="13" t="str">
        <f t="shared" si="240"/>
        <v/>
      </c>
      <c r="BH75" s="13" t="str">
        <f t="shared" si="241"/>
        <v/>
      </c>
      <c r="BI75" s="13" t="str">
        <f t="shared" si="242"/>
        <v/>
      </c>
      <c r="BJ75" s="13" t="str">
        <f t="shared" si="243"/>
        <v/>
      </c>
      <c r="BO75" s="13">
        <v>1</v>
      </c>
      <c r="BR75" s="13">
        <v>0</v>
      </c>
      <c r="BU75" s="104">
        <f t="shared" si="349"/>
        <v>1</v>
      </c>
      <c r="BV75" s="104"/>
      <c r="BW75" s="104">
        <f t="shared" si="352"/>
        <v>0</v>
      </c>
    </row>
    <row r="76" spans="1:80" hidden="1" outlineLevel="1" x14ac:dyDescent="0.3">
      <c r="B76" s="34"/>
      <c r="C76" s="34"/>
      <c r="E76" s="13" t="s">
        <v>306</v>
      </c>
      <c r="F76" s="13" t="s">
        <v>402</v>
      </c>
      <c r="G76" s="22" t="s">
        <v>545</v>
      </c>
      <c r="H76" s="13" t="s">
        <v>301</v>
      </c>
      <c r="J76" s="13" t="s">
        <v>273</v>
      </c>
      <c r="K76" s="13" t="s">
        <v>4</v>
      </c>
      <c r="L76" s="21"/>
      <c r="M76" s="21"/>
      <c r="N76" s="13" t="str">
        <f t="shared" si="264"/>
        <v>CoilClgDXEIRRatio_fQRatio</v>
      </c>
      <c r="O76" s="13" t="s">
        <v>230</v>
      </c>
      <c r="P76" s="13" t="s">
        <v>288</v>
      </c>
      <c r="Q76" s="13" t="s">
        <v>160</v>
      </c>
      <c r="V76" s="33">
        <v>0.2012301</v>
      </c>
      <c r="W76" s="33">
        <v>-3.1217499999999999E-2</v>
      </c>
      <c r="X76" s="33">
        <v>1.9504979</v>
      </c>
      <c r="Y76" s="33">
        <v>-1.1205105</v>
      </c>
      <c r="AF76" s="61"/>
      <c r="AG76" s="113" t="str">
        <f t="shared" si="304"/>
        <v/>
      </c>
      <c r="AH76" s="113">
        <f t="shared" si="305"/>
        <v>0.2</v>
      </c>
      <c r="AI76" s="113" t="str">
        <f t="shared" si="306"/>
        <v/>
      </c>
      <c r="AJ76" s="113" t="str">
        <f t="shared" si="351"/>
        <v/>
      </c>
      <c r="AK76" s="113" t="str">
        <f t="shared" si="307"/>
        <v/>
      </c>
      <c r="AL76" s="113" t="str">
        <f t="shared" si="308"/>
        <v/>
      </c>
      <c r="AO76" s="13">
        <v>1</v>
      </c>
      <c r="AP76" s="120" t="str">
        <f t="shared" si="8"/>
        <v>CrvCubic       "CoilClgDXEIRRatio_fQRatio"                                      Coef1 =  0.201230  Coef2 = -0.031218  Coef3 =  1.950498  Coef4 = -1.120511  _x000D_
                                                                                MinOut = 0.200   _x000D_
..</v>
      </c>
      <c r="AQ76" s="120" t="str">
        <f t="shared" si="353"/>
        <v xml:space="preserve">CrvCubic       "CoilClgDXEIRRatio_fQRatio"                                      Coef1 =  0.201230  Coef2 = -0.031218  Coef3 =  1.950498  Coef4 = -1.120511  </v>
      </c>
      <c r="AR76" s="120" t="str">
        <f t="shared" si="225"/>
        <v xml:space="preserve">_x000D_
                                                                                MinOut = 0.200   </v>
      </c>
      <c r="AS76" s="120" t="str">
        <f t="shared" si="23"/>
        <v>_x000D_
..</v>
      </c>
      <c r="AT76" s="13" t="str">
        <f t="shared" si="107"/>
        <v>CrvCubic</v>
      </c>
      <c r="AU76" s="13" t="str">
        <f t="shared" si="24"/>
        <v xml:space="preserve">       </v>
      </c>
      <c r="AV76" s="13" t="str">
        <f t="shared" si="265"/>
        <v>"CoilClgDXEIRRatio_fQRatio"</v>
      </c>
      <c r="AW76" s="13" t="str">
        <f t="shared" si="227"/>
        <v xml:space="preserve">                                      </v>
      </c>
      <c r="AX76" s="13" t="str">
        <f t="shared" si="146"/>
        <v xml:space="preserve"> 0.201230  </v>
      </c>
      <c r="AY76" s="13" t="str">
        <f t="shared" si="147"/>
        <v xml:space="preserve">-0.031218  </v>
      </c>
      <c r="AZ76" s="13" t="str">
        <f t="shared" si="148"/>
        <v xml:space="preserve"> 1.950498  </v>
      </c>
      <c r="BA76" s="13" t="str">
        <f t="shared" si="149"/>
        <v xml:space="preserve">-1.120511  </v>
      </c>
      <c r="BB76" s="13" t="str">
        <f t="shared" si="150"/>
        <v>-</v>
      </c>
      <c r="BC76" s="13" t="str">
        <f t="shared" si="151"/>
        <v>-</v>
      </c>
      <c r="BD76" s="13" t="str">
        <f t="shared" si="15"/>
        <v xml:space="preserve">_x000D_
                                                                                </v>
      </c>
      <c r="BE76" s="13" t="str">
        <f t="shared" si="238"/>
        <v>-</v>
      </c>
      <c r="BF76" s="13" t="str">
        <f t="shared" si="239"/>
        <v xml:space="preserve">0.200   </v>
      </c>
      <c r="BG76" s="13" t="str">
        <f t="shared" si="240"/>
        <v>-</v>
      </c>
      <c r="BH76" s="13" t="str">
        <f t="shared" si="241"/>
        <v>-</v>
      </c>
      <c r="BI76" s="13" t="str">
        <f t="shared" si="242"/>
        <v>-</v>
      </c>
      <c r="BJ76" s="13" t="str">
        <f t="shared" si="243"/>
        <v>-</v>
      </c>
      <c r="BM76" s="13" t="str">
        <f>Q76</f>
        <v>QRatio</v>
      </c>
      <c r="BO76" s="13">
        <v>1</v>
      </c>
      <c r="BR76" s="13">
        <v>0</v>
      </c>
      <c r="BU76" s="115">
        <f t="shared" si="349"/>
        <v>1</v>
      </c>
      <c r="BV76" s="115"/>
      <c r="BW76" s="115">
        <f t="shared" si="352"/>
        <v>0.2012301</v>
      </c>
    </row>
    <row r="77" spans="1:80" ht="28.8" hidden="1" outlineLevel="1" x14ac:dyDescent="0.3">
      <c r="B77" s="34" t="s">
        <v>127</v>
      </c>
      <c r="C77" s="34" t="s">
        <v>290</v>
      </c>
      <c r="D77" s="22" t="s">
        <v>62</v>
      </c>
      <c r="E77" s="13" t="s">
        <v>306</v>
      </c>
      <c r="F77" s="13" t="s">
        <v>540</v>
      </c>
      <c r="G77" s="22" t="s">
        <v>543</v>
      </c>
      <c r="H77" s="13" t="s">
        <v>35</v>
      </c>
      <c r="J77" s="13" t="s">
        <v>144</v>
      </c>
      <c r="L77" s="22" t="s">
        <v>686</v>
      </c>
      <c r="M77" s="21" t="s">
        <v>167</v>
      </c>
      <c r="N77" s="13" t="str">
        <f t="shared" si="264"/>
        <v>CoilClgPTACEIRRatio_fQFrac</v>
      </c>
      <c r="O77" s="13" t="s">
        <v>230</v>
      </c>
      <c r="P77" s="13" t="s">
        <v>288</v>
      </c>
      <c r="Q77" s="34" t="s">
        <v>739</v>
      </c>
      <c r="V77" s="33">
        <v>0.85</v>
      </c>
      <c r="W77" s="33">
        <v>0.15</v>
      </c>
      <c r="X77" s="33">
        <v>0</v>
      </c>
      <c r="Y77" s="33">
        <v>0</v>
      </c>
      <c r="AF77" s="61"/>
      <c r="AG77" s="113">
        <f t="shared" si="304"/>
        <v>1</v>
      </c>
      <c r="AH77" s="113">
        <f t="shared" si="305"/>
        <v>0.96</v>
      </c>
      <c r="AI77" s="113">
        <f t="shared" si="306"/>
        <v>1</v>
      </c>
      <c r="AJ77" s="113">
        <f t="shared" si="351"/>
        <v>0.7</v>
      </c>
      <c r="AK77" s="113" t="str">
        <f t="shared" si="307"/>
        <v/>
      </c>
      <c r="AL77" s="113" t="str">
        <f t="shared" si="308"/>
        <v/>
      </c>
      <c r="AO77" s="13">
        <f t="shared" ref="AO77:AO84" si="354">IF(ISTEXT(A77),"",IF(I77="IP",0,1))</f>
        <v>1</v>
      </c>
      <c r="AP77" s="120" t="str">
        <f t="shared" si="8"/>
        <v>CrvCubic       "CoilClgPTACEIRRatio_fQFrac"                                     Coef1 =  0.850000  Coef2 =  0.150000  Coef3 =  0.000000  Coef4 =  0.000000  _x000D_
                                                                                MaxOut = 1.000   MinOut = 0.960   MaxVar1 = 1.000   MinVar1 = 0.700   _x000D_
..</v>
      </c>
      <c r="AQ77" s="120" t="str">
        <f t="shared" si="353"/>
        <v xml:space="preserve">CrvCubic       "CoilClgPTACEIRRatio_fQFrac"                                     Coef1 =  0.850000  Coef2 =  0.150000  Coef3 =  0.000000  Coef4 =  0.000000  </v>
      </c>
      <c r="AR77" s="120" t="str">
        <f t="shared" si="225"/>
        <v xml:space="preserve">_x000D_
                                                                                MaxOut = 1.000   MinOut = 0.960   MaxVar1 = 1.000   MinVar1 = 0.700   </v>
      </c>
      <c r="AS77" s="120" t="str">
        <f t="shared" si="23"/>
        <v>_x000D_
..</v>
      </c>
      <c r="AT77" s="13" t="str">
        <f t="shared" si="107"/>
        <v>CrvCubic</v>
      </c>
      <c r="AU77" s="13" t="str">
        <f t="shared" si="24"/>
        <v xml:space="preserve">       </v>
      </c>
      <c r="AV77" s="13" t="str">
        <f t="shared" si="265"/>
        <v>"CoilClgPTACEIRRatio_fQFrac"</v>
      </c>
      <c r="AW77" s="13" t="str">
        <f t="shared" si="227"/>
        <v xml:space="preserve">                                     </v>
      </c>
      <c r="AX77" s="13" t="str">
        <f t="shared" si="146"/>
        <v xml:space="preserve"> 0.850000  </v>
      </c>
      <c r="AY77" s="13" t="str">
        <f t="shared" si="147"/>
        <v xml:space="preserve"> 0.150000  </v>
      </c>
      <c r="AZ77" s="13" t="str">
        <f t="shared" si="148"/>
        <v xml:space="preserve"> 0.000000  </v>
      </c>
      <c r="BA77" s="13" t="str">
        <f t="shared" si="149"/>
        <v xml:space="preserve"> 0.000000  </v>
      </c>
      <c r="BB77" s="13" t="str">
        <f t="shared" si="150"/>
        <v>-</v>
      </c>
      <c r="BC77" s="13" t="str">
        <f t="shared" si="151"/>
        <v>-</v>
      </c>
      <c r="BD77" s="13" t="str">
        <f t="shared" si="15"/>
        <v xml:space="preserve">_x000D_
                                                                                </v>
      </c>
      <c r="BE77" s="13" t="str">
        <f t="shared" si="238"/>
        <v xml:space="preserve">1.000   </v>
      </c>
      <c r="BF77" s="13" t="str">
        <f t="shared" si="239"/>
        <v xml:space="preserve">0.960   </v>
      </c>
      <c r="BG77" s="13" t="str">
        <f t="shared" si="240"/>
        <v xml:space="preserve">1.000   </v>
      </c>
      <c r="BH77" s="13" t="str">
        <f t="shared" si="241"/>
        <v xml:space="preserve">0.700   </v>
      </c>
      <c r="BI77" s="13" t="str">
        <f t="shared" si="242"/>
        <v>-</v>
      </c>
      <c r="BJ77" s="13" t="str">
        <f t="shared" si="243"/>
        <v>-</v>
      </c>
      <c r="BM77" s="13" t="str">
        <f>Q77</f>
        <v>QFrac</v>
      </c>
      <c r="BO77" s="13">
        <v>1</v>
      </c>
      <c r="BQ77" s="13">
        <v>1</v>
      </c>
      <c r="BR77" s="13">
        <v>0.7</v>
      </c>
      <c r="BU77" s="104">
        <f t="shared" si="349"/>
        <v>1</v>
      </c>
      <c r="BV77" s="104">
        <v>1</v>
      </c>
      <c r="BW77" s="104">
        <f t="shared" si="352"/>
        <v>0.95499999999999996</v>
      </c>
    </row>
    <row r="78" spans="1:80" ht="28.8" hidden="1" outlineLevel="1" x14ac:dyDescent="0.3">
      <c r="E78" s="13" t="s">
        <v>306</v>
      </c>
      <c r="F78" s="13" t="s">
        <v>540</v>
      </c>
      <c r="G78" s="22" t="s">
        <v>546</v>
      </c>
      <c r="H78" s="13" t="s">
        <v>525</v>
      </c>
      <c r="J78" s="13" t="s">
        <v>144</v>
      </c>
      <c r="L78" s="22" t="s">
        <v>686</v>
      </c>
      <c r="M78" s="21" t="s">
        <v>167</v>
      </c>
      <c r="N78" s="13" t="str">
        <f t="shared" si="264"/>
        <v>CoilClgDXSEEREIRRatio_fQFrac</v>
      </c>
      <c r="O78" s="13" t="s">
        <v>230</v>
      </c>
      <c r="P78" s="13" t="s">
        <v>288</v>
      </c>
      <c r="Q78" s="34" t="s">
        <v>739</v>
      </c>
      <c r="V78" s="33">
        <v>1</v>
      </c>
      <c r="W78" s="33">
        <v>0</v>
      </c>
      <c r="X78" s="33">
        <v>0</v>
      </c>
      <c r="Y78" s="33">
        <v>0</v>
      </c>
      <c r="AF78" s="61"/>
      <c r="AG78" s="113">
        <f t="shared" ref="AG78:AG95" si="355">IF(BV78&gt;0,ROUND(BV78,2),"")</f>
        <v>1</v>
      </c>
      <c r="AH78" s="113">
        <f t="shared" ref="AH78:AH95" si="356">IF(BW78&gt;0,ROUND(BW78,2),"")</f>
        <v>1</v>
      </c>
      <c r="AI78" s="113">
        <f t="shared" ref="AI78:AI95" si="357">IF(BQ78&gt;0,ROUND(BQ78,2),"")</f>
        <v>1</v>
      </c>
      <c r="AJ78" s="113">
        <f t="shared" si="351"/>
        <v>0.7</v>
      </c>
      <c r="AK78" s="113" t="str">
        <f t="shared" ref="AK78:AK95" si="358">IF(BS78&gt;0,ROUND(BS78,2),"")</f>
        <v/>
      </c>
      <c r="AL78" s="113" t="str">
        <f t="shared" ref="AL78:AL95" si="359">IF(BT78&gt;0,ROUND(BT78,2),"")</f>
        <v/>
      </c>
      <c r="AO78" s="13">
        <f t="shared" si="354"/>
        <v>1</v>
      </c>
      <c r="AP78" s="120" t="str">
        <f t="shared" si="8"/>
        <v>CrvCubic       "CoilClgDXSEEREIRRatio_fQFrac"                                   Coef1 =  1.000000  Coef2 =  0.000000  Coef3 =  0.000000  Coef4 =  0.000000  _x000D_
                                                                                MaxOut = 1.000   MinOut = 1.000   MaxVar1 = 1.000   MinVar1 = 0.700   _x000D_
..</v>
      </c>
      <c r="AQ78" s="120" t="str">
        <f t="shared" si="353"/>
        <v xml:space="preserve">CrvCubic       "CoilClgDXSEEREIRRatio_fQFrac"                                   Coef1 =  1.000000  Coef2 =  0.000000  Coef3 =  0.000000  Coef4 =  0.000000  </v>
      </c>
      <c r="AR78" s="120" t="str">
        <f t="shared" si="225"/>
        <v xml:space="preserve">_x000D_
                                                                                MaxOut = 1.000   MinOut = 1.000   MaxVar1 = 1.000   MinVar1 = 0.700   </v>
      </c>
      <c r="AS78" s="120" t="str">
        <f t="shared" si="23"/>
        <v>_x000D_
..</v>
      </c>
      <c r="AT78" s="13" t="str">
        <f t="shared" si="107"/>
        <v>CrvCubic</v>
      </c>
      <c r="AU78" s="13" t="str">
        <f t="shared" si="24"/>
        <v xml:space="preserve">       </v>
      </c>
      <c r="AV78" s="13" t="str">
        <f t="shared" si="265"/>
        <v>"CoilClgDXSEEREIRRatio_fQFrac"</v>
      </c>
      <c r="AW78" s="13" t="str">
        <f t="shared" si="227"/>
        <v xml:space="preserve">                                   </v>
      </c>
      <c r="AX78" s="13" t="str">
        <f t="shared" si="146"/>
        <v xml:space="preserve"> 1.000000  </v>
      </c>
      <c r="AY78" s="13" t="str">
        <f t="shared" si="147"/>
        <v xml:space="preserve"> 0.000000  </v>
      </c>
      <c r="AZ78" s="13" t="str">
        <f t="shared" si="148"/>
        <v xml:space="preserve"> 0.000000  </v>
      </c>
      <c r="BA78" s="13" t="str">
        <f t="shared" si="149"/>
        <v xml:space="preserve"> 0.000000  </v>
      </c>
      <c r="BB78" s="13" t="str">
        <f t="shared" si="150"/>
        <v>-</v>
      </c>
      <c r="BC78" s="13" t="str">
        <f t="shared" si="151"/>
        <v>-</v>
      </c>
      <c r="BD78" s="13" t="str">
        <f t="shared" si="15"/>
        <v xml:space="preserve">_x000D_
                                                                                </v>
      </c>
      <c r="BE78" s="13" t="str">
        <f t="shared" si="238"/>
        <v xml:space="preserve">1.000   </v>
      </c>
      <c r="BF78" s="13" t="str">
        <f t="shared" si="239"/>
        <v xml:space="preserve">1.000   </v>
      </c>
      <c r="BG78" s="13" t="str">
        <f t="shared" si="240"/>
        <v xml:space="preserve">1.000   </v>
      </c>
      <c r="BH78" s="13" t="str">
        <f t="shared" si="241"/>
        <v xml:space="preserve">0.700   </v>
      </c>
      <c r="BI78" s="13" t="str">
        <f t="shared" si="242"/>
        <v>-</v>
      </c>
      <c r="BJ78" s="13" t="str">
        <f t="shared" si="243"/>
        <v>-</v>
      </c>
      <c r="BM78" s="13" t="str">
        <f>Q78</f>
        <v>QFrac</v>
      </c>
      <c r="BO78" s="13">
        <v>1</v>
      </c>
      <c r="BQ78" s="13">
        <v>1</v>
      </c>
      <c r="BR78" s="13">
        <v>0.7</v>
      </c>
      <c r="BU78" s="104">
        <f t="shared" si="349"/>
        <v>1</v>
      </c>
      <c r="BV78" s="104">
        <v>1</v>
      </c>
      <c r="BW78" s="104">
        <f t="shared" si="352"/>
        <v>1</v>
      </c>
    </row>
    <row r="79" spans="1:80" ht="43.2" hidden="1" outlineLevel="1" x14ac:dyDescent="0.3">
      <c r="E79" s="13" t="s">
        <v>306</v>
      </c>
      <c r="F79" s="13" t="s">
        <v>540</v>
      </c>
      <c r="G79" s="22" t="s">
        <v>545</v>
      </c>
      <c r="H79" s="13" t="s">
        <v>301</v>
      </c>
      <c r="J79" s="13" t="s">
        <v>144</v>
      </c>
      <c r="L79" s="22" t="s">
        <v>534</v>
      </c>
      <c r="M79" s="21" t="s">
        <v>167</v>
      </c>
      <c r="N79" s="13" t="str">
        <f t="shared" si="264"/>
        <v>CoilClgDXEIRRatio_fQFrac</v>
      </c>
      <c r="O79" s="13" t="s">
        <v>230</v>
      </c>
      <c r="P79" s="13" t="s">
        <v>288</v>
      </c>
      <c r="Q79" s="34" t="s">
        <v>739</v>
      </c>
      <c r="V79" s="33">
        <v>0</v>
      </c>
      <c r="W79" s="33">
        <v>5.1090999999999998</v>
      </c>
      <c r="X79" s="33">
        <v>-8.5515000000000008</v>
      </c>
      <c r="Y79" s="33">
        <v>4.4744000000000002</v>
      </c>
      <c r="AF79" s="61"/>
      <c r="AG79" s="113">
        <f t="shared" si="355"/>
        <v>1</v>
      </c>
      <c r="AH79" s="113">
        <f t="shared" si="356"/>
        <v>0.92</v>
      </c>
      <c r="AI79" s="113">
        <f t="shared" si="357"/>
        <v>1</v>
      </c>
      <c r="AJ79" s="113">
        <f t="shared" si="351"/>
        <v>0.7</v>
      </c>
      <c r="AK79" s="113" t="str">
        <f t="shared" si="358"/>
        <v/>
      </c>
      <c r="AL79" s="113" t="str">
        <f t="shared" si="359"/>
        <v/>
      </c>
      <c r="AO79" s="13">
        <f t="shared" si="354"/>
        <v>1</v>
      </c>
      <c r="AP79" s="120" t="str">
        <f t="shared" si="8"/>
        <v>CrvCubic       "CoilClgDXEIRRatio_fQFrac"                                       Coef1 =  0.000000  Coef2 =  5.109100  Coef3 = -8.551500  Coef4 =  4.474400  _x000D_
                                                                                MaxOut = 1.000   MinOut = 0.920   MaxVar1 = 1.000   MinVar1 = 0.700   _x000D_
..</v>
      </c>
      <c r="AQ79" s="120" t="str">
        <f t="shared" si="353"/>
        <v xml:space="preserve">CrvCubic       "CoilClgDXEIRRatio_fQFrac"                                       Coef1 =  0.000000  Coef2 =  5.109100  Coef3 = -8.551500  Coef4 =  4.474400  </v>
      </c>
      <c r="AR79" s="120" t="str">
        <f t="shared" si="225"/>
        <v xml:space="preserve">_x000D_
                                                                                MaxOut = 1.000   MinOut = 0.920   MaxVar1 = 1.000   MinVar1 = 0.700   </v>
      </c>
      <c r="AS79" s="120" t="str">
        <f t="shared" si="23"/>
        <v>_x000D_
..</v>
      </c>
      <c r="AT79" s="13" t="str">
        <f t="shared" si="107"/>
        <v>CrvCubic</v>
      </c>
      <c r="AU79" s="13" t="str">
        <f t="shared" si="24"/>
        <v xml:space="preserve">       </v>
      </c>
      <c r="AV79" s="13" t="str">
        <f t="shared" si="265"/>
        <v>"CoilClgDXEIRRatio_fQFrac"</v>
      </c>
      <c r="AW79" s="13" t="str">
        <f t="shared" si="227"/>
        <v xml:space="preserve">                                       </v>
      </c>
      <c r="AX79" s="13" t="str">
        <f t="shared" si="146"/>
        <v xml:space="preserve"> 0.000000  </v>
      </c>
      <c r="AY79" s="13" t="str">
        <f t="shared" si="147"/>
        <v xml:space="preserve"> 5.109100  </v>
      </c>
      <c r="AZ79" s="13" t="str">
        <f t="shared" si="148"/>
        <v xml:space="preserve">-8.551500  </v>
      </c>
      <c r="BA79" s="13" t="str">
        <f t="shared" si="149"/>
        <v xml:space="preserve"> 4.474400  </v>
      </c>
      <c r="BB79" s="13" t="str">
        <f t="shared" si="150"/>
        <v>-</v>
      </c>
      <c r="BC79" s="13" t="str">
        <f t="shared" si="151"/>
        <v>-</v>
      </c>
      <c r="BD79" s="13" t="str">
        <f t="shared" si="15"/>
        <v xml:space="preserve">_x000D_
                                                                                </v>
      </c>
      <c r="BE79" s="13" t="str">
        <f t="shared" si="238"/>
        <v xml:space="preserve">1.000   </v>
      </c>
      <c r="BF79" s="13" t="str">
        <f t="shared" si="239"/>
        <v xml:space="preserve">0.920   </v>
      </c>
      <c r="BG79" s="13" t="str">
        <f t="shared" si="240"/>
        <v xml:space="preserve">1.000   </v>
      </c>
      <c r="BH79" s="13" t="str">
        <f t="shared" si="241"/>
        <v xml:space="preserve">0.700   </v>
      </c>
      <c r="BI79" s="13" t="str">
        <f t="shared" si="242"/>
        <v>-</v>
      </c>
      <c r="BJ79" s="13" t="str">
        <f t="shared" si="243"/>
        <v>-</v>
      </c>
      <c r="BM79" s="46" t="str">
        <f>Q79</f>
        <v>QFrac</v>
      </c>
      <c r="BN79" s="46"/>
      <c r="BO79" s="46">
        <v>1</v>
      </c>
      <c r="BP79" s="46"/>
      <c r="BQ79" s="46">
        <v>1</v>
      </c>
      <c r="BR79" s="46">
        <v>0.7</v>
      </c>
      <c r="BS79" s="46"/>
      <c r="BT79" s="46"/>
      <c r="BU79" s="116">
        <f t="shared" si="349"/>
        <v>1.0319999999999991</v>
      </c>
      <c r="BV79" s="116">
        <v>1</v>
      </c>
      <c r="BW79" s="116">
        <f t="shared" si="352"/>
        <v>0.92085419999999951</v>
      </c>
      <c r="BX79" s="13" t="s">
        <v>740</v>
      </c>
    </row>
    <row r="80" spans="1:80" collapsed="1" x14ac:dyDescent="0.3">
      <c r="A80" s="16" t="s">
        <v>298</v>
      </c>
      <c r="N80" s="13" t="str">
        <f t="shared" si="264"/>
        <v>-</v>
      </c>
      <c r="AG80" s="113" t="str">
        <f t="shared" si="355"/>
        <v/>
      </c>
      <c r="AH80" s="113" t="str">
        <f t="shared" si="356"/>
        <v/>
      </c>
      <c r="AI80" s="113" t="str">
        <f t="shared" si="357"/>
        <v/>
      </c>
      <c r="AJ80" s="113" t="str">
        <f t="shared" si="351"/>
        <v/>
      </c>
      <c r="AK80" s="113" t="str">
        <f t="shared" si="358"/>
        <v/>
      </c>
      <c r="AL80" s="113" t="str">
        <f t="shared" si="359"/>
        <v/>
      </c>
      <c r="AO80" s="13" t="str">
        <f t="shared" si="354"/>
        <v/>
      </c>
      <c r="AP80" s="120" t="str">
        <f t="shared" si="8"/>
        <v/>
      </c>
      <c r="AQ80" s="120" t="str">
        <f t="shared" si="353"/>
        <v/>
      </c>
      <c r="AR80" s="120" t="str">
        <f t="shared" si="225"/>
        <v/>
      </c>
      <c r="AS80" s="120" t="str">
        <f t="shared" si="23"/>
        <v/>
      </c>
      <c r="AT80" s="13" t="str">
        <f t="shared" si="107"/>
        <v/>
      </c>
      <c r="AU80" s="13" t="str">
        <f t="shared" si="24"/>
        <v xml:space="preserve">               </v>
      </c>
      <c r="AV80" s="13" t="str">
        <f t="shared" si="265"/>
        <v/>
      </c>
      <c r="AW80" s="13" t="str">
        <f t="shared" si="227"/>
        <v xml:space="preserve">                                                                 </v>
      </c>
      <c r="AX80" s="13" t="str">
        <f t="shared" si="146"/>
        <v/>
      </c>
      <c r="AY80" s="13" t="str">
        <f t="shared" si="147"/>
        <v/>
      </c>
      <c r="AZ80" s="13" t="str">
        <f t="shared" si="148"/>
        <v/>
      </c>
      <c r="BA80" s="13" t="str">
        <f t="shared" si="149"/>
        <v/>
      </c>
      <c r="BB80" s="13" t="str">
        <f t="shared" si="150"/>
        <v/>
      </c>
      <c r="BC80" s="13" t="str">
        <f t="shared" si="151"/>
        <v/>
      </c>
      <c r="BD80" s="13" t="str">
        <f t="shared" si="15"/>
        <v xml:space="preserve"> </v>
      </c>
      <c r="BE80" s="13" t="str">
        <f t="shared" si="238"/>
        <v/>
      </c>
      <c r="BF80" s="13" t="str">
        <f t="shared" si="239"/>
        <v/>
      </c>
      <c r="BG80" s="13" t="str">
        <f t="shared" si="240"/>
        <v/>
      </c>
      <c r="BH80" s="13" t="str">
        <f t="shared" si="241"/>
        <v/>
      </c>
      <c r="BI80" s="13" t="str">
        <f t="shared" si="242"/>
        <v/>
      </c>
      <c r="BJ80" s="13" t="str">
        <f t="shared" si="243"/>
        <v/>
      </c>
      <c r="BU80" s="104"/>
      <c r="BV80" s="104"/>
      <c r="BW80" s="104"/>
      <c r="BX80" s="34"/>
      <c r="BY80" s="34"/>
      <c r="BZ80" s="34"/>
      <c r="CA80" s="34"/>
      <c r="CB80" s="34"/>
    </row>
    <row r="81" spans="1:80" hidden="1" outlineLevel="1" x14ac:dyDescent="0.3">
      <c r="B81" s="13" t="s">
        <v>131</v>
      </c>
      <c r="C81" s="38" t="s">
        <v>130</v>
      </c>
      <c r="D81" s="22" t="s">
        <v>60</v>
      </c>
      <c r="E81" s="13" t="s">
        <v>307</v>
      </c>
      <c r="F81" s="13" t="s">
        <v>531</v>
      </c>
      <c r="G81" s="22" t="s">
        <v>5</v>
      </c>
      <c r="H81" s="13" t="s">
        <v>296</v>
      </c>
      <c r="J81" s="13" t="s">
        <v>272</v>
      </c>
      <c r="K81" s="13" t="s">
        <v>122</v>
      </c>
      <c r="L81" s="13" t="s">
        <v>166</v>
      </c>
      <c r="M81" s="13" t="s">
        <v>167</v>
      </c>
      <c r="N81" s="13" t="str">
        <f t="shared" si="264"/>
        <v>CoilHtgFurnFIRRatio_fQRatio</v>
      </c>
      <c r="O81" s="13" t="s">
        <v>162</v>
      </c>
      <c r="P81" s="13" t="s">
        <v>391</v>
      </c>
      <c r="Q81" s="13" t="s">
        <v>160</v>
      </c>
      <c r="V81" s="33">
        <v>1.8610000000000002E-2</v>
      </c>
      <c r="W81" s="33">
        <v>1.094209</v>
      </c>
      <c r="X81" s="33">
        <v>-0.112819</v>
      </c>
      <c r="AG81" s="113">
        <f t="shared" si="355"/>
        <v>1</v>
      </c>
      <c r="AH81" s="113">
        <f t="shared" si="356"/>
        <v>0.73</v>
      </c>
      <c r="AI81" s="113">
        <f t="shared" si="357"/>
        <v>1</v>
      </c>
      <c r="AJ81" s="113">
        <f t="shared" si="351"/>
        <v>0.7</v>
      </c>
      <c r="AK81" s="113" t="str">
        <f t="shared" si="358"/>
        <v/>
      </c>
      <c r="AL81" s="113" t="str">
        <f t="shared" si="359"/>
        <v/>
      </c>
      <c r="AO81" s="13">
        <f t="shared" si="354"/>
        <v>1</v>
      </c>
      <c r="AP81" s="120" t="str">
        <f t="shared" si="8"/>
        <v>CrvQuad        "CoilHtgFurnFIRRatio_fQRatio"                                    Coef1 =  0.018610  Coef2 =  1.094209  Coef3 = -0.112819  _x000D_
                                                                                MaxOut = 1.000   MinOut = 0.730   MaxVar1 = 1.000   MinVar1 = 0.700   _x000D_
..</v>
      </c>
      <c r="AQ81" s="120" t="str">
        <f t="shared" si="353"/>
        <v xml:space="preserve">CrvQuad        "CoilHtgFurnFIRRatio_fQRatio"                                    Coef1 =  0.018610  Coef2 =  1.094209  Coef3 = -0.112819  </v>
      </c>
      <c r="AR81" s="120" t="str">
        <f t="shared" si="225"/>
        <v xml:space="preserve">_x000D_
                                                                                MaxOut = 1.000   MinOut = 0.730   MaxVar1 = 1.000   MinVar1 = 0.700   </v>
      </c>
      <c r="AS81" s="120" t="str">
        <f t="shared" si="23"/>
        <v>_x000D_
..</v>
      </c>
      <c r="AT81" s="13" t="str">
        <f t="shared" si="107"/>
        <v>CrvQuad</v>
      </c>
      <c r="AU81" s="13" t="str">
        <f t="shared" si="24"/>
        <v xml:space="preserve">        </v>
      </c>
      <c r="AV81" s="13" t="str">
        <f t="shared" si="265"/>
        <v>"CoilHtgFurnFIRRatio_fQRatio"</v>
      </c>
      <c r="AW81" s="13" t="str">
        <f t="shared" si="227"/>
        <v xml:space="preserve">                                    </v>
      </c>
      <c r="AX81" s="13" t="str">
        <f t="shared" si="146"/>
        <v xml:space="preserve"> 0.018610  </v>
      </c>
      <c r="AY81" s="13" t="str">
        <f t="shared" si="147"/>
        <v xml:space="preserve"> 1.094209  </v>
      </c>
      <c r="AZ81" s="13" t="str">
        <f t="shared" si="148"/>
        <v xml:space="preserve">-0.112819  </v>
      </c>
      <c r="BA81" s="13" t="str">
        <f t="shared" si="149"/>
        <v>-</v>
      </c>
      <c r="BB81" s="13" t="str">
        <f t="shared" si="150"/>
        <v>-</v>
      </c>
      <c r="BC81" s="13" t="str">
        <f t="shared" si="151"/>
        <v>-</v>
      </c>
      <c r="BD81" s="13" t="str">
        <f t="shared" si="15"/>
        <v xml:space="preserve">_x000D_
                                                                                </v>
      </c>
      <c r="BE81" s="13" t="str">
        <f t="shared" si="238"/>
        <v xml:space="preserve">1.000   </v>
      </c>
      <c r="BF81" s="13" t="str">
        <f t="shared" si="239"/>
        <v xml:space="preserve">0.730   </v>
      </c>
      <c r="BG81" s="13" t="str">
        <f t="shared" si="240"/>
        <v xml:space="preserve">1.000   </v>
      </c>
      <c r="BH81" s="13" t="str">
        <f t="shared" si="241"/>
        <v xml:space="preserve">0.700   </v>
      </c>
      <c r="BI81" s="13" t="str">
        <f t="shared" si="242"/>
        <v>-</v>
      </c>
      <c r="BJ81" s="13" t="str">
        <f t="shared" si="243"/>
        <v>-</v>
      </c>
      <c r="BM81" s="13" t="str">
        <f t="shared" ref="BM81:BM94" si="360">Q81</f>
        <v>QRatio</v>
      </c>
      <c r="BO81" s="13">
        <v>1</v>
      </c>
      <c r="BQ81" s="13">
        <v>1</v>
      </c>
      <c r="BR81" s="13">
        <v>0.7</v>
      </c>
      <c r="BU81" s="104">
        <f>$V81+$W81*BO81+$X81*BO81^2+$Y81*BO81^3</f>
        <v>1</v>
      </c>
      <c r="BV81" s="104">
        <f t="shared" ref="BV81:BW83" si="361">$V81+$W81*BQ81+$X81*BQ81^2+$Y81*BQ81^3</f>
        <v>1</v>
      </c>
      <c r="BW81" s="104">
        <f t="shared" si="361"/>
        <v>0.72927498999999996</v>
      </c>
    </row>
    <row r="82" spans="1:80" ht="28.8" hidden="1" outlineLevel="1" x14ac:dyDescent="0.3">
      <c r="B82" s="13" t="s">
        <v>129</v>
      </c>
      <c r="C82" s="38" t="s">
        <v>132</v>
      </c>
      <c r="D82" s="22" t="s">
        <v>63</v>
      </c>
      <c r="E82" s="13" t="s">
        <v>307</v>
      </c>
      <c r="F82" s="13" t="s">
        <v>408</v>
      </c>
      <c r="G82" s="22" t="s">
        <v>548</v>
      </c>
      <c r="H82" s="13" t="s">
        <v>36</v>
      </c>
      <c r="I82" s="13" t="s">
        <v>659</v>
      </c>
      <c r="J82" s="13" t="s">
        <v>273</v>
      </c>
      <c r="K82" s="13" t="s">
        <v>6</v>
      </c>
      <c r="N82" s="13" t="str">
        <f t="shared" si="264"/>
        <v>CoilHtgHPQRatio_fToadbIP</v>
      </c>
      <c r="O82" s="13" t="s">
        <v>230</v>
      </c>
      <c r="P82" s="13" t="s">
        <v>160</v>
      </c>
      <c r="Q82" s="38" t="s">
        <v>460</v>
      </c>
      <c r="V82" s="33">
        <v>0.25367139999999999</v>
      </c>
      <c r="W82" s="33">
        <v>1.0435099999999999E-2</v>
      </c>
      <c r="X82" s="33">
        <v>1.861E-4</v>
      </c>
      <c r="Y82" s="33">
        <v>-1.5E-6</v>
      </c>
      <c r="Z82" s="33" t="s">
        <v>32</v>
      </c>
      <c r="AA82" s="42" t="s">
        <v>32</v>
      </c>
      <c r="AG82" s="113">
        <f t="shared" si="355"/>
        <v>1.05</v>
      </c>
      <c r="AH82" s="113">
        <f t="shared" si="356"/>
        <v>0.17</v>
      </c>
      <c r="AI82" s="113">
        <f t="shared" si="357"/>
        <v>50</v>
      </c>
      <c r="AJ82" s="113" t="str">
        <f t="shared" si="351"/>
        <v/>
      </c>
      <c r="AK82" s="113" t="str">
        <f t="shared" si="358"/>
        <v/>
      </c>
      <c r="AL82" s="113" t="str">
        <f t="shared" si="359"/>
        <v/>
      </c>
      <c r="AO82" s="13">
        <f t="shared" si="354"/>
        <v>0</v>
      </c>
      <c r="AP82" s="120" t="str">
        <f t="shared" si="8"/>
        <v/>
      </c>
      <c r="AQ82" s="120" t="str">
        <f t="shared" si="353"/>
        <v/>
      </c>
      <c r="AR82" s="120" t="str">
        <f t="shared" si="225"/>
        <v/>
      </c>
      <c r="AS82" s="120" t="str">
        <f t="shared" si="23"/>
        <v/>
      </c>
      <c r="AT82" s="13" t="str">
        <f t="shared" si="107"/>
        <v/>
      </c>
      <c r="AU82" s="13" t="str">
        <f t="shared" si="24"/>
        <v xml:space="preserve">               </v>
      </c>
      <c r="AV82" s="13" t="str">
        <f t="shared" si="265"/>
        <v/>
      </c>
      <c r="AW82" s="13" t="str">
        <f t="shared" si="227"/>
        <v xml:space="preserve">                                                                 </v>
      </c>
      <c r="AX82" s="13" t="str">
        <f t="shared" si="146"/>
        <v/>
      </c>
      <c r="AY82" s="13" t="str">
        <f t="shared" si="147"/>
        <v/>
      </c>
      <c r="AZ82" s="13" t="str">
        <f t="shared" si="148"/>
        <v/>
      </c>
      <c r="BA82" s="13" t="str">
        <f t="shared" si="149"/>
        <v/>
      </c>
      <c r="BB82" s="13" t="str">
        <f t="shared" si="150"/>
        <v/>
      </c>
      <c r="BC82" s="13" t="str">
        <f t="shared" si="151"/>
        <v/>
      </c>
      <c r="BD82" s="13" t="str">
        <f t="shared" si="15"/>
        <v xml:space="preserve">_x000D_
                                                                                </v>
      </c>
      <c r="BE82" s="13" t="str">
        <f t="shared" si="238"/>
        <v/>
      </c>
      <c r="BF82" s="13" t="str">
        <f t="shared" si="239"/>
        <v/>
      </c>
      <c r="BG82" s="13" t="str">
        <f t="shared" si="240"/>
        <v/>
      </c>
      <c r="BH82" s="13" t="str">
        <f t="shared" si="241"/>
        <v/>
      </c>
      <c r="BI82" s="13" t="str">
        <f t="shared" si="242"/>
        <v/>
      </c>
      <c r="BJ82" s="13" t="str">
        <f t="shared" si="243"/>
        <v/>
      </c>
      <c r="BM82" s="13" t="str">
        <f t="shared" si="360"/>
        <v>Toadb</v>
      </c>
      <c r="BO82" s="13">
        <v>47</v>
      </c>
      <c r="BQ82" s="13">
        <v>50</v>
      </c>
      <c r="BR82" s="13">
        <v>-10</v>
      </c>
      <c r="BU82" s="104">
        <f>$V82+$W82*BO82+$X82*BO82^2+$Y82*BO82^3</f>
        <v>0.99948150000000002</v>
      </c>
      <c r="BV82" s="104">
        <f t="shared" si="361"/>
        <v>1.0531763999999999</v>
      </c>
      <c r="BW82" s="104">
        <f t="shared" si="361"/>
        <v>0.16943039999999998</v>
      </c>
    </row>
    <row r="83" spans="1:80" hidden="1" outlineLevel="1" x14ac:dyDescent="0.3">
      <c r="C83" s="38"/>
      <c r="E83" s="13" t="s">
        <v>307</v>
      </c>
      <c r="F83" s="13" t="s">
        <v>408</v>
      </c>
      <c r="G83" s="22" t="s">
        <v>548</v>
      </c>
      <c r="H83" s="13" t="s">
        <v>36</v>
      </c>
      <c r="I83" s="13" t="s">
        <v>660</v>
      </c>
      <c r="J83" s="34" t="s">
        <v>144</v>
      </c>
      <c r="L83" s="13" t="s">
        <v>310</v>
      </c>
      <c r="M83" s="13" t="s">
        <v>172</v>
      </c>
      <c r="N83" s="13" t="str">
        <f t="shared" si="264"/>
        <v>CoilHtgHPQRatio_fToadbSI</v>
      </c>
      <c r="O83" s="13" t="s">
        <v>230</v>
      </c>
      <c r="P83" s="13" t="s">
        <v>160</v>
      </c>
      <c r="Q83" s="13" t="s">
        <v>460</v>
      </c>
      <c r="V83" s="33">
        <v>0.72900900000000002</v>
      </c>
      <c r="W83" s="33">
        <v>3.1927499999999998E-2</v>
      </c>
      <c r="X83" s="33">
        <v>1.3640399999999999E-4</v>
      </c>
      <c r="Y83" s="33">
        <v>-8.7479999999999999E-6</v>
      </c>
      <c r="AG83" s="113">
        <f t="shared" si="355"/>
        <v>1.05</v>
      </c>
      <c r="AH83" s="113">
        <f t="shared" si="356"/>
        <v>0.17</v>
      </c>
      <c r="AI83" s="113">
        <f t="shared" si="357"/>
        <v>10</v>
      </c>
      <c r="AJ83" s="113" t="str">
        <f t="shared" si="351"/>
        <v/>
      </c>
      <c r="AK83" s="113" t="str">
        <f t="shared" si="358"/>
        <v/>
      </c>
      <c r="AL83" s="113" t="str">
        <f t="shared" si="359"/>
        <v/>
      </c>
      <c r="AO83" s="13">
        <f t="shared" si="354"/>
        <v>1</v>
      </c>
      <c r="AP83" s="120" t="str">
        <f t="shared" ref="AP83" si="362">IF(AO83=1,CONCATENATE(AQ83,AR83,AS83),"")</f>
        <v>CrvCubic       "CoilHtgHPQRatio_fToadbSI"                                       Coef1 =  0.729009  Coef2 =  0.031928  Coef3 =  0.000136  Coef4 = -0.000009  _x000D_
                                                                                MaxOut = 1.050   MinOut = 0.170   MaxVar1 = 10.000   _x000D_
..</v>
      </c>
      <c r="AQ83" s="120" t="str">
        <f t="shared" ref="AQ83" si="363">IF(AO83=1,CONCATENATE(AT83,AU83,AV83,AW83,IF(AX83="-","",$AX$15&amp;AX83),IF(AY83="-","",$AY$15&amp;AY83),IF(AZ83="-","",$AZ$15&amp;AZ83),IF(BA83="-","",$BA$15&amp;BA83),IF(BB83="-","",$BB$15&amp;BB83),IF(BC83="-","",$BC$15&amp;BC83)),"")</f>
        <v xml:space="preserve">CrvCubic       "CoilHtgHPQRatio_fToadbSI"                                       Coef1 =  0.729009  Coef2 =  0.031928  Coef3 =  0.000136  Coef4 = -0.000009  </v>
      </c>
      <c r="AR83" s="120" t="str">
        <f t="shared" ref="AR83" si="364">IF(AO83=1,CONCATENATE(BD83,IF(BE83="-","",$BE$15&amp;BE83),IF(BF83="-","",$BF$15&amp;BF83),IF(BG83="-","",$BG$15&amp;BG83),IF(BH83="-","",$BH$15&amp;BH83),IF(BI83="-","",$BI$15&amp;BI83),IF(BJ83="-","",$BJ$15&amp;BJ83)),"")</f>
        <v xml:space="preserve">_x000D_
                                                                                MaxOut = 1.050   MinOut = 0.170   MaxVar1 = 10.000   </v>
      </c>
      <c r="AS83" s="120" t="str">
        <f t="shared" ref="AS83" si="365">IF(AO83=1,CHAR(13)&amp;CHAR(10)&amp;"..","")</f>
        <v>_x000D_
..</v>
      </c>
      <c r="AT83" s="13" t="str">
        <f t="shared" ref="AT83" si="366">IF(AO83=1,VLOOKUP(O83,$AT$2:$AV$13,2,0),"")</f>
        <v>CrvCubic</v>
      </c>
      <c r="AU83" s="13" t="str">
        <f t="shared" si="24"/>
        <v xml:space="preserve">       </v>
      </c>
      <c r="AV83" s="13" t="str">
        <f t="shared" si="265"/>
        <v>"CoilHtgHPQRatio_fToadbSI"</v>
      </c>
      <c r="AW83" s="13" t="str">
        <f t="shared" ref="AW83" si="367">REPT(" ",$AW$14-LEN(AV83))</f>
        <v xml:space="preserve">                                       </v>
      </c>
      <c r="AX83" s="13" t="str">
        <f t="shared" ref="AX83" si="368">IF($AO83=1,IF(ISBLANK(V83),"-",CONCATENATE(TEXT(V83," 0.000000;-0.000000"),"  ")),"")</f>
        <v xml:space="preserve"> 0.729009  </v>
      </c>
      <c r="AY83" s="13" t="str">
        <f t="shared" ref="AY83" si="369">IF($AO83=1,IF(ISBLANK(W83),"-",CONCATENATE(TEXT(W83," 0.000000;-0.000000"),"  ")),"")</f>
        <v xml:space="preserve"> 0.031928  </v>
      </c>
      <c r="AZ83" s="13" t="str">
        <f t="shared" ref="AZ83" si="370">IF($AO83=1,IF(ISBLANK(X83),"-",CONCATENATE(TEXT(X83," 0.000000;-0.000000"),"  ")),"")</f>
        <v xml:space="preserve"> 0.000136  </v>
      </c>
      <c r="BA83" s="13" t="str">
        <f t="shared" ref="BA83" si="371">IF($AO83=1,IF(ISBLANK(Y83),"-",CONCATENATE(TEXT(Y83," 0.000000;-0.000000"),"  ")),"")</f>
        <v xml:space="preserve">-0.000009  </v>
      </c>
      <c r="BB83" s="13" t="str">
        <f t="shared" ref="BB83" si="372">IF($AO83=1,IF(ISBLANK(Z83),"-",CONCATENATE(TEXT(Z83," 0.000000;-0.000000"),"  ")),"")</f>
        <v>-</v>
      </c>
      <c r="BC83" s="13" t="str">
        <f t="shared" ref="BC83" si="373">IF($AO83=1,IF(ISBLANK(AA83),"-",CONCATENATE(TEXT(AA83," 0.000000;-0.000000"),"  ")),"")</f>
        <v>-</v>
      </c>
      <c r="BD83" s="13" t="str">
        <f t="shared" si="15"/>
        <v xml:space="preserve">_x000D_
                                                                                </v>
      </c>
      <c r="BE83" s="13" t="str">
        <f t="shared" si="238"/>
        <v xml:space="preserve">1.050   </v>
      </c>
      <c r="BF83" s="13" t="str">
        <f t="shared" si="239"/>
        <v xml:space="preserve">0.170   </v>
      </c>
      <c r="BG83" s="13" t="str">
        <f t="shared" si="240"/>
        <v xml:space="preserve">10.000   </v>
      </c>
      <c r="BH83" s="13" t="str">
        <f t="shared" si="241"/>
        <v>-</v>
      </c>
      <c r="BI83" s="13" t="str">
        <f t="shared" si="242"/>
        <v>-</v>
      </c>
      <c r="BJ83" s="13" t="str">
        <f t="shared" si="243"/>
        <v>-</v>
      </c>
      <c r="BM83" s="13" t="str">
        <f t="shared" si="360"/>
        <v>Toadb</v>
      </c>
      <c r="BO83" s="118">
        <f>(BO82-32)/1.8</f>
        <v>8.3333333333333339</v>
      </c>
      <c r="BP83" s="118"/>
      <c r="BQ83" s="118">
        <f t="shared" ref="BQ83" si="374">(BQ82-32)/1.8</f>
        <v>10</v>
      </c>
      <c r="BR83" s="118">
        <f t="shared" ref="BR83" si="375">(BR82-32)/1.8</f>
        <v>-23.333333333333332</v>
      </c>
      <c r="BS83" s="118"/>
      <c r="BT83" s="118"/>
      <c r="BU83" s="104">
        <f>$V83+$W83*BO83+$X83*BO83^2+$Y83*BO83^3</f>
        <v>0.99948150000000013</v>
      </c>
      <c r="BV83" s="104">
        <f t="shared" si="361"/>
        <v>1.0531764000000001</v>
      </c>
      <c r="BW83" s="104">
        <f t="shared" si="361"/>
        <v>0.16943040000000004</v>
      </c>
    </row>
    <row r="84" spans="1:80" hidden="1" outlineLevel="1" x14ac:dyDescent="0.3">
      <c r="E84" s="13" t="s">
        <v>307</v>
      </c>
      <c r="F84" s="13" t="s">
        <v>408</v>
      </c>
      <c r="G84" s="22" t="s">
        <v>542</v>
      </c>
      <c r="H84" s="13" t="s">
        <v>302</v>
      </c>
      <c r="I84" s="13" t="s">
        <v>659</v>
      </c>
      <c r="J84" s="13" t="s">
        <v>273</v>
      </c>
      <c r="K84" s="13" t="s">
        <v>6</v>
      </c>
      <c r="N84" s="13" t="str">
        <f t="shared" si="264"/>
        <v>CoilHtgWSHPQRatio_fTdbTcwsIP</v>
      </c>
      <c r="O84" s="13" t="s">
        <v>340</v>
      </c>
      <c r="P84" s="13" t="s">
        <v>160</v>
      </c>
      <c r="Q84" s="13" t="s">
        <v>117</v>
      </c>
      <c r="R84" s="13" t="s">
        <v>140</v>
      </c>
      <c r="V84" s="33">
        <v>0.48865340000000002</v>
      </c>
      <c r="W84" s="33">
        <v>-6.7774000000000003E-3</v>
      </c>
      <c r="X84" s="33">
        <v>0</v>
      </c>
      <c r="Y84" s="33">
        <v>1.4082300000000001E-2</v>
      </c>
      <c r="AG84" s="113" t="str">
        <f t="shared" si="355"/>
        <v/>
      </c>
      <c r="AH84" s="113" t="str">
        <f t="shared" si="356"/>
        <v/>
      </c>
      <c r="AI84" s="113" t="str">
        <f t="shared" si="357"/>
        <v/>
      </c>
      <c r="AJ84" s="113" t="str">
        <f t="shared" si="351"/>
        <v/>
      </c>
      <c r="AK84" s="113" t="str">
        <f t="shared" si="358"/>
        <v/>
      </c>
      <c r="AL84" s="113" t="str">
        <f t="shared" si="359"/>
        <v/>
      </c>
      <c r="AO84" s="13">
        <f t="shared" si="354"/>
        <v>0</v>
      </c>
      <c r="AP84" s="120" t="str">
        <f t="shared" si="8"/>
        <v/>
      </c>
      <c r="AQ84" s="120" t="str">
        <f t="shared" si="353"/>
        <v/>
      </c>
      <c r="AR84" s="120" t="str">
        <f t="shared" si="225"/>
        <v/>
      </c>
      <c r="AS84" s="120" t="str">
        <f t="shared" si="23"/>
        <v/>
      </c>
      <c r="AT84" s="13" t="str">
        <f t="shared" si="107"/>
        <v/>
      </c>
      <c r="AU84" s="13" t="str">
        <f t="shared" si="24"/>
        <v xml:space="preserve">               </v>
      </c>
      <c r="AV84" s="13" t="str">
        <f t="shared" si="265"/>
        <v/>
      </c>
      <c r="AW84" s="13" t="str">
        <f t="shared" si="227"/>
        <v xml:space="preserve">                                                                 </v>
      </c>
      <c r="AX84" s="13" t="str">
        <f t="shared" si="146"/>
        <v/>
      </c>
      <c r="AY84" s="13" t="str">
        <f t="shared" si="147"/>
        <v/>
      </c>
      <c r="AZ84" s="13" t="str">
        <f t="shared" si="148"/>
        <v/>
      </c>
      <c r="BA84" s="13" t="str">
        <f t="shared" si="149"/>
        <v/>
      </c>
      <c r="BB84" s="13" t="str">
        <f t="shared" si="150"/>
        <v/>
      </c>
      <c r="BC84" s="13" t="str">
        <f t="shared" si="151"/>
        <v/>
      </c>
      <c r="BD84" s="13" t="str">
        <f t="shared" si="15"/>
        <v xml:space="preserve"> </v>
      </c>
      <c r="BE84" s="13" t="str">
        <f t="shared" si="238"/>
        <v/>
      </c>
      <c r="BF84" s="13" t="str">
        <f t="shared" si="239"/>
        <v/>
      </c>
      <c r="BG84" s="13" t="str">
        <f t="shared" si="240"/>
        <v/>
      </c>
      <c r="BH84" s="13" t="str">
        <f t="shared" si="241"/>
        <v/>
      </c>
      <c r="BI84" s="13" t="str">
        <f t="shared" si="242"/>
        <v/>
      </c>
      <c r="BJ84" s="13" t="str">
        <f t="shared" si="243"/>
        <v/>
      </c>
      <c r="BM84" s="13" t="str">
        <f t="shared" si="360"/>
        <v>Tdb</v>
      </c>
      <c r="BN84" s="13" t="str">
        <f t="shared" si="303"/>
        <v>Tcws</v>
      </c>
      <c r="BU84" s="104"/>
      <c r="BV84" s="104"/>
      <c r="BW84" s="104"/>
    </row>
    <row r="85" spans="1:80" s="34" customFormat="1" hidden="1" outlineLevel="1" x14ac:dyDescent="0.3">
      <c r="A85" s="40"/>
      <c r="D85" s="24"/>
      <c r="E85" s="34" t="s">
        <v>307</v>
      </c>
      <c r="F85" s="13" t="s">
        <v>408</v>
      </c>
      <c r="G85" s="22" t="s">
        <v>542</v>
      </c>
      <c r="H85" s="13" t="s">
        <v>302</v>
      </c>
      <c r="I85" s="13" t="s">
        <v>660</v>
      </c>
      <c r="J85" s="34" t="s">
        <v>144</v>
      </c>
      <c r="L85" s="41" t="str">
        <f>'E+ Reference'!$D$43</f>
        <v>Coil:Heating:WaterToAirHeatPump:EquationFit</v>
      </c>
      <c r="M85" s="41" t="s">
        <v>337</v>
      </c>
      <c r="N85" s="13" t="str">
        <f t="shared" si="264"/>
        <v>CoilHtgWSHPQRatio_fTdbRatioTwtRatioCFMRatioGPMRatioSI</v>
      </c>
      <c r="O85" s="34" t="s">
        <v>322</v>
      </c>
      <c r="P85" s="34" t="s">
        <v>160</v>
      </c>
      <c r="Q85" s="34" t="s">
        <v>507</v>
      </c>
      <c r="R85" s="34" t="s">
        <v>324</v>
      </c>
      <c r="S85" s="34" t="s">
        <v>120</v>
      </c>
      <c r="T85" s="34" t="s">
        <v>148</v>
      </c>
      <c r="V85" s="13">
        <v>0.204873159</v>
      </c>
      <c r="W85" s="13">
        <v>-2.8926641100000001</v>
      </c>
      <c r="X85" s="13">
        <v>3.2786986260000002</v>
      </c>
      <c r="Y85" s="13">
        <v>0.154356726</v>
      </c>
      <c r="Z85" s="13">
        <v>0.11077756599999999</v>
      </c>
      <c r="AA85" s="42"/>
      <c r="AG85" s="113" t="str">
        <f t="shared" si="355"/>
        <v/>
      </c>
      <c r="AH85" s="113" t="str">
        <f t="shared" si="356"/>
        <v/>
      </c>
      <c r="AI85" s="113" t="str">
        <f t="shared" si="357"/>
        <v/>
      </c>
      <c r="AJ85" s="113" t="str">
        <f t="shared" si="351"/>
        <v/>
      </c>
      <c r="AK85" s="113" t="str">
        <f t="shared" si="358"/>
        <v/>
      </c>
      <c r="AL85" s="113" t="str">
        <f t="shared" si="359"/>
        <v/>
      </c>
      <c r="AM85" s="24" t="s">
        <v>1136</v>
      </c>
      <c r="AO85" s="13">
        <v>0</v>
      </c>
      <c r="AP85" s="121" t="str">
        <f t="shared" si="8"/>
        <v/>
      </c>
      <c r="AQ85" s="121" t="str">
        <f t="shared" si="353"/>
        <v/>
      </c>
      <c r="AR85" s="121" t="str">
        <f t="shared" si="225"/>
        <v/>
      </c>
      <c r="AS85" s="121" t="str">
        <f t="shared" si="23"/>
        <v/>
      </c>
      <c r="AT85" s="34" t="str">
        <f t="shared" si="107"/>
        <v/>
      </c>
      <c r="AU85" s="13" t="str">
        <f t="shared" si="24"/>
        <v xml:space="preserve">               </v>
      </c>
      <c r="AV85" s="13" t="str">
        <f t="shared" si="265"/>
        <v/>
      </c>
      <c r="AW85" s="34" t="str">
        <f t="shared" si="227"/>
        <v xml:space="preserve">                                                                 </v>
      </c>
      <c r="AX85" s="34" t="str">
        <f t="shared" si="146"/>
        <v/>
      </c>
      <c r="AY85" s="34" t="str">
        <f t="shared" si="147"/>
        <v/>
      </c>
      <c r="AZ85" s="34" t="str">
        <f t="shared" si="148"/>
        <v/>
      </c>
      <c r="BA85" s="34" t="str">
        <f t="shared" si="149"/>
        <v/>
      </c>
      <c r="BB85" s="34" t="str">
        <f t="shared" si="150"/>
        <v/>
      </c>
      <c r="BC85" s="34" t="str">
        <f t="shared" si="151"/>
        <v/>
      </c>
      <c r="BD85" s="13" t="str">
        <f t="shared" si="15"/>
        <v xml:space="preserve"> </v>
      </c>
      <c r="BE85" s="34" t="str">
        <f t="shared" si="238"/>
        <v/>
      </c>
      <c r="BF85" s="34" t="str">
        <f t="shared" si="239"/>
        <v/>
      </c>
      <c r="BG85" s="34" t="str">
        <f t="shared" si="240"/>
        <v/>
      </c>
      <c r="BH85" s="34" t="str">
        <f t="shared" si="241"/>
        <v/>
      </c>
      <c r="BI85" s="34" t="str">
        <f t="shared" si="242"/>
        <v/>
      </c>
      <c r="BJ85" s="34" t="str">
        <f t="shared" si="243"/>
        <v/>
      </c>
      <c r="BM85" s="13" t="str">
        <f t="shared" si="360"/>
        <v>TdbRatio</v>
      </c>
      <c r="BN85" s="13" t="str">
        <f t="shared" ref="BN85:BN92" si="376">R85</f>
        <v>TwtRatio</v>
      </c>
      <c r="BU85" s="117"/>
      <c r="BV85" s="117"/>
      <c r="BW85" s="117"/>
      <c r="BX85" s="13"/>
      <c r="BY85" s="13"/>
      <c r="BZ85" s="13"/>
      <c r="CA85" s="13"/>
      <c r="CB85" s="13"/>
    </row>
    <row r="86" spans="1:80" hidden="1" outlineLevel="1" x14ac:dyDescent="0.3">
      <c r="A86" s="40"/>
      <c r="B86" s="34"/>
      <c r="C86" s="34" t="s">
        <v>810</v>
      </c>
      <c r="D86" s="24"/>
      <c r="E86" s="13" t="s">
        <v>307</v>
      </c>
      <c r="F86" s="13" t="s">
        <v>403</v>
      </c>
      <c r="G86" s="43" t="s">
        <v>825</v>
      </c>
      <c r="H86" s="38" t="s">
        <v>830</v>
      </c>
      <c r="I86" s="13" t="s">
        <v>660</v>
      </c>
      <c r="J86" s="38" t="s">
        <v>144</v>
      </c>
      <c r="L86" s="38"/>
      <c r="M86" s="38" t="s">
        <v>827</v>
      </c>
      <c r="N86" s="13" t="str">
        <f t="shared" si="264"/>
        <v>CoilHtgVRFHtgQratio_fTwbTdbSI</v>
      </c>
      <c r="O86" s="38" t="s">
        <v>165</v>
      </c>
      <c r="P86" s="38" t="s">
        <v>824</v>
      </c>
      <c r="Q86" s="38" t="s">
        <v>116</v>
      </c>
      <c r="R86" s="38" t="s">
        <v>117</v>
      </c>
      <c r="S86" s="38"/>
      <c r="T86" s="38"/>
      <c r="U86" s="38"/>
      <c r="V86" s="44">
        <v>0.37544399495612701</v>
      </c>
      <c r="W86" s="44">
        <v>6.6819064514782103E-2</v>
      </c>
      <c r="X86" s="44">
        <v>-1.94171026482001E-3</v>
      </c>
      <c r="Y86" s="44">
        <v>4.4261842064018703E-2</v>
      </c>
      <c r="Z86" s="44">
        <v>-4.0095780000000002E-4</v>
      </c>
      <c r="AA86" s="44">
        <v>-1.4819801E-3</v>
      </c>
      <c r="AF86" s="61"/>
      <c r="AG86" s="113">
        <v>27.22</v>
      </c>
      <c r="AH86" s="113">
        <v>21.11</v>
      </c>
      <c r="AI86" s="113">
        <v>18.329999999999998</v>
      </c>
      <c r="AJ86" s="113">
        <v>-15</v>
      </c>
      <c r="AK86" s="113"/>
      <c r="AL86" s="113"/>
      <c r="AM86" s="22" t="s">
        <v>916</v>
      </c>
      <c r="AO86" s="13">
        <f t="shared" ref="AO86:AO91" si="377">IF(ISTEXT(A86),"",IF(I86="IP",0,1))</f>
        <v>1</v>
      </c>
      <c r="AP86" s="121" t="str">
        <f t="shared" ref="AP86:AP87" si="378">IF(AO86=1,CONCATENATE(AQ86,AR86,AS86),"")</f>
        <v>CrvDblQuad     "CoilHtgVRFHtgQratio_fTwbTdbSI"                                  Coef1 =  0.375444  Coef2 =  0.066819  Coef3 = -0.001942  Coef4 =  0.044262  Coef5 = -0.000401  Coef6 = -0.001482  _x000D_
                                                                                MaxOut = 27.220   MinOut = 21.110   MaxVar1 = 18.330   MinVar1 = -15.000   _x000D_
..</v>
      </c>
      <c r="AQ86" s="121" t="str">
        <f t="shared" ref="AQ86:AQ87" si="379">IF(AO86=1,CONCATENATE(AT86,AU86,AV86,AW86,IF(AX86="-","",$AX$15&amp;AX86),IF(AY86="-","",$AY$15&amp;AY86),IF(AZ86="-","",$AZ$15&amp;AZ86),IF(BA86="-","",$BA$15&amp;BA86),IF(BB86="-","",$BB$15&amp;BB86),IF(BC86="-","",$BC$15&amp;BC86)),"")</f>
        <v xml:space="preserve">CrvDblQuad     "CoilHtgVRFHtgQratio_fTwbTdbSI"                                  Coef1 =  0.375444  Coef2 =  0.066819  Coef3 = -0.001942  Coef4 =  0.044262  Coef5 = -0.000401  Coef6 = -0.001482  </v>
      </c>
      <c r="AR86" s="121" t="str">
        <f t="shared" ref="AR86:AR87" si="380">IF(AO86=1,CONCATENATE(BD86,IF(BE86="-","",$BE$15&amp;BE86),IF(BF86="-","",$BF$15&amp;BF86),IF(BG86="-","",$BG$15&amp;BG86),IF(BH86="-","",$BH$15&amp;BH86),IF(BI86="-","",$BI$15&amp;BI86),IF(BJ86="-","",$BJ$15&amp;BJ86)),"")</f>
        <v xml:space="preserve">_x000D_
                                                                                MaxOut = 27.220   MinOut = 21.110   MaxVar1 = 18.330   MinVar1 = -15.000   </v>
      </c>
      <c r="AS86" s="121" t="str">
        <f t="shared" ref="AS86:AS87" si="381">IF(AO86=1,CHAR(13)&amp;CHAR(10)&amp;"..","")</f>
        <v>_x000D_
..</v>
      </c>
      <c r="AT86" s="34" t="str">
        <f t="shared" ref="AT86:AT87" si="382">IF(AO86=1,VLOOKUP(O86,$AT$2:$AV$13,2,0),"")</f>
        <v>CrvDblQuad</v>
      </c>
      <c r="AU86" s="13" t="str">
        <f t="shared" ref="AU86:AU87" si="383">REPT(" ",AU$14-LEN(AT86))</f>
        <v xml:space="preserve">     </v>
      </c>
      <c r="AV86" s="13" t="str">
        <f t="shared" si="265"/>
        <v>"CoilHtgVRFHtgQratio_fTwbTdbSI"</v>
      </c>
      <c r="AW86" s="34" t="str">
        <f t="shared" ref="AW86:AW87" si="384">REPT(" ",$AW$14-LEN(AV86))</f>
        <v xml:space="preserve">                                  </v>
      </c>
      <c r="AX86" s="34" t="str">
        <f t="shared" ref="AX86:AX87" si="385">IF($AO86=1,IF(ISBLANK(V86),"-",CONCATENATE(TEXT(V86," 0.000000;-0.000000"),"  ")),"")</f>
        <v xml:space="preserve"> 0.375444  </v>
      </c>
      <c r="AY86" s="34" t="str">
        <f t="shared" ref="AY86:AY87" si="386">IF($AO86=1,IF(ISBLANK(W86),"-",CONCATENATE(TEXT(W86," 0.000000;-0.000000"),"  ")),"")</f>
        <v xml:space="preserve"> 0.066819  </v>
      </c>
      <c r="AZ86" s="34" t="str">
        <f t="shared" ref="AZ86:AZ87" si="387">IF($AO86=1,IF(ISBLANK(X86),"-",CONCATENATE(TEXT(X86," 0.000000;-0.000000"),"  ")),"")</f>
        <v xml:space="preserve">-0.001942  </v>
      </c>
      <c r="BA86" s="34" t="str">
        <f t="shared" ref="BA86:BA87" si="388">IF($AO86=1,IF(ISBLANK(Y86),"-",CONCATENATE(TEXT(Y86," 0.000000;-0.000000"),"  ")),"")</f>
        <v xml:space="preserve"> 0.044262  </v>
      </c>
      <c r="BB86" s="34" t="str">
        <f t="shared" ref="BB86:BB87" si="389">IF($AO86=1,IF(ISBLANK(Z86),"-",CONCATENATE(TEXT(Z86," 0.000000;-0.000000"),"  ")),"")</f>
        <v xml:space="preserve">-0.000401  </v>
      </c>
      <c r="BC86" s="34" t="str">
        <f t="shared" ref="BC86:BC87" si="390">IF($AO86=1,IF(ISBLANK(AA86),"-",CONCATENATE(TEXT(AA86," 0.000000;-0.000000"),"  ")),"")</f>
        <v xml:space="preserve">-0.001482  </v>
      </c>
      <c r="BD86" s="13" t="str">
        <f t="shared" ref="BD86:BD87" si="391">IF(MAX(AG86:AL86)=0,REPT(" ",1),CHAR(13)&amp;CHAR(10)&amp;REPT(" ",BD$14))</f>
        <v xml:space="preserve">_x000D_
                                                                                </v>
      </c>
      <c r="BE86" s="34" t="str">
        <f t="shared" ref="BE86:BE87" si="392">IF($AO86=1,IF(AG86="","-",CONCATENATE(TEXT(AG86,"0.000"),"   ")),"")</f>
        <v xml:space="preserve">27.220   </v>
      </c>
      <c r="BF86" s="34" t="str">
        <f t="shared" ref="BF86:BF87" si="393">IF($AO86=1,IF(AH86="","-",CONCATENATE(TEXT(AH86,"0.000"),"   ")),"")</f>
        <v xml:space="preserve">21.110   </v>
      </c>
      <c r="BG86" s="34" t="str">
        <f t="shared" ref="BG86:BG87" si="394">IF($AO86=1,IF(AI86="","-",CONCATENATE(TEXT(AI86,"0.000"),"   ")),"")</f>
        <v xml:space="preserve">18.330   </v>
      </c>
      <c r="BH86" s="34" t="str">
        <f t="shared" ref="BH86:BH87" si="395">IF($AO86=1,IF(AJ86="","-",CONCATENATE(TEXT(AJ86,"0.000"),"   ")),"")</f>
        <v xml:space="preserve">-15.000   </v>
      </c>
      <c r="BI86" s="34" t="str">
        <f t="shared" ref="BI86:BI87" si="396">IF($AO86=1,IF(AK86="","-",CONCATENATE(TEXT(AK86,"0.000"),"   ")),"")</f>
        <v>-</v>
      </c>
      <c r="BJ86" s="34" t="str">
        <f t="shared" ref="BJ86:BJ87" si="397">IF($AO86=1,IF(AL86="","-",CONCATENATE(TEXT(AL86,"0.000"),"   ")),"")</f>
        <v>-</v>
      </c>
      <c r="BK86" s="34"/>
      <c r="BL86" s="34"/>
      <c r="BM86" s="13" t="str">
        <f t="shared" ref="BM86:BM87" si="398">Q86</f>
        <v>Twb</v>
      </c>
      <c r="BN86" s="13" t="str">
        <f t="shared" ref="BN86:BN87" si="399">R86</f>
        <v>Tdb</v>
      </c>
      <c r="BO86" s="34"/>
      <c r="BP86" s="34"/>
      <c r="BQ86" s="34"/>
      <c r="BR86" s="34"/>
      <c r="BS86" s="34"/>
      <c r="BT86" s="34"/>
      <c r="BU86" s="117"/>
      <c r="BV86" s="117"/>
      <c r="BW86" s="117"/>
    </row>
    <row r="87" spans="1:80" hidden="1" outlineLevel="1" x14ac:dyDescent="0.3">
      <c r="A87" s="40"/>
      <c r="B87" s="34"/>
      <c r="C87" s="34" t="s">
        <v>810</v>
      </c>
      <c r="D87" s="24"/>
      <c r="E87" s="13" t="s">
        <v>307</v>
      </c>
      <c r="F87" s="13" t="s">
        <v>502</v>
      </c>
      <c r="G87" s="43" t="s">
        <v>825</v>
      </c>
      <c r="H87" s="38" t="s">
        <v>830</v>
      </c>
      <c r="I87" s="13" t="s">
        <v>660</v>
      </c>
      <c r="J87" s="38" t="s">
        <v>144</v>
      </c>
      <c r="L87" s="38"/>
      <c r="M87" s="38" t="s">
        <v>828</v>
      </c>
      <c r="N87" s="13" t="str">
        <f t="shared" si="264"/>
        <v>CoilHtgVRFHtgQratio_fCFMRatioSI</v>
      </c>
      <c r="O87" s="38" t="s">
        <v>230</v>
      </c>
      <c r="P87" s="38" t="s">
        <v>824</v>
      </c>
      <c r="Q87" s="38" t="s">
        <v>120</v>
      </c>
      <c r="R87" s="38"/>
      <c r="S87" s="38"/>
      <c r="T87" s="38"/>
      <c r="U87" s="38"/>
      <c r="V87" s="44">
        <v>0.8</v>
      </c>
      <c r="W87" s="44">
        <v>0.2</v>
      </c>
      <c r="X87" s="44">
        <v>0</v>
      </c>
      <c r="Y87" s="44"/>
      <c r="Z87" s="44"/>
      <c r="AA87" s="44"/>
      <c r="AF87" s="61"/>
      <c r="AG87" s="113">
        <v>1.5</v>
      </c>
      <c r="AH87" s="113">
        <v>0.5</v>
      </c>
      <c r="AI87" s="113"/>
      <c r="AJ87" s="113"/>
      <c r="AK87" s="113"/>
      <c r="AL87" s="113"/>
      <c r="AM87" s="22" t="s">
        <v>916</v>
      </c>
      <c r="AO87" s="13">
        <f t="shared" si="377"/>
        <v>1</v>
      </c>
      <c r="AP87" s="121" t="str">
        <f t="shared" si="378"/>
        <v>CrvCubic       "CoilHtgVRFHtgQratio_fCFMRatioSI"                                Coef1 =  0.800000  Coef2 =  0.200000  Coef3 =  0.000000  _x000D_
                                                                                MaxOut = 1.500   MinOut = 0.500   _x000D_
..</v>
      </c>
      <c r="AQ87" s="121" t="str">
        <f t="shared" si="379"/>
        <v xml:space="preserve">CrvCubic       "CoilHtgVRFHtgQratio_fCFMRatioSI"                                Coef1 =  0.800000  Coef2 =  0.200000  Coef3 =  0.000000  </v>
      </c>
      <c r="AR87" s="121" t="str">
        <f t="shared" si="380"/>
        <v xml:space="preserve">_x000D_
                                                                                MaxOut = 1.500   MinOut = 0.500   </v>
      </c>
      <c r="AS87" s="121" t="str">
        <f t="shared" si="381"/>
        <v>_x000D_
..</v>
      </c>
      <c r="AT87" s="34" t="str">
        <f t="shared" si="382"/>
        <v>CrvCubic</v>
      </c>
      <c r="AU87" s="13" t="str">
        <f t="shared" si="383"/>
        <v xml:space="preserve">       </v>
      </c>
      <c r="AV87" s="13" t="str">
        <f t="shared" si="265"/>
        <v>"CoilHtgVRFHtgQratio_fCFMRatioSI"</v>
      </c>
      <c r="AW87" s="34" t="str">
        <f t="shared" si="384"/>
        <v xml:space="preserve">                                </v>
      </c>
      <c r="AX87" s="34" t="str">
        <f t="shared" si="385"/>
        <v xml:space="preserve"> 0.800000  </v>
      </c>
      <c r="AY87" s="34" t="str">
        <f t="shared" si="386"/>
        <v xml:space="preserve"> 0.200000  </v>
      </c>
      <c r="AZ87" s="34" t="str">
        <f t="shared" si="387"/>
        <v xml:space="preserve"> 0.000000  </v>
      </c>
      <c r="BA87" s="34" t="str">
        <f t="shared" si="388"/>
        <v>-</v>
      </c>
      <c r="BB87" s="34" t="str">
        <f t="shared" si="389"/>
        <v>-</v>
      </c>
      <c r="BC87" s="34" t="str">
        <f t="shared" si="390"/>
        <v>-</v>
      </c>
      <c r="BD87" s="13" t="str">
        <f t="shared" si="391"/>
        <v xml:space="preserve">_x000D_
                                                                                </v>
      </c>
      <c r="BE87" s="34" t="str">
        <f t="shared" si="392"/>
        <v xml:space="preserve">1.500   </v>
      </c>
      <c r="BF87" s="34" t="str">
        <f t="shared" si="393"/>
        <v xml:space="preserve">0.500   </v>
      </c>
      <c r="BG87" s="34" t="str">
        <f t="shared" si="394"/>
        <v>-</v>
      </c>
      <c r="BH87" s="34" t="str">
        <f t="shared" si="395"/>
        <v>-</v>
      </c>
      <c r="BI87" s="34" t="str">
        <f t="shared" si="396"/>
        <v>-</v>
      </c>
      <c r="BJ87" s="34" t="str">
        <f t="shared" si="397"/>
        <v>-</v>
      </c>
      <c r="BK87" s="34"/>
      <c r="BL87" s="34"/>
      <c r="BM87" s="13" t="str">
        <f t="shared" si="398"/>
        <v>CFMRatio</v>
      </c>
      <c r="BN87" s="13">
        <f t="shared" si="399"/>
        <v>0</v>
      </c>
      <c r="BO87" s="34"/>
      <c r="BP87" s="34"/>
      <c r="BQ87" s="34"/>
      <c r="BR87" s="34"/>
      <c r="BS87" s="34"/>
      <c r="BT87" s="34"/>
      <c r="BU87" s="117"/>
      <c r="BV87" s="117"/>
      <c r="BW87" s="117"/>
    </row>
    <row r="88" spans="1:80" hidden="1" outlineLevel="1" x14ac:dyDescent="0.3">
      <c r="B88" s="13" t="s">
        <v>289</v>
      </c>
      <c r="C88" s="13" t="s">
        <v>415</v>
      </c>
      <c r="D88" s="82" t="s">
        <v>541</v>
      </c>
      <c r="E88" s="13" t="s">
        <v>307</v>
      </c>
      <c r="F88" s="13" t="s">
        <v>558</v>
      </c>
      <c r="G88" s="22" t="s">
        <v>548</v>
      </c>
      <c r="H88" s="13" t="s">
        <v>36</v>
      </c>
      <c r="J88" s="13" t="s">
        <v>144</v>
      </c>
      <c r="L88" s="13" t="s">
        <v>310</v>
      </c>
      <c r="M88" s="13" t="s">
        <v>173</v>
      </c>
      <c r="N88" s="13" t="str">
        <f t="shared" si="264"/>
        <v>CoilHtgHPQRatio_fCFMRatio</v>
      </c>
      <c r="O88" s="13" t="s">
        <v>162</v>
      </c>
      <c r="P88" s="13" t="s">
        <v>160</v>
      </c>
      <c r="Q88" s="34" t="s">
        <v>120</v>
      </c>
      <c r="V88" s="33">
        <v>0.84</v>
      </c>
      <c r="W88" s="33">
        <v>0.16</v>
      </c>
      <c r="X88" s="33">
        <v>0</v>
      </c>
      <c r="AG88" s="113">
        <f t="shared" si="355"/>
        <v>1</v>
      </c>
      <c r="AH88" s="113">
        <f t="shared" si="356"/>
        <v>0.84</v>
      </c>
      <c r="AI88" s="113">
        <f t="shared" si="357"/>
        <v>1</v>
      </c>
      <c r="AJ88" s="113" t="str">
        <f t="shared" si="351"/>
        <v/>
      </c>
      <c r="AK88" s="113" t="str">
        <f t="shared" si="358"/>
        <v/>
      </c>
      <c r="AL88" s="113" t="str">
        <f t="shared" si="359"/>
        <v/>
      </c>
      <c r="AM88" s="22" t="s">
        <v>639</v>
      </c>
      <c r="AO88" s="13">
        <f t="shared" si="377"/>
        <v>1</v>
      </c>
      <c r="AP88" s="120" t="str">
        <f>IF(AO88=1,CONCATENATE(AQ88,AR88,AS88),"")</f>
        <v>CrvQuad        "CoilHtgHPQRatio_fCFMRatio"                                      Coef1 =  0.840000  Coef2 =  0.160000  Coef3 =  0.000000  _x000D_
                                                                                MaxOut = 1.000   MinOut = 0.840   MaxVar1 = 1.000   _x000D_
..</v>
      </c>
      <c r="AQ88" s="120" t="str">
        <f>IF(AO88=1,CONCATENATE(AT88,AU88,AV88,AW88,IF(AX88="-","",$AX$15&amp;AX88),IF(AY88="-","",$AY$15&amp;AY88),IF(AZ88="-","",$AZ$15&amp;AZ88),IF(BA88="-","",$BA$15&amp;BA88),IF(BB88="-","",$BB$15&amp;BB88),IF(BC88="-","",$BC$15&amp;BC88)),"")</f>
        <v xml:space="preserve">CrvQuad        "CoilHtgHPQRatio_fCFMRatio"                                      Coef1 =  0.840000  Coef2 =  0.160000  Coef3 =  0.000000  </v>
      </c>
      <c r="AR88" s="120" t="str">
        <f>IF(AO88=1,CONCATENATE(BD88,IF(BE88="-","",$BE$15&amp;BE88),IF(BF88="-","",$BF$15&amp;BF88),IF(BG88="-","",$BG$15&amp;BG88),IF(BH88="-","",$BH$15&amp;BH88),IF(BI88="-","",$BI$15&amp;BI88),IF(BJ88="-","",$BJ$15&amp;BJ88)),"")</f>
        <v xml:space="preserve">_x000D_
                                                                                MaxOut = 1.000   MinOut = 0.840   MaxVar1 = 1.000   </v>
      </c>
      <c r="AS88" s="120" t="str">
        <f>IF(AO88=1,CHAR(13)&amp;CHAR(10)&amp;"..","")</f>
        <v>_x000D_
..</v>
      </c>
      <c r="AT88" s="13" t="str">
        <f>IF(AO88=1,VLOOKUP(O88,$AT$2:$AV$13,2,0),"")</f>
        <v>CrvQuad</v>
      </c>
      <c r="AU88" s="13" t="str">
        <f t="shared" si="24"/>
        <v xml:space="preserve">        </v>
      </c>
      <c r="AV88" s="13" t="str">
        <f t="shared" si="265"/>
        <v>"CoilHtgHPQRatio_fCFMRatio"</v>
      </c>
      <c r="AW88" s="13" t="str">
        <f>REPT(" ",$AW$14-LEN(AV88))</f>
        <v xml:space="preserve">                                      </v>
      </c>
      <c r="AX88" s="13" t="str">
        <f t="shared" ref="AX88:BC88" si="400">IF($AO88=1,IF(ISBLANK(V88),"-",CONCATENATE(TEXT(V88," 0.000000;-0.000000"),"  ")),"")</f>
        <v xml:space="preserve"> 0.840000  </v>
      </c>
      <c r="AY88" s="13" t="str">
        <f t="shared" si="400"/>
        <v xml:space="preserve"> 0.160000  </v>
      </c>
      <c r="AZ88" s="13" t="str">
        <f t="shared" si="400"/>
        <v xml:space="preserve"> 0.000000  </v>
      </c>
      <c r="BA88" s="13" t="str">
        <f t="shared" si="400"/>
        <v>-</v>
      </c>
      <c r="BB88" s="13" t="str">
        <f t="shared" si="400"/>
        <v>-</v>
      </c>
      <c r="BC88" s="13" t="str">
        <f t="shared" si="400"/>
        <v>-</v>
      </c>
      <c r="BD88" s="13" t="str">
        <f t="shared" si="15"/>
        <v xml:space="preserve">_x000D_
                                                                                </v>
      </c>
      <c r="BE88" s="13" t="str">
        <f t="shared" si="238"/>
        <v xml:space="preserve">1.000   </v>
      </c>
      <c r="BF88" s="13" t="str">
        <f t="shared" si="239"/>
        <v xml:space="preserve">0.840   </v>
      </c>
      <c r="BG88" s="13" t="str">
        <f t="shared" si="240"/>
        <v xml:space="preserve">1.000   </v>
      </c>
      <c r="BH88" s="13" t="str">
        <f t="shared" si="241"/>
        <v>-</v>
      </c>
      <c r="BI88" s="13" t="str">
        <f t="shared" si="242"/>
        <v>-</v>
      </c>
      <c r="BJ88" s="13" t="str">
        <f t="shared" si="243"/>
        <v>-</v>
      </c>
      <c r="BM88" s="13" t="str">
        <f t="shared" si="360"/>
        <v>CFMRatio</v>
      </c>
      <c r="BO88" s="13">
        <v>1</v>
      </c>
      <c r="BQ88" s="13">
        <v>1</v>
      </c>
      <c r="BR88" s="13">
        <v>0</v>
      </c>
      <c r="BU88" s="104">
        <f>$V88+$W88*BO88+$X88*BO88^2+$Y88*BO88^3</f>
        <v>1</v>
      </c>
      <c r="BV88" s="104">
        <f t="shared" ref="BV88" si="401">$V88+$W88*BQ88+$X88*BQ88^2+$Y88*BQ88^3</f>
        <v>1</v>
      </c>
      <c r="BW88" s="104">
        <f>$V88+$W88*BR88+$X88*BR88^2+$Y88*BR88^3</f>
        <v>0.84</v>
      </c>
    </row>
    <row r="89" spans="1:80" ht="28.8" hidden="1" outlineLevel="1" x14ac:dyDescent="0.3">
      <c r="B89" s="13" t="s">
        <v>129</v>
      </c>
      <c r="C89" s="38" t="s">
        <v>133</v>
      </c>
      <c r="D89" s="22" t="s">
        <v>667</v>
      </c>
      <c r="E89" s="13" t="s">
        <v>307</v>
      </c>
      <c r="F89" s="13" t="s">
        <v>414</v>
      </c>
      <c r="G89" s="22" t="s">
        <v>548</v>
      </c>
      <c r="H89" s="13" t="s">
        <v>36</v>
      </c>
      <c r="I89" s="13" t="s">
        <v>659</v>
      </c>
      <c r="J89" s="13" t="s">
        <v>273</v>
      </c>
      <c r="K89" s="13" t="s">
        <v>7</v>
      </c>
      <c r="N89" s="13" t="str">
        <f t="shared" si="264"/>
        <v>CoilHtgHPEIRRatio_fToadbIP</v>
      </c>
      <c r="O89" s="13" t="s">
        <v>230</v>
      </c>
      <c r="P89" s="13" t="s">
        <v>288</v>
      </c>
      <c r="Q89" s="13" t="s">
        <v>460</v>
      </c>
      <c r="V89" s="33">
        <v>2.4600298</v>
      </c>
      <c r="W89" s="33">
        <v>-6.2253900000000001E-2</v>
      </c>
      <c r="X89" s="33">
        <v>8.8000000000000003E-4</v>
      </c>
      <c r="Y89" s="33">
        <v>-4.6E-6</v>
      </c>
      <c r="AG89" s="113">
        <f t="shared" si="355"/>
        <v>3.18</v>
      </c>
      <c r="AH89" s="113">
        <f t="shared" si="356"/>
        <v>0.97</v>
      </c>
      <c r="AI89" s="113">
        <f t="shared" si="357"/>
        <v>50</v>
      </c>
      <c r="AJ89" s="113" t="str">
        <f t="shared" si="351"/>
        <v/>
      </c>
      <c r="AK89" s="113" t="str">
        <f t="shared" si="358"/>
        <v/>
      </c>
      <c r="AL89" s="113" t="str">
        <f t="shared" si="359"/>
        <v/>
      </c>
      <c r="AO89" s="13">
        <f t="shared" si="377"/>
        <v>0</v>
      </c>
      <c r="AP89" s="120" t="str">
        <f t="shared" si="8"/>
        <v/>
      </c>
      <c r="AQ89" s="120" t="str">
        <f t="shared" si="353"/>
        <v/>
      </c>
      <c r="AR89" s="120" t="str">
        <f t="shared" si="225"/>
        <v/>
      </c>
      <c r="AS89" s="120" t="str">
        <f t="shared" si="23"/>
        <v/>
      </c>
      <c r="AT89" s="13" t="str">
        <f t="shared" si="107"/>
        <v/>
      </c>
      <c r="AU89" s="13" t="str">
        <f t="shared" si="24"/>
        <v xml:space="preserve">               </v>
      </c>
      <c r="AV89" s="13" t="str">
        <f t="shared" si="265"/>
        <v/>
      </c>
      <c r="AW89" s="13" t="str">
        <f t="shared" si="227"/>
        <v xml:space="preserve">                                                                 </v>
      </c>
      <c r="AX89" s="13" t="str">
        <f t="shared" si="146"/>
        <v/>
      </c>
      <c r="AY89" s="13" t="str">
        <f t="shared" si="147"/>
        <v/>
      </c>
      <c r="AZ89" s="13" t="str">
        <f t="shared" si="148"/>
        <v/>
      </c>
      <c r="BA89" s="13" t="str">
        <f t="shared" si="149"/>
        <v/>
      </c>
      <c r="BB89" s="13" t="str">
        <f t="shared" si="150"/>
        <v/>
      </c>
      <c r="BC89" s="13" t="str">
        <f t="shared" si="151"/>
        <v/>
      </c>
      <c r="BD89" s="13" t="str">
        <f t="shared" si="15"/>
        <v xml:space="preserve">_x000D_
                                                                                </v>
      </c>
      <c r="BE89" s="13" t="str">
        <f t="shared" si="238"/>
        <v/>
      </c>
      <c r="BF89" s="13" t="str">
        <f t="shared" si="239"/>
        <v/>
      </c>
      <c r="BG89" s="13" t="str">
        <f t="shared" si="240"/>
        <v/>
      </c>
      <c r="BH89" s="13" t="str">
        <f t="shared" si="241"/>
        <v/>
      </c>
      <c r="BI89" s="13" t="str">
        <f t="shared" si="242"/>
        <v/>
      </c>
      <c r="BJ89" s="13" t="str">
        <f t="shared" si="243"/>
        <v/>
      </c>
      <c r="BM89" s="13" t="str">
        <f t="shared" si="360"/>
        <v>Toadb</v>
      </c>
      <c r="BO89" s="13">
        <v>47</v>
      </c>
      <c r="BQ89" s="13">
        <v>50</v>
      </c>
      <c r="BR89" s="13">
        <v>-10</v>
      </c>
      <c r="BU89" s="104">
        <f>$V89+$W89*BO89+$X89*BO89^2+$Y89*BO89^3</f>
        <v>1.0004307000000001</v>
      </c>
      <c r="BV89" s="104">
        <f>$V89+$W89*BR89+$X89*BR89^2+$Y89*BR89^3</f>
        <v>3.1751687999999998</v>
      </c>
      <c r="BW89" s="104">
        <f>$V89+$W89*BQ89+$X89*BQ89^2+$Y89*BQ89^3</f>
        <v>0.97233480000000028</v>
      </c>
      <c r="BX89" s="13" t="s">
        <v>729</v>
      </c>
    </row>
    <row r="90" spans="1:80" hidden="1" outlineLevel="1" x14ac:dyDescent="0.3">
      <c r="C90" s="38"/>
      <c r="E90" s="13" t="s">
        <v>307</v>
      </c>
      <c r="F90" s="13" t="s">
        <v>414</v>
      </c>
      <c r="G90" s="22" t="s">
        <v>548</v>
      </c>
      <c r="H90" s="13" t="s">
        <v>36</v>
      </c>
      <c r="I90" s="13" t="s">
        <v>660</v>
      </c>
      <c r="J90" s="34" t="s">
        <v>144</v>
      </c>
      <c r="L90" s="13" t="s">
        <v>310</v>
      </c>
      <c r="M90" s="13" t="s">
        <v>169</v>
      </c>
      <c r="N90" s="13" t="str">
        <f t="shared" si="264"/>
        <v>CoilHtgHPEIRRatio_fToadbSI</v>
      </c>
      <c r="O90" s="13" t="s">
        <v>230</v>
      </c>
      <c r="P90" s="13" t="s">
        <v>288</v>
      </c>
      <c r="Q90" s="13" t="s">
        <v>460</v>
      </c>
      <c r="V90" s="33">
        <v>1.2182900000000001</v>
      </c>
      <c r="W90" s="33">
        <v>-3.6117200000000002E-2</v>
      </c>
      <c r="X90" s="33">
        <v>1.4204199999999999E-3</v>
      </c>
      <c r="Y90" s="33">
        <v>-2.68272E-5</v>
      </c>
      <c r="AG90" s="113">
        <f t="shared" si="355"/>
        <v>3.18</v>
      </c>
      <c r="AH90" s="113">
        <f t="shared" si="356"/>
        <v>0.97</v>
      </c>
      <c r="AI90" s="113">
        <f t="shared" si="357"/>
        <v>10</v>
      </c>
      <c r="AJ90" s="113" t="str">
        <f t="shared" si="351"/>
        <v/>
      </c>
      <c r="AK90" s="113" t="str">
        <f t="shared" si="358"/>
        <v/>
      </c>
      <c r="AL90" s="113" t="str">
        <f t="shared" si="359"/>
        <v/>
      </c>
      <c r="AO90" s="13">
        <f t="shared" si="377"/>
        <v>1</v>
      </c>
      <c r="AP90" s="120" t="str">
        <f t="shared" ref="AP90" si="402">IF(AO90=1,CONCATENATE(AQ90,AR90,AS90),"")</f>
        <v>CrvCubic       "CoilHtgHPEIRRatio_fToadbSI"                                     Coef1 =  1.218290  Coef2 = -0.036117  Coef3 =  0.001420  Coef4 = -0.000027  _x000D_
                                                                                MaxOut = 3.180   MinOut = 0.970   MaxVar1 = 10.000   _x000D_
..</v>
      </c>
      <c r="AQ90" s="120" t="str">
        <f t="shared" ref="AQ90" si="403">IF(AO90=1,CONCATENATE(AT90,AU90,AV90,AW90,IF(AX90="-","",$AX$15&amp;AX90),IF(AY90="-","",$AY$15&amp;AY90),IF(AZ90="-","",$AZ$15&amp;AZ90),IF(BA90="-","",$BA$15&amp;BA90),IF(BB90="-","",$BB$15&amp;BB90),IF(BC90="-","",$BC$15&amp;BC90)),"")</f>
        <v xml:space="preserve">CrvCubic       "CoilHtgHPEIRRatio_fToadbSI"                                     Coef1 =  1.218290  Coef2 = -0.036117  Coef3 =  0.001420  Coef4 = -0.000027  </v>
      </c>
      <c r="AR90" s="120" t="str">
        <f t="shared" ref="AR90" si="404">IF(AO90=1,CONCATENATE(BD90,IF(BE90="-","",$BE$15&amp;BE90),IF(BF90="-","",$BF$15&amp;BF90),IF(BG90="-","",$BG$15&amp;BG90),IF(BH90="-","",$BH$15&amp;BH90),IF(BI90="-","",$BI$15&amp;BI90),IF(BJ90="-","",$BJ$15&amp;BJ90)),"")</f>
        <v xml:space="preserve">_x000D_
                                                                                MaxOut = 3.180   MinOut = 0.970   MaxVar1 = 10.000   </v>
      </c>
      <c r="AS90" s="120" t="str">
        <f t="shared" ref="AS90" si="405">IF(AO90=1,CHAR(13)&amp;CHAR(10)&amp;"..","")</f>
        <v>_x000D_
..</v>
      </c>
      <c r="AT90" s="13" t="str">
        <f t="shared" ref="AT90" si="406">IF(AO90=1,VLOOKUP(O90,$AT$2:$AV$13,2,0),"")</f>
        <v>CrvCubic</v>
      </c>
      <c r="AU90" s="13" t="str">
        <f t="shared" si="24"/>
        <v xml:space="preserve">       </v>
      </c>
      <c r="AV90" s="13" t="str">
        <f t="shared" si="265"/>
        <v>"CoilHtgHPEIRRatio_fToadbSI"</v>
      </c>
      <c r="AW90" s="13" t="str">
        <f t="shared" ref="AW90" si="407">REPT(" ",$AW$14-LEN(AV90))</f>
        <v xml:space="preserve">                                     </v>
      </c>
      <c r="AX90" s="13" t="str">
        <f t="shared" ref="AX90" si="408">IF($AO90=1,IF(ISBLANK(V90),"-",CONCATENATE(TEXT(V90," 0.000000;-0.000000"),"  ")),"")</f>
        <v xml:space="preserve"> 1.218290  </v>
      </c>
      <c r="AY90" s="13" t="str">
        <f t="shared" ref="AY90" si="409">IF($AO90=1,IF(ISBLANK(W90),"-",CONCATENATE(TEXT(W90," 0.000000;-0.000000"),"  ")),"")</f>
        <v xml:space="preserve">-0.036117  </v>
      </c>
      <c r="AZ90" s="13" t="str">
        <f t="shared" ref="AZ90" si="410">IF($AO90=1,IF(ISBLANK(X90),"-",CONCATENATE(TEXT(X90," 0.000000;-0.000000"),"  ")),"")</f>
        <v xml:space="preserve"> 0.001420  </v>
      </c>
      <c r="BA90" s="13" t="str">
        <f t="shared" ref="BA90" si="411">IF($AO90=1,IF(ISBLANK(Y90),"-",CONCATENATE(TEXT(Y90," 0.000000;-0.000000"),"  ")),"")</f>
        <v xml:space="preserve">-0.000027  </v>
      </c>
      <c r="BB90" s="13" t="str">
        <f t="shared" ref="BB90" si="412">IF($AO90=1,IF(ISBLANK(Z90),"-",CONCATENATE(TEXT(Z90," 0.000000;-0.000000"),"  ")),"")</f>
        <v>-</v>
      </c>
      <c r="BC90" s="13" t="str">
        <f t="shared" ref="BC90" si="413">IF($AO90=1,IF(ISBLANK(AA90),"-",CONCATENATE(TEXT(AA90," 0.000000;-0.000000"),"  ")),"")</f>
        <v>-</v>
      </c>
      <c r="BD90" s="13" t="str">
        <f t="shared" si="15"/>
        <v xml:space="preserve">_x000D_
                                                                                </v>
      </c>
      <c r="BE90" s="13" t="str">
        <f t="shared" si="238"/>
        <v xml:space="preserve">3.180   </v>
      </c>
      <c r="BF90" s="13" t="str">
        <f t="shared" si="239"/>
        <v xml:space="preserve">0.970   </v>
      </c>
      <c r="BG90" s="13" t="str">
        <f t="shared" si="240"/>
        <v xml:space="preserve">10.000   </v>
      </c>
      <c r="BH90" s="13" t="str">
        <f t="shared" si="241"/>
        <v>-</v>
      </c>
      <c r="BI90" s="13" t="str">
        <f t="shared" si="242"/>
        <v>-</v>
      </c>
      <c r="BJ90" s="13" t="str">
        <f t="shared" si="243"/>
        <v>-</v>
      </c>
      <c r="BM90" s="13" t="str">
        <f t="shared" si="360"/>
        <v>Toadb</v>
      </c>
      <c r="BO90" s="118">
        <f>(BO89-32)/1.8</f>
        <v>8.3333333333333339</v>
      </c>
      <c r="BP90" s="118"/>
      <c r="BQ90" s="118">
        <f t="shared" ref="BQ90" si="414">(BQ89-32)/1.8</f>
        <v>10</v>
      </c>
      <c r="BR90" s="118">
        <f t="shared" ref="BR90" si="415">(BR89-32)/1.8</f>
        <v>-23.333333333333332</v>
      </c>
      <c r="BS90" s="118"/>
      <c r="BT90" s="118"/>
      <c r="BU90" s="104">
        <f>$V90+$W90*BO90+$X90*BO90^2+$Y90*BO90^3</f>
        <v>1.0004286111111111</v>
      </c>
      <c r="BV90" s="104">
        <f>$V90+$W90*BR90+$X90*BR90^2+$Y90*BR90^3</f>
        <v>3.1751692444444441</v>
      </c>
      <c r="BW90" s="104">
        <f>$V90+$W90*BQ90+$X90*BQ90^2+$Y90*BQ90^3</f>
        <v>0.9723328</v>
      </c>
      <c r="BX90" s="13" t="s">
        <v>729</v>
      </c>
    </row>
    <row r="91" spans="1:80" hidden="1" outlineLevel="1" x14ac:dyDescent="0.3">
      <c r="E91" s="13" t="s">
        <v>307</v>
      </c>
      <c r="F91" s="13" t="s">
        <v>414</v>
      </c>
      <c r="G91" s="22" t="s">
        <v>549</v>
      </c>
      <c r="H91" s="13" t="s">
        <v>302</v>
      </c>
      <c r="I91" s="13" t="s">
        <v>659</v>
      </c>
      <c r="J91" s="13" t="s">
        <v>273</v>
      </c>
      <c r="K91" s="13" t="s">
        <v>7</v>
      </c>
      <c r="N91" s="13" t="str">
        <f t="shared" ref="N91:N122" si="416">IF(ISBLANK(E91),"-",E91&amp;H91&amp;P91&amp;"_f"&amp;Q91&amp;R91&amp;S91&amp;T91&amp;U91&amp;I91)</f>
        <v>CoilHtgWSHPEIRRatio_fTdbTcwsIP</v>
      </c>
      <c r="O91" s="34" t="s">
        <v>340</v>
      </c>
      <c r="P91" s="13" t="s">
        <v>288</v>
      </c>
      <c r="Q91" s="13" t="s">
        <v>117</v>
      </c>
      <c r="R91" s="13" t="s">
        <v>140</v>
      </c>
      <c r="V91" s="33">
        <v>1.3876101999999999</v>
      </c>
      <c r="W91" s="33">
        <v>6.0479000000000002E-3</v>
      </c>
      <c r="X91" s="33">
        <v>0</v>
      </c>
      <c r="Y91" s="33">
        <v>-1.15852E-2</v>
      </c>
      <c r="AG91" s="113" t="str">
        <f t="shared" si="355"/>
        <v/>
      </c>
      <c r="AH91" s="113" t="str">
        <f t="shared" si="356"/>
        <v/>
      </c>
      <c r="AI91" s="113" t="str">
        <f t="shared" si="357"/>
        <v/>
      </c>
      <c r="AJ91" s="113" t="str">
        <f t="shared" si="351"/>
        <v/>
      </c>
      <c r="AK91" s="113" t="str">
        <f t="shared" si="358"/>
        <v/>
      </c>
      <c r="AL91" s="113" t="str">
        <f t="shared" si="359"/>
        <v/>
      </c>
      <c r="AO91" s="13">
        <f t="shared" si="377"/>
        <v>0</v>
      </c>
      <c r="AP91" s="120" t="str">
        <f t="shared" si="8"/>
        <v/>
      </c>
      <c r="AQ91" s="120" t="str">
        <f t="shared" si="353"/>
        <v/>
      </c>
      <c r="AR91" s="120" t="str">
        <f t="shared" si="225"/>
        <v/>
      </c>
      <c r="AS91" s="120" t="str">
        <f t="shared" si="23"/>
        <v/>
      </c>
      <c r="AT91" s="13" t="str">
        <f t="shared" si="107"/>
        <v/>
      </c>
      <c r="AU91" s="13" t="str">
        <f t="shared" si="24"/>
        <v xml:space="preserve">               </v>
      </c>
      <c r="AV91" s="13" t="str">
        <f t="shared" ref="AV91:AV122" si="417">IF(AO91=1,CONCATENATE("""",N91,""""),"")</f>
        <v/>
      </c>
      <c r="AW91" s="13" t="str">
        <f t="shared" si="227"/>
        <v xml:space="preserve">                                                                 </v>
      </c>
      <c r="AX91" s="13" t="str">
        <f t="shared" si="146"/>
        <v/>
      </c>
      <c r="AY91" s="13" t="str">
        <f t="shared" si="147"/>
        <v/>
      </c>
      <c r="AZ91" s="13" t="str">
        <f t="shared" si="148"/>
        <v/>
      </c>
      <c r="BA91" s="13" t="str">
        <f t="shared" si="149"/>
        <v/>
      </c>
      <c r="BB91" s="13" t="str">
        <f t="shared" si="150"/>
        <v/>
      </c>
      <c r="BC91" s="13" t="str">
        <f t="shared" si="151"/>
        <v/>
      </c>
      <c r="BD91" s="13" t="str">
        <f t="shared" si="15"/>
        <v xml:space="preserve"> </v>
      </c>
      <c r="BE91" s="13" t="str">
        <f t="shared" si="238"/>
        <v/>
      </c>
      <c r="BF91" s="13" t="str">
        <f t="shared" si="239"/>
        <v/>
      </c>
      <c r="BG91" s="13" t="str">
        <f t="shared" si="240"/>
        <v/>
      </c>
      <c r="BH91" s="13" t="str">
        <f t="shared" si="241"/>
        <v/>
      </c>
      <c r="BI91" s="13" t="str">
        <f t="shared" si="242"/>
        <v/>
      </c>
      <c r="BJ91" s="13" t="str">
        <f t="shared" si="243"/>
        <v/>
      </c>
      <c r="BM91" s="13" t="str">
        <f t="shared" si="360"/>
        <v>Tdb</v>
      </c>
      <c r="BN91" s="13" t="str">
        <f t="shared" si="376"/>
        <v>Tcws</v>
      </c>
      <c r="BU91" s="104"/>
      <c r="BV91" s="104"/>
      <c r="BW91" s="104"/>
    </row>
    <row r="92" spans="1:80" hidden="1" outlineLevel="1" x14ac:dyDescent="0.3">
      <c r="E92" s="13" t="s">
        <v>307</v>
      </c>
      <c r="F92" s="13" t="s">
        <v>414</v>
      </c>
      <c r="G92" s="22" t="s">
        <v>549</v>
      </c>
      <c r="H92" s="13" t="s">
        <v>302</v>
      </c>
      <c r="I92" s="13" t="s">
        <v>660</v>
      </c>
      <c r="J92" s="13" t="s">
        <v>144</v>
      </c>
      <c r="L92" s="47" t="str">
        <f>'E+ Reference'!$D$43</f>
        <v>Coil:Heating:WaterToAirHeatPump:EquationFit</v>
      </c>
      <c r="M92" s="47" t="s">
        <v>338</v>
      </c>
      <c r="N92" s="13" t="str">
        <f t="shared" si="416"/>
        <v>CoilHtgWSHPEIRRatio_fTdbRatioTwtRatioCFMRatioGPMRatioSI</v>
      </c>
      <c r="O92" s="13" t="s">
        <v>322</v>
      </c>
      <c r="P92" s="13" t="s">
        <v>288</v>
      </c>
      <c r="Q92" s="34" t="s">
        <v>507</v>
      </c>
      <c r="R92" s="34" t="s">
        <v>324</v>
      </c>
      <c r="S92" s="34" t="s">
        <v>120</v>
      </c>
      <c r="T92" s="34" t="s">
        <v>148</v>
      </c>
      <c r="V92" s="33">
        <v>-3.5732473599999999</v>
      </c>
      <c r="W92" s="33">
        <v>3.192752155</v>
      </c>
      <c r="X92" s="33">
        <v>1.4156902229999999</v>
      </c>
      <c r="Y92" s="33">
        <v>-0.167415851</v>
      </c>
      <c r="Z92" s="33">
        <v>-9.7139668999999998E-2</v>
      </c>
      <c r="AG92" s="113" t="str">
        <f t="shared" si="355"/>
        <v/>
      </c>
      <c r="AH92" s="113" t="str">
        <f t="shared" si="356"/>
        <v/>
      </c>
      <c r="AI92" s="113" t="str">
        <f t="shared" si="357"/>
        <v/>
      </c>
      <c r="AJ92" s="113" t="str">
        <f t="shared" si="351"/>
        <v/>
      </c>
      <c r="AK92" s="113" t="str">
        <f t="shared" si="358"/>
        <v/>
      </c>
      <c r="AL92" s="113" t="str">
        <f t="shared" si="359"/>
        <v/>
      </c>
      <c r="AM92" s="22" t="s">
        <v>1136</v>
      </c>
      <c r="AO92" s="13">
        <v>0</v>
      </c>
      <c r="AP92" s="120" t="str">
        <f t="shared" si="8"/>
        <v/>
      </c>
      <c r="AQ92" s="120" t="str">
        <f t="shared" si="353"/>
        <v/>
      </c>
      <c r="AR92" s="120" t="str">
        <f t="shared" si="225"/>
        <v/>
      </c>
      <c r="AS92" s="120" t="str">
        <f t="shared" si="23"/>
        <v/>
      </c>
      <c r="AT92" s="13" t="str">
        <f t="shared" si="107"/>
        <v/>
      </c>
      <c r="AU92" s="13" t="str">
        <f t="shared" si="24"/>
        <v xml:space="preserve">               </v>
      </c>
      <c r="AV92" s="13" t="str">
        <f t="shared" si="417"/>
        <v/>
      </c>
      <c r="AW92" s="13" t="str">
        <f t="shared" si="227"/>
        <v xml:space="preserve">                                                                 </v>
      </c>
      <c r="AX92" s="13" t="str">
        <f t="shared" si="146"/>
        <v/>
      </c>
      <c r="AY92" s="13" t="str">
        <f t="shared" si="147"/>
        <v/>
      </c>
      <c r="AZ92" s="13" t="str">
        <f t="shared" si="148"/>
        <v/>
      </c>
      <c r="BA92" s="13" t="str">
        <f t="shared" si="149"/>
        <v/>
      </c>
      <c r="BB92" s="13" t="str">
        <f t="shared" si="150"/>
        <v/>
      </c>
      <c r="BC92" s="13" t="str">
        <f t="shared" si="151"/>
        <v/>
      </c>
      <c r="BD92" s="13" t="str">
        <f t="shared" si="15"/>
        <v xml:space="preserve"> </v>
      </c>
      <c r="BE92" s="13" t="str">
        <f t="shared" si="238"/>
        <v/>
      </c>
      <c r="BF92" s="13" t="str">
        <f t="shared" si="239"/>
        <v/>
      </c>
      <c r="BG92" s="13" t="str">
        <f t="shared" si="240"/>
        <v/>
      </c>
      <c r="BH92" s="13" t="str">
        <f t="shared" si="241"/>
        <v/>
      </c>
      <c r="BI92" s="13" t="str">
        <f t="shared" si="242"/>
        <v/>
      </c>
      <c r="BJ92" s="13" t="str">
        <f t="shared" si="243"/>
        <v/>
      </c>
      <c r="BM92" s="13" t="str">
        <f t="shared" si="360"/>
        <v>TdbRatio</v>
      </c>
      <c r="BN92" s="13" t="str">
        <f t="shared" si="376"/>
        <v>TwtRatio</v>
      </c>
      <c r="BU92" s="104"/>
      <c r="BV92" s="104"/>
      <c r="BW92" s="104"/>
    </row>
    <row r="93" spans="1:80" ht="28.8" hidden="1" outlineLevel="1" x14ac:dyDescent="0.3">
      <c r="B93" s="13" t="s">
        <v>129</v>
      </c>
      <c r="C93" s="38" t="s">
        <v>133</v>
      </c>
      <c r="D93" s="22" t="s">
        <v>666</v>
      </c>
      <c r="E93" s="13" t="s">
        <v>307</v>
      </c>
      <c r="F93" s="13" t="s">
        <v>559</v>
      </c>
      <c r="G93" s="22" t="s">
        <v>548</v>
      </c>
      <c r="H93" s="13" t="s">
        <v>36</v>
      </c>
      <c r="J93" s="22" t="s">
        <v>273</v>
      </c>
      <c r="K93" s="13" t="s">
        <v>8</v>
      </c>
      <c r="L93" s="47"/>
      <c r="M93" s="47"/>
      <c r="N93" s="13" t="str">
        <f t="shared" si="416"/>
        <v>CoilHtgHPEIRRatio_fQRatio</v>
      </c>
      <c r="O93" s="16" t="s">
        <v>230</v>
      </c>
      <c r="P93" s="13" t="s">
        <v>288</v>
      </c>
      <c r="Q93" s="13" t="s">
        <v>160</v>
      </c>
      <c r="V93" s="33">
        <v>8.5652199999999998E-2</v>
      </c>
      <c r="W93" s="33">
        <v>0.93881369999999997</v>
      </c>
      <c r="X93" s="33">
        <v>-0.18343609999999999</v>
      </c>
      <c r="Y93" s="33">
        <v>0.15897020000000001</v>
      </c>
      <c r="AG93" s="113" t="str">
        <f t="shared" si="355"/>
        <v/>
      </c>
      <c r="AH93" s="113">
        <f t="shared" si="356"/>
        <v>0.09</v>
      </c>
      <c r="AI93" s="113" t="str">
        <f t="shared" si="357"/>
        <v/>
      </c>
      <c r="AJ93" s="113" t="str">
        <f t="shared" si="351"/>
        <v/>
      </c>
      <c r="AK93" s="113" t="str">
        <f t="shared" si="358"/>
        <v/>
      </c>
      <c r="AL93" s="113" t="str">
        <f t="shared" si="359"/>
        <v/>
      </c>
      <c r="AO93" s="13">
        <v>0</v>
      </c>
      <c r="AP93" s="120" t="str">
        <f t="shared" si="8"/>
        <v/>
      </c>
      <c r="AQ93" s="120" t="str">
        <f t="shared" si="353"/>
        <v/>
      </c>
      <c r="AR93" s="120" t="str">
        <f t="shared" si="225"/>
        <v/>
      </c>
      <c r="AS93" s="120" t="str">
        <f t="shared" si="23"/>
        <v/>
      </c>
      <c r="AT93" s="13" t="str">
        <f t="shared" si="107"/>
        <v/>
      </c>
      <c r="AU93" s="13" t="str">
        <f t="shared" si="24"/>
        <v xml:space="preserve">               </v>
      </c>
      <c r="AV93" s="13" t="str">
        <f t="shared" si="417"/>
        <v/>
      </c>
      <c r="AW93" s="13" t="str">
        <f t="shared" si="227"/>
        <v xml:space="preserve">                                                                 </v>
      </c>
      <c r="AX93" s="13" t="str">
        <f t="shared" si="146"/>
        <v/>
      </c>
      <c r="AY93" s="13" t="str">
        <f t="shared" si="147"/>
        <v/>
      </c>
      <c r="AZ93" s="13" t="str">
        <f t="shared" si="148"/>
        <v/>
      </c>
      <c r="BA93" s="13" t="str">
        <f t="shared" si="149"/>
        <v/>
      </c>
      <c r="BB93" s="13" t="str">
        <f t="shared" si="150"/>
        <v/>
      </c>
      <c r="BC93" s="13" t="str">
        <f t="shared" si="151"/>
        <v/>
      </c>
      <c r="BD93" s="13" t="str">
        <f t="shared" si="15"/>
        <v xml:space="preserve">_x000D_
                                                                                </v>
      </c>
      <c r="BE93" s="13" t="str">
        <f t="shared" si="238"/>
        <v/>
      </c>
      <c r="BF93" s="13" t="str">
        <f t="shared" si="239"/>
        <v/>
      </c>
      <c r="BG93" s="13" t="str">
        <f t="shared" si="240"/>
        <v/>
      </c>
      <c r="BH93" s="13" t="str">
        <f t="shared" si="241"/>
        <v/>
      </c>
      <c r="BI93" s="13" t="str">
        <f t="shared" si="242"/>
        <v/>
      </c>
      <c r="BJ93" s="13" t="str">
        <f t="shared" si="243"/>
        <v/>
      </c>
      <c r="BM93" s="13" t="str">
        <f t="shared" si="360"/>
        <v>QRatio</v>
      </c>
      <c r="BO93" s="13">
        <v>1</v>
      </c>
      <c r="BR93" s="13">
        <v>0</v>
      </c>
      <c r="BU93" s="104">
        <f>$V93+$W93*BO93+$X93*BO93^2+$Y93*BO93^3</f>
        <v>1</v>
      </c>
      <c r="BV93" s="104"/>
      <c r="BW93" s="104">
        <f>$V93+$W93*BR93+$X93*BR93^2+$Y93*BR93^3</f>
        <v>8.5652199999999998E-2</v>
      </c>
    </row>
    <row r="94" spans="1:80" hidden="1" outlineLevel="1" x14ac:dyDescent="0.3">
      <c r="E94" s="13" t="s">
        <v>307</v>
      </c>
      <c r="F94" s="13" t="s">
        <v>561</v>
      </c>
      <c r="G94" s="22" t="s">
        <v>548</v>
      </c>
      <c r="H94" s="13" t="s">
        <v>36</v>
      </c>
      <c r="J94" s="13" t="s">
        <v>144</v>
      </c>
      <c r="L94" s="13" t="s">
        <v>310</v>
      </c>
      <c r="M94" s="13" t="s">
        <v>168</v>
      </c>
      <c r="N94" s="13" t="str">
        <f t="shared" si="416"/>
        <v>CoilHtgHPEIRRatio_fCFMRatio</v>
      </c>
      <c r="O94" s="13" t="s">
        <v>162</v>
      </c>
      <c r="P94" s="13" t="s">
        <v>288</v>
      </c>
      <c r="Q94" s="13" t="s">
        <v>120</v>
      </c>
      <c r="V94" s="33">
        <v>1.3824000000000001</v>
      </c>
      <c r="W94" s="33">
        <v>-0.43359999999999999</v>
      </c>
      <c r="X94" s="33">
        <v>5.1200000000000002E-2</v>
      </c>
      <c r="AG94" s="113">
        <f t="shared" si="355"/>
        <v>1.38</v>
      </c>
      <c r="AH94" s="113">
        <f t="shared" si="356"/>
        <v>1</v>
      </c>
      <c r="AI94" s="113">
        <f t="shared" si="357"/>
        <v>1</v>
      </c>
      <c r="AJ94" s="61">
        <v>0</v>
      </c>
      <c r="AK94" s="113" t="str">
        <f t="shared" si="358"/>
        <v/>
      </c>
      <c r="AL94" s="113" t="str">
        <f t="shared" si="359"/>
        <v/>
      </c>
      <c r="AM94" s="22" t="s">
        <v>638</v>
      </c>
      <c r="AO94" s="13">
        <f>IF(ISTEXT(A94),"",IF(I94="IP",0,1))</f>
        <v>1</v>
      </c>
      <c r="AP94" s="120" t="str">
        <f>IF(AO94=1,CONCATENATE(AQ94,AR94,AS94),"")</f>
        <v>CrvQuad        "CoilHtgHPEIRRatio_fCFMRatio"                                    Coef1 =  1.382400  Coef2 = -0.433600  Coef3 =  0.051200  _x000D_
                                                                                MaxOut = 1.380   MinOut = 1.000   MaxVar1 = 1.000   MinVar1 = 0.000   _x000D_
..</v>
      </c>
      <c r="AQ94" s="120" t="str">
        <f>IF(AO94=1,CONCATENATE(AT94,AU94,AV94,AW94,IF(AX94="-","",$AX$15&amp;AX94),IF(AY94="-","",$AY$15&amp;AY94),IF(AZ94="-","",$AZ$15&amp;AZ94),IF(BA94="-","",$BA$15&amp;BA94),IF(BB94="-","",$BB$15&amp;BB94),IF(BC94="-","",$BC$15&amp;BC94)),"")</f>
        <v xml:space="preserve">CrvQuad        "CoilHtgHPEIRRatio_fCFMRatio"                                    Coef1 =  1.382400  Coef2 = -0.433600  Coef3 =  0.051200  </v>
      </c>
      <c r="AR94" s="120" t="str">
        <f>IF(AO94=1,CONCATENATE(BD94,IF(BE94="-","",$BE$15&amp;BE94),IF(BF94="-","",$BF$15&amp;BF94),IF(BG94="-","",$BG$15&amp;BG94),IF(BH94="-","",$BH$15&amp;BH94),IF(BI94="-","",$BI$15&amp;BI94),IF(BJ94="-","",$BJ$15&amp;BJ94)),"")</f>
        <v xml:space="preserve">_x000D_
                                                                                MaxOut = 1.380   MinOut = 1.000   MaxVar1 = 1.000   MinVar1 = 0.000   </v>
      </c>
      <c r="AS94" s="120" t="str">
        <f t="shared" si="23"/>
        <v>_x000D_
..</v>
      </c>
      <c r="AT94" s="13" t="str">
        <f>IF(AO94=1,VLOOKUP(O94,$AT$2:$AV$13,2,0),"")</f>
        <v>CrvQuad</v>
      </c>
      <c r="AU94" s="13" t="str">
        <f t="shared" si="24"/>
        <v xml:space="preserve">        </v>
      </c>
      <c r="AV94" s="13" t="str">
        <f>IF(AO94=1,CONCATENATE("""",N94,""""),"")</f>
        <v>"CoilHtgHPEIRRatio_fCFMRatio"</v>
      </c>
      <c r="AW94" s="13" t="str">
        <f t="shared" si="227"/>
        <v xml:space="preserve">                                    </v>
      </c>
      <c r="AX94" s="13" t="str">
        <f t="shared" si="146"/>
        <v xml:space="preserve"> 1.382400  </v>
      </c>
      <c r="AY94" s="13" t="str">
        <f t="shared" si="147"/>
        <v xml:space="preserve">-0.433600  </v>
      </c>
      <c r="AZ94" s="13" t="str">
        <f t="shared" si="148"/>
        <v xml:space="preserve"> 0.051200  </v>
      </c>
      <c r="BA94" s="13" t="str">
        <f t="shared" si="149"/>
        <v>-</v>
      </c>
      <c r="BB94" s="13" t="str">
        <f t="shared" si="150"/>
        <v>-</v>
      </c>
      <c r="BC94" s="13" t="str">
        <f t="shared" si="151"/>
        <v>-</v>
      </c>
      <c r="BD94" s="13" t="str">
        <f t="shared" si="15"/>
        <v xml:space="preserve">_x000D_
                                                                                </v>
      </c>
      <c r="BE94" s="13" t="str">
        <f t="shared" si="238"/>
        <v xml:space="preserve">1.380   </v>
      </c>
      <c r="BF94" s="13" t="str">
        <f t="shared" si="239"/>
        <v xml:space="preserve">1.000   </v>
      </c>
      <c r="BG94" s="13" t="str">
        <f t="shared" si="240"/>
        <v xml:space="preserve">1.000   </v>
      </c>
      <c r="BH94" s="13" t="str">
        <f t="shared" si="241"/>
        <v xml:space="preserve">0.000   </v>
      </c>
      <c r="BI94" s="13" t="str">
        <f t="shared" si="242"/>
        <v>-</v>
      </c>
      <c r="BJ94" s="13" t="str">
        <f t="shared" si="243"/>
        <v>-</v>
      </c>
      <c r="BM94" s="13" t="str">
        <f t="shared" si="360"/>
        <v>CFMRatio</v>
      </c>
      <c r="BO94" s="13">
        <v>1</v>
      </c>
      <c r="BQ94" s="13">
        <v>1</v>
      </c>
      <c r="BR94" s="13">
        <v>0</v>
      </c>
      <c r="BU94" s="104">
        <f>$V94+$W94*BO94+$X94*BO94^2</f>
        <v>1</v>
      </c>
      <c r="BV94" s="104">
        <f>$V94+$W94*BR94+$X94*BR94^2+$Y94*BR94^3</f>
        <v>1.3824000000000001</v>
      </c>
      <c r="BW94" s="104">
        <f>$V94+$W94*BQ94+$X94*BQ94^2</f>
        <v>1</v>
      </c>
      <c r="BX94" s="13" t="s">
        <v>1137</v>
      </c>
    </row>
    <row r="95" spans="1:80" hidden="1" outlineLevel="1" x14ac:dyDescent="0.3">
      <c r="E95" s="13" t="s">
        <v>307</v>
      </c>
      <c r="F95" s="13" t="s">
        <v>560</v>
      </c>
      <c r="G95" s="22" t="s">
        <v>548</v>
      </c>
      <c r="H95" s="13" t="s">
        <v>36</v>
      </c>
      <c r="J95" s="22" t="s">
        <v>144</v>
      </c>
      <c r="L95" s="47" t="s">
        <v>310</v>
      </c>
      <c r="M95" s="47" t="s">
        <v>167</v>
      </c>
      <c r="N95" s="13" t="str">
        <f t="shared" si="416"/>
        <v>CoilHtgHPEIRRatio_fQFrac</v>
      </c>
      <c r="O95" s="13" t="s">
        <v>162</v>
      </c>
      <c r="P95" s="13" t="s">
        <v>288</v>
      </c>
      <c r="Q95" s="34" t="s">
        <v>739</v>
      </c>
      <c r="V95" s="33">
        <v>0.85</v>
      </c>
      <c r="W95" s="33">
        <v>0.15</v>
      </c>
      <c r="X95" s="33">
        <v>0</v>
      </c>
      <c r="AG95" s="113">
        <f t="shared" si="355"/>
        <v>1</v>
      </c>
      <c r="AH95" s="113">
        <f t="shared" si="356"/>
        <v>0.85</v>
      </c>
      <c r="AI95" s="113">
        <f t="shared" si="357"/>
        <v>1</v>
      </c>
      <c r="AJ95" s="61">
        <v>0</v>
      </c>
      <c r="AK95" s="113" t="str">
        <f t="shared" si="358"/>
        <v/>
      </c>
      <c r="AL95" s="113" t="str">
        <f t="shared" si="359"/>
        <v/>
      </c>
      <c r="AM95" s="22" t="s">
        <v>638</v>
      </c>
      <c r="AO95" s="13">
        <f>IF(ISTEXT(A95),"",IF(I95="IP",0,1))</f>
        <v>1</v>
      </c>
      <c r="AP95" s="120" t="str">
        <f>IF(AO95=1,CONCATENATE(AQ95,AR95,AS95),"")</f>
        <v>CrvQuad        "CoilHtgHPEIRRatio_fQFrac"                                       Coef1 =  0.850000  Coef2 =  0.150000  Coef3 =  0.000000  _x000D_
                                                                                MaxOut = 1.000   MinOut = 0.850   MaxVar1 = 1.000   MinVar1 = 0.000   _x000D_
..</v>
      </c>
      <c r="AQ95" s="120" t="str">
        <f>IF(AO95=1,CONCATENATE(AT95,AU95,AV95,AW95,IF(AX95="-","",$AX$15&amp;AX95),IF(AY95="-","",$AY$15&amp;AY95),IF(AZ95="-","",$AZ$15&amp;AZ95),IF(BA95="-","",$BA$15&amp;BA95),IF(BB95="-","",$BB$15&amp;BB95),IF(BC95="-","",$BC$15&amp;BC95)),"")</f>
        <v xml:space="preserve">CrvQuad        "CoilHtgHPEIRRatio_fQFrac"                                       Coef1 =  0.850000  Coef2 =  0.150000  Coef3 =  0.000000  </v>
      </c>
      <c r="AR95" s="120" t="str">
        <f>IF(AO95=1,CONCATENATE(BD95,IF(BE95="-","",$BE$15&amp;BE95),IF(BF95="-","",$BF$15&amp;BF95),IF(BG95="-","",$BG$15&amp;BG95),IF(BH95="-","",$BH$15&amp;BH95),IF(BI95="-","",$BI$15&amp;BI95),IF(BJ95="-","",$BJ$15&amp;BJ95)),"")</f>
        <v xml:space="preserve">_x000D_
                                                                                MaxOut = 1.000   MinOut = 0.850   MaxVar1 = 1.000   MinVar1 = 0.000   </v>
      </c>
      <c r="AS95" s="120" t="str">
        <f t="shared" si="23"/>
        <v>_x000D_
..</v>
      </c>
      <c r="AT95" s="13" t="str">
        <f>IF(AO95=1,VLOOKUP(O95,$AT$2:$AV$13,2,0),"")</f>
        <v>CrvQuad</v>
      </c>
      <c r="AU95" s="13" t="str">
        <f t="shared" si="24"/>
        <v xml:space="preserve">        </v>
      </c>
      <c r="AV95" s="13" t="str">
        <f t="shared" si="417"/>
        <v>"CoilHtgHPEIRRatio_fQFrac"</v>
      </c>
      <c r="AW95" s="13" t="str">
        <f t="shared" si="227"/>
        <v xml:space="preserve">                                       </v>
      </c>
      <c r="AX95" s="13" t="str">
        <f t="shared" si="146"/>
        <v xml:space="preserve"> 0.850000  </v>
      </c>
      <c r="AY95" s="13" t="str">
        <f t="shared" si="147"/>
        <v xml:space="preserve"> 0.150000  </v>
      </c>
      <c r="AZ95" s="13" t="str">
        <f t="shared" si="148"/>
        <v xml:space="preserve"> 0.000000  </v>
      </c>
      <c r="BA95" s="13" t="str">
        <f t="shared" si="149"/>
        <v>-</v>
      </c>
      <c r="BB95" s="13" t="str">
        <f t="shared" si="150"/>
        <v>-</v>
      </c>
      <c r="BC95" s="13" t="str">
        <f t="shared" si="151"/>
        <v>-</v>
      </c>
      <c r="BD95" s="13" t="str">
        <f t="shared" si="15"/>
        <v xml:space="preserve">_x000D_
                                                                                </v>
      </c>
      <c r="BE95" s="13" t="str">
        <f t="shared" si="238"/>
        <v xml:space="preserve">1.000   </v>
      </c>
      <c r="BF95" s="13" t="str">
        <f t="shared" si="239"/>
        <v xml:space="preserve">0.850   </v>
      </c>
      <c r="BG95" s="13" t="str">
        <f t="shared" si="240"/>
        <v xml:space="preserve">1.000   </v>
      </c>
      <c r="BH95" s="13" t="str">
        <f t="shared" si="241"/>
        <v xml:space="preserve">0.000   </v>
      </c>
      <c r="BI95" s="13" t="str">
        <f t="shared" si="242"/>
        <v>-</v>
      </c>
      <c r="BJ95" s="13" t="str">
        <f t="shared" si="243"/>
        <v>-</v>
      </c>
      <c r="BM95" s="13" t="str">
        <f>Q95</f>
        <v>QFrac</v>
      </c>
      <c r="BO95" s="13">
        <v>1</v>
      </c>
      <c r="BQ95" s="13">
        <v>1</v>
      </c>
      <c r="BR95" s="13">
        <v>0</v>
      </c>
      <c r="BU95" s="104">
        <f>$V95+$W95*BO95+$X95*BO95^2</f>
        <v>1</v>
      </c>
      <c r="BV95" s="104">
        <v>1</v>
      </c>
      <c r="BW95" s="104">
        <f>$V95+$W95*BR95+$X95*BR95^2</f>
        <v>0.85</v>
      </c>
    </row>
    <row r="96" spans="1:80" collapsed="1" x14ac:dyDescent="0.3">
      <c r="A96" s="16" t="s">
        <v>297</v>
      </c>
      <c r="L96" s="45"/>
      <c r="M96" s="45"/>
      <c r="N96" s="13" t="str">
        <f t="shared" si="416"/>
        <v>-</v>
      </c>
      <c r="AG96" s="113" t="str">
        <f t="shared" ref="AG96:AG103" si="418">IF(BV96&gt;0,ROUND(BV96,2),"")</f>
        <v/>
      </c>
      <c r="AH96" s="113" t="str">
        <f t="shared" ref="AH96:AH103" si="419">IF(BW96&gt;0,ROUND(BW96,2),"")</f>
        <v/>
      </c>
      <c r="AI96" s="113" t="str">
        <f t="shared" ref="AI96:AI103" si="420">IF(BQ96&gt;0,ROUND(BQ96,2),"")</f>
        <v/>
      </c>
      <c r="AJ96" s="113" t="str">
        <f t="shared" si="351"/>
        <v/>
      </c>
      <c r="AK96" s="113" t="str">
        <f t="shared" ref="AK96:AK103" si="421">IF(BS96&gt;0,ROUND(BS96,2),"")</f>
        <v/>
      </c>
      <c r="AL96" s="113" t="str">
        <f t="shared" ref="AL96:AL103" si="422">IF(BT96&gt;0,ROUND(BT96,2),"")</f>
        <v/>
      </c>
      <c r="AO96" s="13" t="str">
        <f>IF(ISTEXT(A96),"",IF(I96="IP",0,1))</f>
        <v/>
      </c>
      <c r="AP96" s="120" t="str">
        <f>IF(AO96=1,CONCATENATE(AQ96,AR96,AS96),"")</f>
        <v/>
      </c>
      <c r="AQ96" s="120" t="str">
        <f>IF(AO96=1,CONCATENATE(AT96,AU96,AV96,AW96,IF(AX96="-","",$AX$15&amp;AX96),IF(AY96="-","",$AY$15&amp;AY96),IF(AZ96="-","",$AZ$15&amp;AZ96),IF(BA96="-","",$BA$15&amp;BA96),IF(BB96="-","",$BB$15&amp;BB96),IF(BC96="-","",$BC$15&amp;BC96)),"")</f>
        <v/>
      </c>
      <c r="AR96" s="120" t="str">
        <f>IF(AO96=1,CONCATENATE(BD96,IF(BE96="-","",$BE$15&amp;BE96),IF(BF96="-","",$BF$15&amp;BF96),IF(BG96="-","",$BG$15&amp;BG96),IF(BH96="-","",$BH$15&amp;BH96),IF(BI96="-","",$BI$15&amp;BI96),IF(BJ96="-","",$BJ$15&amp;BJ96)),"")</f>
        <v/>
      </c>
      <c r="AS96" s="120" t="str">
        <f>IF(AO96=1,CHAR(13)&amp;CHAR(10)&amp;"..","")</f>
        <v/>
      </c>
      <c r="AT96" s="13" t="str">
        <f>IF(AO96=1,VLOOKUP(O96,$AT$2:$AV$13,2,0),"")</f>
        <v/>
      </c>
      <c r="AU96" s="13" t="str">
        <f t="shared" si="24"/>
        <v xml:space="preserve">               </v>
      </c>
      <c r="AV96" s="13" t="str">
        <f t="shared" si="417"/>
        <v/>
      </c>
      <c r="AW96" s="13" t="str">
        <f>REPT(" ",$AW$14-LEN(AV96))</f>
        <v xml:space="preserve">                                                                 </v>
      </c>
      <c r="AX96" s="13" t="str">
        <f t="shared" ref="AX96:BC98" si="423">IF($AO96=1,IF(ISBLANK(V96),"-",CONCATENATE(TEXT(V96," 0.000000;-0.000000"),"  ")),"")</f>
        <v/>
      </c>
      <c r="AY96" s="13" t="str">
        <f t="shared" si="423"/>
        <v/>
      </c>
      <c r="AZ96" s="13" t="str">
        <f t="shared" si="423"/>
        <v/>
      </c>
      <c r="BA96" s="13" t="str">
        <f t="shared" si="423"/>
        <v/>
      </c>
      <c r="BB96" s="13" t="str">
        <f t="shared" si="423"/>
        <v/>
      </c>
      <c r="BC96" s="13" t="str">
        <f t="shared" si="423"/>
        <v/>
      </c>
      <c r="BD96" s="13" t="str">
        <f t="shared" ref="BD96:BD149" si="424">IF(MAX(AG96:AL96)=0,REPT(" ",1),CHAR(13)&amp;CHAR(10)&amp;REPT(" ",BD$14))</f>
        <v xml:space="preserve"> </v>
      </c>
      <c r="BE96" s="13" t="str">
        <f t="shared" si="238"/>
        <v/>
      </c>
      <c r="BF96" s="13" t="str">
        <f t="shared" si="239"/>
        <v/>
      </c>
      <c r="BG96" s="13" t="str">
        <f t="shared" si="240"/>
        <v/>
      </c>
      <c r="BH96" s="13" t="str">
        <f t="shared" si="241"/>
        <v/>
      </c>
      <c r="BI96" s="13" t="str">
        <f t="shared" si="242"/>
        <v/>
      </c>
      <c r="BJ96" s="13" t="str">
        <f t="shared" si="243"/>
        <v/>
      </c>
      <c r="BU96" s="104"/>
      <c r="BV96" s="104"/>
      <c r="BW96" s="104"/>
    </row>
    <row r="97" spans="1:84" hidden="1" outlineLevel="1" x14ac:dyDescent="0.3">
      <c r="B97" s="13" t="s">
        <v>128</v>
      </c>
      <c r="C97" s="38" t="s">
        <v>294</v>
      </c>
      <c r="D97" s="22" t="s">
        <v>61</v>
      </c>
      <c r="E97" s="13" t="s">
        <v>305</v>
      </c>
      <c r="F97" s="13" t="s">
        <v>407</v>
      </c>
      <c r="G97" s="22" t="s">
        <v>58</v>
      </c>
      <c r="H97" s="13" t="s">
        <v>629</v>
      </c>
      <c r="J97" s="13" t="s">
        <v>273</v>
      </c>
      <c r="K97" s="13" t="s">
        <v>121</v>
      </c>
      <c r="N97" s="13" t="str">
        <f t="shared" si="416"/>
        <v>EvapClrDirectEffRatio_fCFMRatio</v>
      </c>
      <c r="O97" s="13" t="s">
        <v>162</v>
      </c>
      <c r="P97" s="13" t="s">
        <v>365</v>
      </c>
      <c r="Q97" s="13" t="s">
        <v>120</v>
      </c>
      <c r="V97" s="33">
        <v>1.1833</v>
      </c>
      <c r="W97" s="33">
        <v>-0.25752999999999998</v>
      </c>
      <c r="X97" s="33">
        <v>7.4245000000000005E-2</v>
      </c>
      <c r="AG97" s="113" t="str">
        <f t="shared" si="418"/>
        <v/>
      </c>
      <c r="AH97" s="113">
        <f t="shared" si="419"/>
        <v>1.18</v>
      </c>
      <c r="AI97" s="113" t="str">
        <f t="shared" si="420"/>
        <v/>
      </c>
      <c r="AJ97" s="113" t="str">
        <f t="shared" si="351"/>
        <v/>
      </c>
      <c r="AK97" s="113" t="str">
        <f t="shared" si="421"/>
        <v/>
      </c>
      <c r="AL97" s="113" t="str">
        <f t="shared" si="422"/>
        <v/>
      </c>
      <c r="AO97" s="13">
        <v>0</v>
      </c>
      <c r="AP97" s="120" t="str">
        <f>IF(AO97=1,CONCATENATE(AQ97,AR97,AS97),"")</f>
        <v/>
      </c>
      <c r="AQ97" s="120" t="str">
        <f>IF(AO97=1,CONCATENATE(AT97,AU97,AV97,AW97,IF(AX97="-","",$AX$15&amp;AX97),IF(AY97="-","",$AY$15&amp;AY97),IF(AZ97="-","",$AZ$15&amp;AZ97),IF(BA97="-","",$BA$15&amp;BA97),IF(BB97="-","",$BB$15&amp;BB97),IF(BC97="-","",$BC$15&amp;BC97)),"")</f>
        <v/>
      </c>
      <c r="AR97" s="120" t="str">
        <f>IF(AO97=1,CONCATENATE(BD97,IF(BE97="-","",$BE$15&amp;BE97),IF(BF97="-","",$BF$15&amp;BF97),IF(BG97="-","",$BG$15&amp;BG97),IF(BH97="-","",$BH$15&amp;BH97),IF(BI97="-","",$BI$15&amp;BI97),IF(BJ97="-","",$BJ$15&amp;BJ97)),"")</f>
        <v/>
      </c>
      <c r="AS97" s="120" t="str">
        <f>IF(AO97=1,CHAR(13)&amp;CHAR(10)&amp;"..","")</f>
        <v/>
      </c>
      <c r="AT97" s="13" t="str">
        <f>IF(AO97=1,VLOOKUP(O97,$AT$2:$AV$13,2,0),"")</f>
        <v/>
      </c>
      <c r="AU97" s="13" t="str">
        <f t="shared" ref="AU97:AU163" si="425">REPT(" ",AU$14-LEN(AT97))</f>
        <v xml:space="preserve">               </v>
      </c>
      <c r="AV97" s="13" t="str">
        <f t="shared" si="417"/>
        <v/>
      </c>
      <c r="AW97" s="13" t="str">
        <f>REPT(" ",$AW$14-LEN(AV97))</f>
        <v xml:space="preserve">                                                                 </v>
      </c>
      <c r="AX97" s="13" t="str">
        <f t="shared" si="423"/>
        <v/>
      </c>
      <c r="AY97" s="13" t="str">
        <f t="shared" si="423"/>
        <v/>
      </c>
      <c r="AZ97" s="13" t="str">
        <f t="shared" si="423"/>
        <v/>
      </c>
      <c r="BA97" s="13" t="str">
        <f t="shared" si="423"/>
        <v/>
      </c>
      <c r="BB97" s="13" t="str">
        <f t="shared" si="423"/>
        <v/>
      </c>
      <c r="BC97" s="13" t="str">
        <f t="shared" si="423"/>
        <v/>
      </c>
      <c r="BD97" s="13" t="str">
        <f t="shared" si="424"/>
        <v xml:space="preserve">_x000D_
                                                                                </v>
      </c>
      <c r="BE97" s="13" t="str">
        <f t="shared" si="238"/>
        <v/>
      </c>
      <c r="BF97" s="13" t="str">
        <f t="shared" si="239"/>
        <v/>
      </c>
      <c r="BG97" s="13" t="str">
        <f t="shared" si="240"/>
        <v/>
      </c>
      <c r="BH97" s="13" t="str">
        <f t="shared" si="241"/>
        <v/>
      </c>
      <c r="BI97" s="13" t="str">
        <f t="shared" si="242"/>
        <v/>
      </c>
      <c r="BJ97" s="13" t="str">
        <f t="shared" si="243"/>
        <v/>
      </c>
      <c r="BM97" s="13" t="str">
        <f>Q97</f>
        <v>CFMRatio</v>
      </c>
      <c r="BO97" s="13">
        <v>1</v>
      </c>
      <c r="BR97" s="13">
        <v>0</v>
      </c>
      <c r="BU97" s="104">
        <f>$V97+$W97*BO97+$X97*BO97^2</f>
        <v>1.0000149999999999</v>
      </c>
      <c r="BV97" s="104"/>
      <c r="BW97" s="104">
        <f>$V97+$W97*BR97+$X97*BR97^2</f>
        <v>1.1833</v>
      </c>
    </row>
    <row r="98" spans="1:84" hidden="1" outlineLevel="1" x14ac:dyDescent="0.3">
      <c r="E98" s="13" t="s">
        <v>305</v>
      </c>
      <c r="G98" s="22" t="s">
        <v>59</v>
      </c>
      <c r="H98" s="13" t="s">
        <v>630</v>
      </c>
      <c r="J98" s="13" t="s">
        <v>273</v>
      </c>
      <c r="N98" s="13" t="str">
        <f t="shared" si="416"/>
        <v>EvapClrIndirectEffRatio_fCFMRatio</v>
      </c>
      <c r="O98" s="13" t="s">
        <v>162</v>
      </c>
      <c r="P98" s="13" t="s">
        <v>365</v>
      </c>
      <c r="Q98" s="13" t="s">
        <v>120</v>
      </c>
      <c r="V98" s="33">
        <v>1.097</v>
      </c>
      <c r="W98" s="33">
        <v>-0.16506000000000001</v>
      </c>
      <c r="X98" s="33">
        <v>6.8069000000000005E-2</v>
      </c>
      <c r="AG98" s="113" t="str">
        <f t="shared" si="418"/>
        <v/>
      </c>
      <c r="AH98" s="113">
        <f t="shared" si="419"/>
        <v>1.1000000000000001</v>
      </c>
      <c r="AI98" s="113" t="str">
        <f t="shared" si="420"/>
        <v/>
      </c>
      <c r="AJ98" s="113" t="str">
        <f t="shared" si="351"/>
        <v/>
      </c>
      <c r="AK98" s="113" t="str">
        <f t="shared" si="421"/>
        <v/>
      </c>
      <c r="AL98" s="113" t="str">
        <f t="shared" si="422"/>
        <v/>
      </c>
      <c r="AO98" s="13">
        <v>0</v>
      </c>
      <c r="AP98" s="120" t="str">
        <f>IF(AO98=1,CONCATENATE(AQ98,AR98,AS98),"")</f>
        <v/>
      </c>
      <c r="AQ98" s="120" t="str">
        <f>IF(AO98=1,CONCATENATE(AT98,AU98,AV98,AW98,IF(AX98="-","",$AX$15&amp;AX98),IF(AY98="-","",$AY$15&amp;AY98),IF(AZ98="-","",$AZ$15&amp;AZ98),IF(BA98="-","",$BA$15&amp;BA98),IF(BB98="-","",$BB$15&amp;BB98),IF(BC98="-","",$BC$15&amp;BC98)),"")</f>
        <v/>
      </c>
      <c r="AR98" s="120" t="str">
        <f>IF(AO98=1,CONCATENATE(BD98,IF(BE98="-","",$BE$15&amp;BE98),IF(BF98="-","",$BF$15&amp;BF98),IF(BG98="-","",$BG$15&amp;BG98),IF(BH98="-","",$BH$15&amp;BH98),IF(BI98="-","",$BI$15&amp;BI98),IF(BJ98="-","",$BJ$15&amp;BJ98)),"")</f>
        <v/>
      </c>
      <c r="AS98" s="120" t="str">
        <f>IF(AO98=1,CHAR(13)&amp;CHAR(10)&amp;"..","")</f>
        <v/>
      </c>
      <c r="AT98" s="13" t="str">
        <f>IF(AO98=1,VLOOKUP(O98,$AT$2:$AV$13,2,0),"")</f>
        <v/>
      </c>
      <c r="AU98" s="13" t="str">
        <f t="shared" si="425"/>
        <v xml:space="preserve">               </v>
      </c>
      <c r="AV98" s="13" t="str">
        <f t="shared" si="417"/>
        <v/>
      </c>
      <c r="AW98" s="13" t="str">
        <f>REPT(" ",$AW$14-LEN(AV98))</f>
        <v xml:space="preserve">                                                                 </v>
      </c>
      <c r="AX98" s="13" t="str">
        <f t="shared" si="423"/>
        <v/>
      </c>
      <c r="AY98" s="13" t="str">
        <f t="shared" si="423"/>
        <v/>
      </c>
      <c r="AZ98" s="13" t="str">
        <f t="shared" si="423"/>
        <v/>
      </c>
      <c r="BA98" s="13" t="str">
        <f t="shared" si="423"/>
        <v/>
      </c>
      <c r="BB98" s="13" t="str">
        <f t="shared" si="423"/>
        <v/>
      </c>
      <c r="BC98" s="13" t="str">
        <f t="shared" si="423"/>
        <v/>
      </c>
      <c r="BD98" s="13" t="str">
        <f t="shared" si="424"/>
        <v xml:space="preserve">_x000D_
                                                                                </v>
      </c>
      <c r="BE98" s="13" t="str">
        <f t="shared" si="238"/>
        <v/>
      </c>
      <c r="BF98" s="13" t="str">
        <f t="shared" si="239"/>
        <v/>
      </c>
      <c r="BG98" s="13" t="str">
        <f t="shared" si="240"/>
        <v/>
      </c>
      <c r="BH98" s="13" t="str">
        <f t="shared" si="241"/>
        <v/>
      </c>
      <c r="BI98" s="13" t="str">
        <f t="shared" si="242"/>
        <v/>
      </c>
      <c r="BJ98" s="13" t="str">
        <f t="shared" si="243"/>
        <v/>
      </c>
      <c r="BM98" s="13" t="str">
        <f>Q98</f>
        <v>CFMRatio</v>
      </c>
      <c r="BO98" s="13">
        <v>1</v>
      </c>
      <c r="BR98" s="13">
        <v>0</v>
      </c>
      <c r="BU98" s="104">
        <f>$V98+$W98*BO98+$X98*BO98^2</f>
        <v>1.0000089999999999</v>
      </c>
      <c r="BV98" s="104"/>
      <c r="BW98" s="104">
        <f>$V98+$W98*BR98+$X98*BR98^2</f>
        <v>1.097</v>
      </c>
    </row>
    <row r="99" spans="1:84" collapsed="1" x14ac:dyDescent="0.3">
      <c r="A99" s="48" t="s">
        <v>363</v>
      </c>
      <c r="B99" s="49"/>
      <c r="C99" s="49"/>
      <c r="D99" s="50"/>
      <c r="E99" s="49"/>
      <c r="F99" s="49"/>
      <c r="G99" s="50"/>
      <c r="H99" s="49"/>
      <c r="I99" s="49"/>
      <c r="J99" s="49"/>
      <c r="K99" s="49"/>
      <c r="L99" s="49"/>
      <c r="M99" s="49"/>
      <c r="N99" s="13" t="str">
        <f t="shared" si="416"/>
        <v>-</v>
      </c>
      <c r="O99" s="49"/>
      <c r="P99" s="49"/>
      <c r="Q99" s="49"/>
      <c r="R99" s="49"/>
      <c r="S99" s="49"/>
      <c r="T99" s="49"/>
      <c r="U99" s="49"/>
      <c r="AD99" s="49"/>
      <c r="AE99" s="49"/>
      <c r="AF99" s="49"/>
      <c r="AG99" s="113" t="str">
        <f t="shared" si="418"/>
        <v/>
      </c>
      <c r="AH99" s="113" t="str">
        <f t="shared" si="419"/>
        <v/>
      </c>
      <c r="AI99" s="113" t="str">
        <f t="shared" si="420"/>
        <v/>
      </c>
      <c r="AJ99" s="113" t="str">
        <f t="shared" si="351"/>
        <v/>
      </c>
      <c r="AK99" s="113" t="str">
        <f t="shared" si="421"/>
        <v/>
      </c>
      <c r="AL99" s="113" t="str">
        <f t="shared" si="422"/>
        <v/>
      </c>
      <c r="AM99" s="50"/>
      <c r="AN99" s="49"/>
      <c r="AO99" s="13" t="str">
        <f>IF(ISTEXT(A99),"",IF(I99="IP",0,1))</f>
        <v/>
      </c>
      <c r="AP99" s="120" t="str">
        <f t="shared" si="8"/>
        <v/>
      </c>
      <c r="AQ99" s="120" t="str">
        <f t="shared" si="353"/>
        <v/>
      </c>
      <c r="AR99" s="120" t="str">
        <f t="shared" si="225"/>
        <v/>
      </c>
      <c r="AS99" s="120" t="str">
        <f t="shared" si="23"/>
        <v/>
      </c>
      <c r="AT99" s="13" t="str">
        <f t="shared" ref="AT99:AT124" si="426">IF(AO99=1,VLOOKUP(O99,$AT$2:$AV$13,2,0),"")</f>
        <v/>
      </c>
      <c r="AU99" s="13" t="str">
        <f t="shared" si="425"/>
        <v xml:space="preserve">               </v>
      </c>
      <c r="AV99" s="13" t="str">
        <f t="shared" si="417"/>
        <v/>
      </c>
      <c r="AW99" s="13" t="str">
        <f t="shared" si="227"/>
        <v xml:space="preserve">                                                                 </v>
      </c>
      <c r="AX99" s="13" t="str">
        <f t="shared" si="146"/>
        <v/>
      </c>
      <c r="AY99" s="13" t="str">
        <f t="shared" si="147"/>
        <v/>
      </c>
      <c r="AZ99" s="13" t="str">
        <f t="shared" si="148"/>
        <v/>
      </c>
      <c r="BA99" s="13" t="str">
        <f t="shared" si="149"/>
        <v/>
      </c>
      <c r="BB99" s="13" t="str">
        <f t="shared" si="150"/>
        <v/>
      </c>
      <c r="BC99" s="13" t="str">
        <f t="shared" si="151"/>
        <v/>
      </c>
      <c r="BD99" s="13" t="str">
        <f t="shared" si="424"/>
        <v xml:space="preserve"> </v>
      </c>
      <c r="BE99" s="13" t="str">
        <f t="shared" si="238"/>
        <v/>
      </c>
      <c r="BF99" s="13" t="str">
        <f t="shared" si="239"/>
        <v/>
      </c>
      <c r="BG99" s="13" t="str">
        <f t="shared" si="240"/>
        <v/>
      </c>
      <c r="BH99" s="13" t="str">
        <f t="shared" si="241"/>
        <v/>
      </c>
      <c r="BI99" s="13" t="str">
        <f t="shared" si="242"/>
        <v/>
      </c>
      <c r="BJ99" s="13" t="str">
        <f t="shared" si="243"/>
        <v/>
      </c>
      <c r="BU99" s="104"/>
      <c r="BV99" s="104"/>
      <c r="BW99" s="104"/>
    </row>
    <row r="100" spans="1:84" hidden="1" outlineLevel="1" x14ac:dyDescent="0.3">
      <c r="B100" s="13" t="s">
        <v>136</v>
      </c>
      <c r="C100" s="38" t="s">
        <v>138</v>
      </c>
      <c r="D100" s="22" t="s">
        <v>68</v>
      </c>
      <c r="E100" s="22" t="s">
        <v>364</v>
      </c>
      <c r="F100" s="22" t="s">
        <v>741</v>
      </c>
      <c r="G100" s="22" t="s">
        <v>681</v>
      </c>
      <c r="H100" s="13" t="s">
        <v>563</v>
      </c>
      <c r="I100" s="13" t="s">
        <v>659</v>
      </c>
      <c r="J100" s="13" t="s">
        <v>273</v>
      </c>
      <c r="K100" s="13" t="s">
        <v>628</v>
      </c>
      <c r="L100" s="13" t="s">
        <v>178</v>
      </c>
      <c r="M100" s="13" t="s">
        <v>237</v>
      </c>
      <c r="N100" s="13" t="str">
        <f t="shared" si="416"/>
        <v>BlrHWBlrFIRRatio_fQRatioIP</v>
      </c>
      <c r="O100" s="13" t="s">
        <v>162</v>
      </c>
      <c r="P100" s="13" t="s">
        <v>391</v>
      </c>
      <c r="Q100" s="13" t="s">
        <v>160</v>
      </c>
      <c r="V100" s="33">
        <v>8.2597000000000004E-2</v>
      </c>
      <c r="W100" s="33">
        <v>0.99676399999999998</v>
      </c>
      <c r="X100" s="33">
        <v>-7.9361000000000001E-2</v>
      </c>
      <c r="AG100" s="113" t="str">
        <f t="shared" si="418"/>
        <v/>
      </c>
      <c r="AH100" s="113">
        <f t="shared" si="419"/>
        <v>0.08</v>
      </c>
      <c r="AI100" s="113" t="str">
        <f t="shared" si="420"/>
        <v/>
      </c>
      <c r="AJ100" s="113" t="str">
        <f t="shared" si="351"/>
        <v/>
      </c>
      <c r="AK100" s="113" t="str">
        <f t="shared" si="421"/>
        <v/>
      </c>
      <c r="AL100" s="113" t="str">
        <f t="shared" si="422"/>
        <v/>
      </c>
      <c r="AO100" s="13">
        <v>0</v>
      </c>
      <c r="AP100" s="120" t="str">
        <f t="shared" si="8"/>
        <v/>
      </c>
      <c r="AQ100" s="120" t="str">
        <f t="shared" si="353"/>
        <v/>
      </c>
      <c r="AR100" s="120" t="str">
        <f t="shared" si="225"/>
        <v/>
      </c>
      <c r="AS100" s="120" t="str">
        <f t="shared" si="23"/>
        <v/>
      </c>
      <c r="AT100" s="13" t="str">
        <f t="shared" si="426"/>
        <v/>
      </c>
      <c r="AU100" s="13" t="str">
        <f t="shared" si="425"/>
        <v xml:space="preserve">               </v>
      </c>
      <c r="AV100" s="13" t="str">
        <f t="shared" si="417"/>
        <v/>
      </c>
      <c r="AW100" s="13" t="str">
        <f t="shared" si="227"/>
        <v xml:space="preserve">                                                                 </v>
      </c>
      <c r="AX100" s="13" t="str">
        <f t="shared" si="146"/>
        <v/>
      </c>
      <c r="AY100" s="13" t="str">
        <f t="shared" si="147"/>
        <v/>
      </c>
      <c r="AZ100" s="13" t="str">
        <f t="shared" si="148"/>
        <v/>
      </c>
      <c r="BA100" s="13" t="str">
        <f t="shared" si="149"/>
        <v/>
      </c>
      <c r="BB100" s="13" t="str">
        <f t="shared" si="150"/>
        <v/>
      </c>
      <c r="BC100" s="13" t="str">
        <f t="shared" si="151"/>
        <v/>
      </c>
      <c r="BD100" s="13" t="str">
        <f t="shared" si="424"/>
        <v xml:space="preserve">_x000D_
                                                                                </v>
      </c>
      <c r="BE100" s="13" t="str">
        <f t="shared" si="238"/>
        <v/>
      </c>
      <c r="BF100" s="13" t="str">
        <f t="shared" si="239"/>
        <v/>
      </c>
      <c r="BG100" s="13" t="str">
        <f t="shared" si="240"/>
        <v/>
      </c>
      <c r="BH100" s="13" t="str">
        <f t="shared" si="241"/>
        <v/>
      </c>
      <c r="BI100" s="13" t="str">
        <f t="shared" si="242"/>
        <v/>
      </c>
      <c r="BJ100" s="13" t="str">
        <f t="shared" si="243"/>
        <v/>
      </c>
      <c r="BM100" s="13" t="str">
        <f>Q100</f>
        <v>QRatio</v>
      </c>
      <c r="BO100" s="13">
        <v>1</v>
      </c>
      <c r="BR100" s="13">
        <v>0</v>
      </c>
      <c r="BU100" s="104">
        <f>$V100+$W100*BO100+$X100*BO100^2+$Y100*BO100^3</f>
        <v>1</v>
      </c>
      <c r="BV100" s="104"/>
      <c r="BW100" s="104">
        <f>$V100+$W100*BR100+$X100*BR100^2+$Y100*BR100^3</f>
        <v>8.2597000000000004E-2</v>
      </c>
    </row>
    <row r="101" spans="1:84" hidden="1" outlineLevel="1" x14ac:dyDescent="0.3">
      <c r="C101" s="38"/>
      <c r="E101" s="22" t="s">
        <v>364</v>
      </c>
      <c r="F101" s="22" t="s">
        <v>409</v>
      </c>
      <c r="G101" s="22" t="s">
        <v>681</v>
      </c>
      <c r="H101" s="13" t="s">
        <v>563</v>
      </c>
      <c r="I101" s="13" t="s">
        <v>660</v>
      </c>
      <c r="J101" s="13" t="s">
        <v>144</v>
      </c>
      <c r="K101" s="13" t="s">
        <v>628</v>
      </c>
      <c r="L101" s="13" t="s">
        <v>178</v>
      </c>
      <c r="M101" s="13" t="s">
        <v>237</v>
      </c>
      <c r="N101" s="13" t="str">
        <f t="shared" si="416"/>
        <v>BlrHWBlrFIRRatio_fQRatioSI</v>
      </c>
      <c r="O101" s="13" t="s">
        <v>162</v>
      </c>
      <c r="P101" s="13" t="s">
        <v>391</v>
      </c>
      <c r="Q101" s="13" t="s">
        <v>160</v>
      </c>
      <c r="V101" s="33">
        <v>0.62670000000000003</v>
      </c>
      <c r="W101" s="33">
        <v>0.67400000000000004</v>
      </c>
      <c r="X101" s="33">
        <v>-0.30730000000000002</v>
      </c>
      <c r="AG101" s="113"/>
      <c r="AH101" s="113">
        <f t="shared" si="419"/>
        <v>0.75</v>
      </c>
      <c r="AI101" s="113"/>
      <c r="AJ101" s="113">
        <f t="shared" si="351"/>
        <v>0.2</v>
      </c>
      <c r="AK101" s="113"/>
      <c r="AL101" s="113"/>
      <c r="AO101" s="13">
        <f t="shared" ref="AO101:AO111" si="427">IF(ISTEXT(A101),"",IF(I101="IP",0,1))</f>
        <v>1</v>
      </c>
      <c r="AP101" s="120" t="str">
        <f t="shared" ref="AP101" si="428">IF(AO101=1,CONCATENATE(AQ101,AR101,AS101),"")</f>
        <v>CrvQuad        "BlrHWBlrFIRRatio_fQRatioSI"                                     Coef1 =  0.626700  Coef2 =  0.674000  Coef3 = -0.307300  _x000D_
                                                                                MinOut = 0.750   MinVar1 = 0.200   _x000D_
..</v>
      </c>
      <c r="AQ101" s="120" t="str">
        <f t="shared" ref="AQ101" si="429">IF(AO101=1,CONCATENATE(AT101,AU101,AV101,AW101,IF(AX101="-","",$AX$15&amp;AX101),IF(AY101="-","",$AY$15&amp;AY101),IF(AZ101="-","",$AZ$15&amp;AZ101),IF(BA101="-","",$BA$15&amp;BA101),IF(BB101="-","",$BB$15&amp;BB101),IF(BC101="-","",$BC$15&amp;BC101)),"")</f>
        <v xml:space="preserve">CrvQuad        "BlrHWBlrFIRRatio_fQRatioSI"                                     Coef1 =  0.626700  Coef2 =  0.674000  Coef3 = -0.307300  </v>
      </c>
      <c r="AR101" s="120" t="str">
        <f t="shared" ref="AR101" si="430">IF(AO101=1,CONCATENATE(BD101,IF(BE101="-","",$BE$15&amp;BE101),IF(BF101="-","",$BF$15&amp;BF101),IF(BG101="-","",$BG$15&amp;BG101),IF(BH101="-","",$BH$15&amp;BH101),IF(BI101="-","",$BI$15&amp;BI101),IF(BJ101="-","",$BJ$15&amp;BJ101)),"")</f>
        <v xml:space="preserve">_x000D_
                                                                                MinOut = 0.750   MinVar1 = 0.200   </v>
      </c>
      <c r="AS101" s="120" t="str">
        <f t="shared" ref="AS101" si="431">IF(AO101=1,CHAR(13)&amp;CHAR(10)&amp;"..","")</f>
        <v>_x000D_
..</v>
      </c>
      <c r="AT101" s="13" t="str">
        <f t="shared" ref="AT101" si="432">IF(AO101=1,VLOOKUP(O101,$AT$2:$AV$13,2,0),"")</f>
        <v>CrvQuad</v>
      </c>
      <c r="AU101" s="13" t="str">
        <f t="shared" ref="AU101" si="433">REPT(" ",AU$14-LEN(AT101))</f>
        <v xml:space="preserve">        </v>
      </c>
      <c r="AV101" s="13" t="str">
        <f t="shared" si="417"/>
        <v>"BlrHWBlrFIRRatio_fQRatioSI"</v>
      </c>
      <c r="AW101" s="13" t="str">
        <f t="shared" ref="AW101" si="434">REPT(" ",$AW$14-LEN(AV101))</f>
        <v xml:space="preserve">                                     </v>
      </c>
      <c r="AX101" s="13" t="str">
        <f t="shared" ref="AX101" si="435">IF($AO101=1,IF(ISBLANK(V101),"-",CONCATENATE(TEXT(V101," 0.000000;-0.000000"),"  ")),"")</f>
        <v xml:space="preserve"> 0.626700  </v>
      </c>
      <c r="AY101" s="13" t="str">
        <f t="shared" ref="AY101" si="436">IF($AO101=1,IF(ISBLANK(W101),"-",CONCATENATE(TEXT(W101," 0.000000;-0.000000"),"  ")),"")</f>
        <v xml:space="preserve"> 0.674000  </v>
      </c>
      <c r="AZ101" s="13" t="str">
        <f t="shared" ref="AZ101" si="437">IF($AO101=1,IF(ISBLANK(X101),"-",CONCATENATE(TEXT(X101," 0.000000;-0.000000"),"  ")),"")</f>
        <v xml:space="preserve">-0.307300  </v>
      </c>
      <c r="BA101" s="13" t="str">
        <f t="shared" ref="BA101" si="438">IF($AO101=1,IF(ISBLANK(Y101),"-",CONCATENATE(TEXT(Y101," 0.000000;-0.000000"),"  ")),"")</f>
        <v>-</v>
      </c>
      <c r="BB101" s="13" t="str">
        <f t="shared" ref="BB101" si="439">IF($AO101=1,IF(ISBLANK(Z101),"-",CONCATENATE(TEXT(Z101," 0.000000;-0.000000"),"  ")),"")</f>
        <v>-</v>
      </c>
      <c r="BC101" s="13" t="str">
        <f t="shared" ref="BC101" si="440">IF($AO101=1,IF(ISBLANK(AA101),"-",CONCATENATE(TEXT(AA101," 0.000000;-0.000000"),"  ")),"")</f>
        <v>-</v>
      </c>
      <c r="BD101" s="13" t="str">
        <f t="shared" ref="BD101" si="441">IF(MAX(AG101:AL101)=0,REPT(" ",1),CHAR(13)&amp;CHAR(10)&amp;REPT(" ",BD$14))</f>
        <v xml:space="preserve">_x000D_
                                                                                </v>
      </c>
      <c r="BE101" s="13" t="str">
        <f t="shared" ref="BE101" si="442">IF($AO101=1,IF(AG101="","-",CONCATENATE(TEXT(AG101,"0.000"),"   ")),"")</f>
        <v>-</v>
      </c>
      <c r="BF101" s="13" t="str">
        <f t="shared" ref="BF101" si="443">IF($AO101=1,IF(AH101="","-",CONCATENATE(TEXT(AH101,"0.000"),"   ")),"")</f>
        <v xml:space="preserve">0.750   </v>
      </c>
      <c r="BG101" s="13" t="str">
        <f t="shared" ref="BG101" si="444">IF($AO101=1,IF(AI101="","-",CONCATENATE(TEXT(AI101,"0.000"),"   ")),"")</f>
        <v>-</v>
      </c>
      <c r="BH101" s="13" t="str">
        <f t="shared" ref="BH101" si="445">IF($AO101=1,IF(AJ101="","-",CONCATENATE(TEXT(AJ101,"0.000"),"   ")),"")</f>
        <v xml:space="preserve">0.200   </v>
      </c>
      <c r="BI101" s="13" t="str">
        <f t="shared" ref="BI101" si="446">IF($AO101=1,IF(AK101="","-",CONCATENATE(TEXT(AK101,"0.000"),"   ")),"")</f>
        <v>-</v>
      </c>
      <c r="BJ101" s="13" t="str">
        <f t="shared" ref="BJ101" si="447">IF($AO101=1,IF(AL101="","-",CONCATENATE(TEXT(AL101,"0.000"),"   ")),"")</f>
        <v>-</v>
      </c>
      <c r="BM101" s="13" t="str">
        <f>Q101</f>
        <v>QRatio</v>
      </c>
      <c r="BO101" s="13">
        <v>1</v>
      </c>
      <c r="BQ101" s="13">
        <v>1</v>
      </c>
      <c r="BR101" s="13">
        <v>0.2</v>
      </c>
      <c r="BU101" s="104">
        <f>$V101+$W101*BO101+$X101*BO101^2+$Y101*BO101^3</f>
        <v>0.99339999999999995</v>
      </c>
      <c r="BV101" s="104"/>
      <c r="BW101" s="104">
        <f>$V101+$W101*BR101+$X101*BR101^2+$Y101*BR101^3</f>
        <v>0.7492080000000001</v>
      </c>
    </row>
    <row r="102" spans="1:84" hidden="1" outlineLevel="1" x14ac:dyDescent="0.3">
      <c r="C102" s="38"/>
      <c r="E102" s="22" t="s">
        <v>364</v>
      </c>
      <c r="F102" s="22" t="s">
        <v>741</v>
      </c>
      <c r="G102" s="22" t="s">
        <v>682</v>
      </c>
      <c r="H102" s="13" t="s">
        <v>685</v>
      </c>
      <c r="I102" s="13" t="s">
        <v>659</v>
      </c>
      <c r="J102" s="13" t="s">
        <v>273</v>
      </c>
      <c r="K102" s="13" t="s">
        <v>684</v>
      </c>
      <c r="N102" s="13" t="str">
        <f t="shared" si="416"/>
        <v>BlrHWCondBlrFIRRatio_fQRatioTewtIP</v>
      </c>
      <c r="O102" s="13" t="s">
        <v>165</v>
      </c>
      <c r="P102" s="13" t="s">
        <v>391</v>
      </c>
      <c r="Q102" s="13" t="s">
        <v>160</v>
      </c>
      <c r="R102" s="13" t="s">
        <v>683</v>
      </c>
      <c r="AG102" s="113" t="str">
        <f t="shared" si="418"/>
        <v/>
      </c>
      <c r="AH102" s="113" t="str">
        <f t="shared" si="419"/>
        <v/>
      </c>
      <c r="AI102" s="113">
        <f t="shared" si="420"/>
        <v>1</v>
      </c>
      <c r="AJ102" s="113" t="str">
        <f t="shared" si="351"/>
        <v/>
      </c>
      <c r="AK102" s="113" t="str">
        <f t="shared" si="421"/>
        <v/>
      </c>
      <c r="AL102" s="113" t="str">
        <f t="shared" si="422"/>
        <v/>
      </c>
      <c r="AO102" s="13">
        <f t="shared" si="427"/>
        <v>0</v>
      </c>
      <c r="AP102" s="120" t="str">
        <f t="shared" ref="AP102" si="448">IF(AO102=1,CONCATENATE(AQ102,AR102,AS102),"")</f>
        <v/>
      </c>
      <c r="AQ102" s="120" t="str">
        <f t="shared" ref="AQ102" si="449">IF(AO102=1,CONCATENATE(AT102,AU102,AV102,AW102,IF(AX102="-","",$AX$15&amp;AX102),IF(AY102="-","",$AY$15&amp;AY102),IF(AZ102="-","",$AZ$15&amp;AZ102),IF(BA102="-","",$BA$15&amp;BA102),IF(BB102="-","",$BB$15&amp;BB102),IF(BC102="-","",$BC$15&amp;BC102)),"")</f>
        <v/>
      </c>
      <c r="AR102" s="120" t="str">
        <f t="shared" ref="AR102" si="450">IF(AO102=1,CONCATENATE(BD102,IF(BE102="-","",$BE$15&amp;BE102),IF(BF102="-","",$BF$15&amp;BF102),IF(BG102="-","",$BG$15&amp;BG102),IF(BH102="-","",$BH$15&amp;BH102),IF(BI102="-","",$BI$15&amp;BI102),IF(BJ102="-","",$BJ$15&amp;BJ102)),"")</f>
        <v/>
      </c>
      <c r="AS102" s="120" t="str">
        <f t="shared" ref="AS102" si="451">IF(AO102=1,CHAR(13)&amp;CHAR(10)&amp;"..","")</f>
        <v/>
      </c>
      <c r="AT102" s="13" t="str">
        <f t="shared" ref="AT102" si="452">IF(AO102=1,VLOOKUP(O102,$AT$2:$AV$13,2,0),"")</f>
        <v/>
      </c>
      <c r="AU102" s="13" t="str">
        <f t="shared" ref="AU102" si="453">REPT(" ",AU$14-LEN(AT102))</f>
        <v xml:space="preserve">               </v>
      </c>
      <c r="AV102" s="13" t="str">
        <f t="shared" si="417"/>
        <v/>
      </c>
      <c r="AW102" s="13" t="str">
        <f t="shared" ref="AW102" si="454">REPT(" ",$AW$14-LEN(AV102))</f>
        <v xml:space="preserve">                                                                 </v>
      </c>
      <c r="AX102" s="13" t="str">
        <f t="shared" ref="AX102" si="455">IF($AO102=1,IF(ISBLANK(V102),"-",CONCATENATE(TEXT(V102," 0.000000;-0.000000"),"  ")),"")</f>
        <v/>
      </c>
      <c r="AY102" s="13" t="str">
        <f t="shared" ref="AY102" si="456">IF($AO102=1,IF(ISBLANK(W102),"-",CONCATENATE(TEXT(W102," 0.000000;-0.000000"),"  ")),"")</f>
        <v/>
      </c>
      <c r="AZ102" s="13" t="str">
        <f t="shared" ref="AZ102" si="457">IF($AO102=1,IF(ISBLANK(X102),"-",CONCATENATE(TEXT(X102," 0.000000;-0.000000"),"  ")),"")</f>
        <v/>
      </c>
      <c r="BA102" s="13" t="str">
        <f t="shared" ref="BA102" si="458">IF($AO102=1,IF(ISBLANK(Y102),"-",CONCATENATE(TEXT(Y102," 0.000000;-0.000000"),"  ")),"")</f>
        <v/>
      </c>
      <c r="BB102" s="13" t="str">
        <f t="shared" ref="BB102" si="459">IF($AO102=1,IF(ISBLANK(Z102),"-",CONCATENATE(TEXT(Z102," 0.000000;-0.000000"),"  ")),"")</f>
        <v/>
      </c>
      <c r="BC102" s="13" t="str">
        <f t="shared" ref="BC102" si="460">IF($AO102=1,IF(ISBLANK(AA102),"-",CONCATENATE(TEXT(AA102," 0.000000;-0.000000"),"  ")),"")</f>
        <v/>
      </c>
      <c r="BD102" s="13" t="str">
        <f t="shared" ref="BD102" si="461">IF(MAX(AG102:AL102)=0,REPT(" ",1),CHAR(13)&amp;CHAR(10)&amp;REPT(" ",BD$14))</f>
        <v xml:space="preserve">_x000D_
                                                                                </v>
      </c>
      <c r="BE102" s="13" t="str">
        <f t="shared" si="238"/>
        <v/>
      </c>
      <c r="BF102" s="13" t="str">
        <f t="shared" si="239"/>
        <v/>
      </c>
      <c r="BG102" s="13" t="str">
        <f t="shared" si="240"/>
        <v/>
      </c>
      <c r="BH102" s="13" t="str">
        <f t="shared" si="241"/>
        <v/>
      </c>
      <c r="BI102" s="13" t="str">
        <f t="shared" si="242"/>
        <v/>
      </c>
      <c r="BJ102" s="13" t="str">
        <f t="shared" si="243"/>
        <v/>
      </c>
      <c r="BM102" s="13" t="str">
        <f>Q102</f>
        <v>QRatio</v>
      </c>
      <c r="BN102" s="13" t="str">
        <f>R102</f>
        <v>Tewt</v>
      </c>
      <c r="BO102" s="13">
        <v>1</v>
      </c>
      <c r="BQ102" s="13">
        <v>1</v>
      </c>
      <c r="BR102" s="13">
        <v>0</v>
      </c>
      <c r="BU102" s="104">
        <f>$V102+$W102*BO102+$X102*BO102^2+$Y102*BO102^3</f>
        <v>0</v>
      </c>
      <c r="BV102" s="104"/>
      <c r="BW102" s="104">
        <f>$V102+$W102*BR102+$X102*BR102^2+$Y102*BR102^3</f>
        <v>0</v>
      </c>
    </row>
    <row r="103" spans="1:84" ht="28.8" hidden="1" outlineLevel="1" x14ac:dyDescent="0.3">
      <c r="C103" s="38"/>
      <c r="E103" s="22" t="s">
        <v>364</v>
      </c>
      <c r="F103" s="22" t="s">
        <v>742</v>
      </c>
      <c r="G103" s="22" t="s">
        <v>682</v>
      </c>
      <c r="H103" s="13" t="s">
        <v>685</v>
      </c>
      <c r="I103" s="13" t="s">
        <v>660</v>
      </c>
      <c r="J103" s="13" t="s">
        <v>144</v>
      </c>
      <c r="K103" s="13" t="s">
        <v>743</v>
      </c>
      <c r="L103" s="13" t="s">
        <v>178</v>
      </c>
      <c r="M103" s="13" t="s">
        <v>237</v>
      </c>
      <c r="N103" s="13" t="str">
        <f t="shared" si="416"/>
        <v>BlrHWCondBlrFIRRatio_fQRatioTewtSI</v>
      </c>
      <c r="O103" s="13" t="s">
        <v>165</v>
      </c>
      <c r="P103" s="13" t="s">
        <v>391</v>
      </c>
      <c r="Q103" s="13" t="s">
        <v>160</v>
      </c>
      <c r="R103" s="13" t="s">
        <v>683</v>
      </c>
      <c r="V103" s="33">
        <v>1.19381</v>
      </c>
      <c r="W103" s="33">
        <v>-0.11082500000000001</v>
      </c>
      <c r="X103" s="33">
        <v>3.9514199999999999E-2</v>
      </c>
      <c r="Y103" s="33">
        <v>-6.3713700000000003E-3</v>
      </c>
      <c r="Z103" s="33">
        <v>3.8134599999999999E-5</v>
      </c>
      <c r="AA103" s="33">
        <v>8.3037900000000001E-4</v>
      </c>
      <c r="AG103" s="113">
        <f t="shared" si="418"/>
        <v>1.05</v>
      </c>
      <c r="AH103" s="113">
        <f t="shared" si="419"/>
        <v>0.93</v>
      </c>
      <c r="AI103" s="113">
        <f t="shared" si="420"/>
        <v>1</v>
      </c>
      <c r="AJ103" s="113">
        <f t="shared" si="351"/>
        <v>0.1</v>
      </c>
      <c r="AK103" s="113">
        <f t="shared" si="421"/>
        <v>71.099999999999994</v>
      </c>
      <c r="AL103" s="113">
        <f t="shared" si="422"/>
        <v>15.56</v>
      </c>
      <c r="AM103" s="22" t="s">
        <v>730</v>
      </c>
      <c r="AO103" s="13">
        <f t="shared" si="427"/>
        <v>1</v>
      </c>
      <c r="AP103" s="120" t="str">
        <f t="shared" ref="AP103" si="462">IF(AO103=1,CONCATENATE(AQ103,AR103,AS103),"")</f>
        <v>CrvDblQuad     "BlrHWCondBlrFIRRatio_fQRatioTewtSI"                             Coef1 =  1.193810  Coef2 = -0.110825  Coef3 =  0.039514  Coef4 = -0.006371  Coef5 =  0.000038  Coef6 =  0.000830  _x000D_
                                                                                MaxOut = 1.050   MinOut = 0.930   MaxVar1 = 1.000   MinVar1 = 0.100   MaxVar2 = 71.100   MinVar2 = 15.560   _x000D_
..</v>
      </c>
      <c r="AQ103" s="120" t="str">
        <f t="shared" ref="AQ103" si="463">IF(AO103=1,CONCATENATE(AT103,AU103,AV103,AW103,IF(AX103="-","",$AX$15&amp;AX103),IF(AY103="-","",$AY$15&amp;AY103),IF(AZ103="-","",$AZ$15&amp;AZ103),IF(BA103="-","",$BA$15&amp;BA103),IF(BB103="-","",$BB$15&amp;BB103),IF(BC103="-","",$BC$15&amp;BC103)),"")</f>
        <v xml:space="preserve">CrvDblQuad     "BlrHWCondBlrFIRRatio_fQRatioTewtSI"                             Coef1 =  1.193810  Coef2 = -0.110825  Coef3 =  0.039514  Coef4 = -0.006371  Coef5 =  0.000038  Coef6 =  0.000830  </v>
      </c>
      <c r="AR103" s="120" t="str">
        <f t="shared" ref="AR103" si="464">IF(AO103=1,CONCATENATE(BD103,IF(BE103="-","",$BE$15&amp;BE103),IF(BF103="-","",$BF$15&amp;BF103),IF(BG103="-","",$BG$15&amp;BG103),IF(BH103="-","",$BH$15&amp;BH103),IF(BI103="-","",$BI$15&amp;BI103),IF(BJ103="-","",$BJ$15&amp;BJ103)),"")</f>
        <v xml:space="preserve">_x000D_
                                                                                MaxOut = 1.050   MinOut = 0.930   MaxVar1 = 1.000   MinVar1 = 0.100   MaxVar2 = 71.100   MinVar2 = 15.560   </v>
      </c>
      <c r="AS103" s="120" t="str">
        <f t="shared" ref="AS103" si="465">IF(AO103=1,CHAR(13)&amp;CHAR(10)&amp;"..","")</f>
        <v>_x000D_
..</v>
      </c>
      <c r="AT103" s="13" t="str">
        <f t="shared" ref="AT103" si="466">IF(AO103=1,VLOOKUP(O103,$AT$2:$AV$13,2,0),"")</f>
        <v>CrvDblQuad</v>
      </c>
      <c r="AU103" s="13" t="str">
        <f t="shared" ref="AU103" si="467">REPT(" ",AU$14-LEN(AT103))</f>
        <v xml:space="preserve">     </v>
      </c>
      <c r="AV103" s="13" t="str">
        <f t="shared" si="417"/>
        <v>"BlrHWCondBlrFIRRatio_fQRatioTewtSI"</v>
      </c>
      <c r="AW103" s="13" t="str">
        <f t="shared" ref="AW103" si="468">REPT(" ",$AW$14-LEN(AV103))</f>
        <v xml:space="preserve">                             </v>
      </c>
      <c r="AX103" s="13" t="str">
        <f t="shared" ref="AX103" si="469">IF($AO103=1,IF(ISBLANK(V103),"-",CONCATENATE(TEXT(V103," 0.000000;-0.000000"),"  ")),"")</f>
        <v xml:space="preserve"> 1.193810  </v>
      </c>
      <c r="AY103" s="13" t="str">
        <f t="shared" ref="AY103" si="470">IF($AO103=1,IF(ISBLANK(W103),"-",CONCATENATE(TEXT(W103," 0.000000;-0.000000"),"  ")),"")</f>
        <v xml:space="preserve">-0.110825  </v>
      </c>
      <c r="AZ103" s="13" t="str">
        <f t="shared" ref="AZ103" si="471">IF($AO103=1,IF(ISBLANK(X103),"-",CONCATENATE(TEXT(X103," 0.000000;-0.000000"),"  ")),"")</f>
        <v xml:space="preserve"> 0.039514  </v>
      </c>
      <c r="BA103" s="13" t="str">
        <f t="shared" ref="BA103" si="472">IF($AO103=1,IF(ISBLANK(Y103),"-",CONCATENATE(TEXT(Y103," 0.000000;-0.000000"),"  ")),"")</f>
        <v xml:space="preserve">-0.006371  </v>
      </c>
      <c r="BB103" s="13" t="str">
        <f t="shared" ref="BB103" si="473">IF($AO103=1,IF(ISBLANK(Z103),"-",CONCATENATE(TEXT(Z103," 0.000000;-0.000000"),"  ")),"")</f>
        <v xml:space="preserve"> 0.000038  </v>
      </c>
      <c r="BC103" s="13" t="str">
        <f t="shared" ref="BC103" si="474">IF($AO103=1,IF(ISBLANK(AA103),"-",CONCATENATE(TEXT(AA103," 0.000000;-0.000000"),"  ")),"")</f>
        <v xml:space="preserve"> 0.000830  </v>
      </c>
      <c r="BD103" s="13" t="str">
        <f t="shared" ref="BD103" si="475">IF(MAX(AG103:AL103)=0,REPT(" ",1),CHAR(13)&amp;CHAR(10)&amp;REPT(" ",BD$14))</f>
        <v xml:space="preserve">_x000D_
                                                                                </v>
      </c>
      <c r="BE103" s="13" t="str">
        <f t="shared" si="238"/>
        <v xml:space="preserve">1.050   </v>
      </c>
      <c r="BF103" s="13" t="str">
        <f t="shared" si="239"/>
        <v xml:space="preserve">0.930   </v>
      </c>
      <c r="BG103" s="13" t="str">
        <f t="shared" si="240"/>
        <v xml:space="preserve">1.000   </v>
      </c>
      <c r="BH103" s="13" t="str">
        <f t="shared" si="241"/>
        <v xml:space="preserve">0.100   </v>
      </c>
      <c r="BI103" s="13" t="str">
        <f t="shared" si="242"/>
        <v xml:space="preserve">71.100   </v>
      </c>
      <c r="BJ103" s="13" t="str">
        <f t="shared" si="243"/>
        <v xml:space="preserve">15.560   </v>
      </c>
      <c r="BM103" s="13" t="str">
        <f>Q103</f>
        <v>QRatio</v>
      </c>
      <c r="BN103" s="13" t="str">
        <f>R103</f>
        <v>Tewt</v>
      </c>
      <c r="BO103" s="13">
        <v>1</v>
      </c>
      <c r="BP103" s="13">
        <v>26.7</v>
      </c>
      <c r="BQ103" s="13">
        <v>1</v>
      </c>
      <c r="BR103" s="13">
        <v>0.1</v>
      </c>
      <c r="BS103" s="13">
        <v>71.099999999999994</v>
      </c>
      <c r="BT103" s="118">
        <f>(60-32)/1.8</f>
        <v>15.555555555555555</v>
      </c>
      <c r="BU103" s="104">
        <f>$V103+$W103*BO103+$X103*BO103^2+$Y103*BP103+$Z103*BP103^2+$AA103*BO103*BP103</f>
        <v>1.001740515294</v>
      </c>
      <c r="BV103" s="104">
        <f>$V103+$W103*BQ103+$X103*BQ103^2+$Y103*BT103+$Z103*BT103^2+$AA103*BQ103*BT103</f>
        <v>1.0455336382716049</v>
      </c>
      <c r="BW103" s="104">
        <f>$V103+$W103*BR103+$X103*BR103^2+$Y103*BS103+$Z103*BS103^2+$AA103*BR103*BS103</f>
        <v>0.92880064095599979</v>
      </c>
      <c r="CB103" s="13" t="s">
        <v>731</v>
      </c>
      <c r="CC103" s="13">
        <v>0.95</v>
      </c>
      <c r="CD103" s="95">
        <f>CC103*BV103</f>
        <v>0.99325695635802469</v>
      </c>
      <c r="CE103" s="95">
        <f>CC103*BW103</f>
        <v>0.88236060890819978</v>
      </c>
      <c r="CF103" s="13" t="s">
        <v>738</v>
      </c>
    </row>
    <row r="104" spans="1:84" collapsed="1" x14ac:dyDescent="0.3">
      <c r="A104" s="16" t="s">
        <v>380</v>
      </c>
      <c r="C104" s="38"/>
      <c r="E104" s="22"/>
      <c r="F104" s="22"/>
      <c r="N104" s="13" t="str">
        <f t="shared" si="416"/>
        <v>-</v>
      </c>
      <c r="AG104" s="113" t="str">
        <f>IF(BV104&gt;0,ROUND(BV104,2),"")</f>
        <v/>
      </c>
      <c r="AH104" s="113" t="str">
        <f>IF(BW104&gt;0,ROUND(BW104,2),"")</f>
        <v/>
      </c>
      <c r="AI104" s="113" t="str">
        <f t="shared" ref="AI104:AI149" si="476">IF(BQ104&gt;0,ROUND(BQ104,2),"")</f>
        <v/>
      </c>
      <c r="AJ104" s="113" t="str">
        <f t="shared" si="351"/>
        <v/>
      </c>
      <c r="AK104" s="113" t="str">
        <f t="shared" ref="AK104:AK149" si="477">IF(BS104&gt;0,ROUND(BS104,2),"")</f>
        <v/>
      </c>
      <c r="AL104" s="113" t="str">
        <f t="shared" ref="AL104:AL149" si="478">IF(BT104&gt;0,ROUND(BT104,2),"")</f>
        <v/>
      </c>
      <c r="AO104" s="13" t="str">
        <f t="shared" si="427"/>
        <v/>
      </c>
      <c r="AP104" s="120" t="str">
        <f t="shared" si="8"/>
        <v/>
      </c>
      <c r="AQ104" s="120" t="str">
        <f t="shared" si="353"/>
        <v/>
      </c>
      <c r="AR104" s="120" t="str">
        <f t="shared" si="225"/>
        <v/>
      </c>
      <c r="AS104" s="120" t="str">
        <f t="shared" si="23"/>
        <v/>
      </c>
      <c r="AT104" s="13" t="str">
        <f t="shared" si="426"/>
        <v/>
      </c>
      <c r="AU104" s="13" t="str">
        <f t="shared" si="425"/>
        <v xml:space="preserve">               </v>
      </c>
      <c r="AV104" s="13" t="str">
        <f t="shared" si="417"/>
        <v/>
      </c>
      <c r="AW104" s="13" t="str">
        <f t="shared" si="227"/>
        <v xml:space="preserve">                                                                 </v>
      </c>
      <c r="AX104" s="13" t="str">
        <f t="shared" si="146"/>
        <v/>
      </c>
      <c r="AY104" s="13" t="str">
        <f t="shared" si="147"/>
        <v/>
      </c>
      <c r="AZ104" s="13" t="str">
        <f t="shared" si="148"/>
        <v/>
      </c>
      <c r="BA104" s="13" t="str">
        <f t="shared" si="149"/>
        <v/>
      </c>
      <c r="BB104" s="13" t="str">
        <f t="shared" si="150"/>
        <v/>
      </c>
      <c r="BC104" s="13" t="str">
        <f t="shared" si="151"/>
        <v/>
      </c>
      <c r="BD104" s="13" t="str">
        <f t="shared" si="424"/>
        <v xml:space="preserve"> </v>
      </c>
      <c r="BE104" s="13" t="str">
        <f t="shared" si="238"/>
        <v/>
      </c>
      <c r="BF104" s="13" t="str">
        <f t="shared" si="239"/>
        <v/>
      </c>
      <c r="BG104" s="13" t="str">
        <f t="shared" si="240"/>
        <v/>
      </c>
      <c r="BH104" s="13" t="str">
        <f t="shared" si="241"/>
        <v/>
      </c>
      <c r="BI104" s="13" t="str">
        <f t="shared" si="242"/>
        <v/>
      </c>
      <c r="BJ104" s="13" t="str">
        <f t="shared" si="243"/>
        <v/>
      </c>
      <c r="BU104" s="104"/>
      <c r="BV104" s="104"/>
      <c r="BW104" s="104"/>
    </row>
    <row r="105" spans="1:84" hidden="1" outlineLevel="1" x14ac:dyDescent="0.3">
      <c r="B105" s="13" t="s">
        <v>137</v>
      </c>
      <c r="C105" s="38" t="s">
        <v>150</v>
      </c>
      <c r="D105" s="22" t="s">
        <v>67</v>
      </c>
      <c r="E105" s="22" t="s">
        <v>369</v>
      </c>
      <c r="F105" s="22" t="s">
        <v>403</v>
      </c>
      <c r="G105" s="22" t="s">
        <v>70</v>
      </c>
      <c r="H105" s="13" t="s">
        <v>372</v>
      </c>
      <c r="I105" s="13" t="s">
        <v>659</v>
      </c>
      <c r="J105" s="13" t="s">
        <v>273</v>
      </c>
      <c r="K105" s="13" t="s">
        <v>13</v>
      </c>
      <c r="L105" s="22"/>
      <c r="N105" s="13" t="str">
        <f t="shared" si="416"/>
        <v>ChlrAirScrollQRatio_fTchwsToadbIP</v>
      </c>
      <c r="O105" s="13" t="s">
        <v>165</v>
      </c>
      <c r="P105" s="13" t="s">
        <v>160</v>
      </c>
      <c r="Q105" s="13" t="s">
        <v>139</v>
      </c>
      <c r="R105" s="13" t="s">
        <v>460</v>
      </c>
      <c r="V105" s="33">
        <v>0.40070684000000001</v>
      </c>
      <c r="W105" s="33">
        <v>1.861548E-2</v>
      </c>
      <c r="X105" s="33">
        <v>7.1989999999999993E-5</v>
      </c>
      <c r="Y105" s="33">
        <v>1.7729600000000001E-3</v>
      </c>
      <c r="Z105" s="33">
        <v>-2.014E-5</v>
      </c>
      <c r="AA105" s="33">
        <v>-8.2730000000000002E-5</v>
      </c>
      <c r="AG105" s="113">
        <f t="shared" ref="AG105:AG118" si="479">IF(BV105&gt;0,ROUND(BV105,2),"")</f>
        <v>1.3</v>
      </c>
      <c r="AH105" s="113">
        <f t="shared" ref="AH105:AH118" si="480">IF(BW105&gt;0,ROUND(BW105,2),"")</f>
        <v>0.82</v>
      </c>
      <c r="AI105" s="113">
        <f t="shared" si="476"/>
        <v>54</v>
      </c>
      <c r="AJ105" s="113">
        <f t="shared" si="351"/>
        <v>40</v>
      </c>
      <c r="AK105" s="113">
        <f t="shared" si="477"/>
        <v>115</v>
      </c>
      <c r="AL105" s="113">
        <f t="shared" si="478"/>
        <v>75</v>
      </c>
      <c r="AO105" s="13">
        <f t="shared" si="427"/>
        <v>0</v>
      </c>
      <c r="AP105" s="120" t="str">
        <f t="shared" si="8"/>
        <v/>
      </c>
      <c r="AQ105" s="120" t="str">
        <f t="shared" si="353"/>
        <v/>
      </c>
      <c r="AR105" s="120" t="str">
        <f t="shared" si="225"/>
        <v/>
      </c>
      <c r="AS105" s="120" t="str">
        <f t="shared" si="23"/>
        <v/>
      </c>
      <c r="AT105" s="13" t="str">
        <f t="shared" si="426"/>
        <v/>
      </c>
      <c r="AU105" s="13" t="str">
        <f t="shared" si="425"/>
        <v xml:space="preserve">               </v>
      </c>
      <c r="AV105" s="13" t="str">
        <f t="shared" si="417"/>
        <v/>
      </c>
      <c r="AW105" s="13" t="str">
        <f t="shared" si="227"/>
        <v xml:space="preserve">                                                                 </v>
      </c>
      <c r="AX105" s="13" t="str">
        <f t="shared" si="146"/>
        <v/>
      </c>
      <c r="AY105" s="13" t="str">
        <f t="shared" si="147"/>
        <v/>
      </c>
      <c r="AZ105" s="13" t="str">
        <f t="shared" si="148"/>
        <v/>
      </c>
      <c r="BA105" s="13" t="str">
        <f t="shared" si="149"/>
        <v/>
      </c>
      <c r="BB105" s="13" t="str">
        <f t="shared" si="150"/>
        <v/>
      </c>
      <c r="BC105" s="13" t="str">
        <f t="shared" si="151"/>
        <v/>
      </c>
      <c r="BD105" s="13" t="str">
        <f t="shared" si="424"/>
        <v xml:space="preserve">_x000D_
                                                                                </v>
      </c>
      <c r="BE105" s="13" t="str">
        <f t="shared" si="238"/>
        <v/>
      </c>
      <c r="BF105" s="13" t="str">
        <f t="shared" si="239"/>
        <v/>
      </c>
      <c r="BG105" s="13" t="str">
        <f t="shared" si="240"/>
        <v/>
      </c>
      <c r="BH105" s="13" t="str">
        <f t="shared" si="241"/>
        <v/>
      </c>
      <c r="BI105" s="13" t="str">
        <f t="shared" si="242"/>
        <v/>
      </c>
      <c r="BJ105" s="13" t="str">
        <f t="shared" si="243"/>
        <v/>
      </c>
      <c r="BM105" s="13" t="str">
        <f>Q105</f>
        <v>Tchws</v>
      </c>
      <c r="BN105" s="13" t="str">
        <f>R105</f>
        <v>Toadb</v>
      </c>
      <c r="BO105" s="13">
        <v>44</v>
      </c>
      <c r="BP105" s="13">
        <v>95</v>
      </c>
      <c r="BQ105" s="13">
        <v>54</v>
      </c>
      <c r="BR105" s="13">
        <v>40</v>
      </c>
      <c r="BS105" s="13">
        <v>115</v>
      </c>
      <c r="BT105" s="13">
        <v>75</v>
      </c>
      <c r="BU105" s="104">
        <f t="shared" ref="BU105:BU110" si="481">$V105+$W105*BO105+$X105*BO105^2+$Y105*BP105+$Z105*BP105^2+$AA105*BO105*BP105</f>
        <v>1.0000169000000003</v>
      </c>
      <c r="BV105" s="104">
        <f>$V105+$W105*BQ105+$X105*BQ105^2+$Y105*BT105+$Z105*BT105^2+$AA105*BQ105*BT105</f>
        <v>1.3004936000000002</v>
      </c>
      <c r="BW105" s="104">
        <f>$V105+$W105*BR105+$X105*BR105^2+$Y105*BS105+$Z105*BS105^2+$AA105*BR105*BS105</f>
        <v>0.81749093999999989</v>
      </c>
      <c r="BX105" s="13" t="s">
        <v>729</v>
      </c>
    </row>
    <row r="106" spans="1:84" hidden="1" outlineLevel="1" x14ac:dyDescent="0.3">
      <c r="C106" s="38"/>
      <c r="E106" s="22" t="s">
        <v>369</v>
      </c>
      <c r="F106" s="22" t="s">
        <v>403</v>
      </c>
      <c r="G106" s="22" t="s">
        <v>70</v>
      </c>
      <c r="H106" s="13" t="s">
        <v>372</v>
      </c>
      <c r="I106" s="13" t="s">
        <v>660</v>
      </c>
      <c r="J106" s="13" t="s">
        <v>144</v>
      </c>
      <c r="L106" s="22" t="s">
        <v>202</v>
      </c>
      <c r="M106" s="13" t="s">
        <v>248</v>
      </c>
      <c r="N106" s="13" t="str">
        <f t="shared" si="416"/>
        <v>ChlrAirScrollQRatio_fTchwsToadbSI</v>
      </c>
      <c r="O106" s="13" t="s">
        <v>165</v>
      </c>
      <c r="P106" s="13" t="s">
        <v>160</v>
      </c>
      <c r="Q106" s="13" t="s">
        <v>139</v>
      </c>
      <c r="R106" s="13" t="s">
        <v>460</v>
      </c>
      <c r="V106" s="33">
        <v>1.02138</v>
      </c>
      <c r="W106" s="33">
        <v>3.7020600000000001E-2</v>
      </c>
      <c r="X106" s="33">
        <v>2.3327999999999999E-4</v>
      </c>
      <c r="Y106" s="33">
        <v>-3.8934E-3</v>
      </c>
      <c r="Z106" s="33">
        <v>-6.4800000000000003E-5</v>
      </c>
      <c r="AA106" s="33">
        <v>-2.6892000000000002E-4</v>
      </c>
      <c r="AG106" s="113">
        <f t="shared" si="479"/>
        <v>1.3</v>
      </c>
      <c r="AH106" s="113">
        <f t="shared" si="480"/>
        <v>0.82</v>
      </c>
      <c r="AI106" s="113">
        <f t="shared" si="476"/>
        <v>12.22</v>
      </c>
      <c r="AJ106" s="113">
        <f t="shared" si="351"/>
        <v>4.4400000000000004</v>
      </c>
      <c r="AK106" s="113">
        <f t="shared" si="477"/>
        <v>46.11</v>
      </c>
      <c r="AL106" s="113">
        <f t="shared" si="478"/>
        <v>23.89</v>
      </c>
      <c r="AO106" s="13">
        <f t="shared" si="427"/>
        <v>1</v>
      </c>
      <c r="AP106" s="120" t="str">
        <f t="shared" ref="AP106" si="482">IF(AO106=1,CONCATENATE(AQ106,AR106,AS106),"")</f>
        <v>CrvDblQuad     "ChlrAirScrollQRatio_fTchwsToadbSI"                              Coef1 =  1.021380  Coef2 =  0.037021  Coef3 =  0.000233  Coef4 = -0.003893  Coef5 = -0.000065  Coef6 = -0.000269  _x000D_
                                                                                MaxOut = 1.300   MinOut = 0.820   MaxVar1 = 12.220   MinVar1 = 4.440   MaxVar2 = 46.110   MinVar2 = 23.890   _x000D_
..</v>
      </c>
      <c r="AQ106" s="120" t="str">
        <f t="shared" ref="AQ106" si="483">IF(AO106=1,CONCATENATE(AT106,AU106,AV106,AW106,IF(AX106="-","",$AX$15&amp;AX106),IF(AY106="-","",$AY$15&amp;AY106),IF(AZ106="-","",$AZ$15&amp;AZ106),IF(BA106="-","",$BA$15&amp;BA106),IF(BB106="-","",$BB$15&amp;BB106),IF(BC106="-","",$BC$15&amp;BC106)),"")</f>
        <v xml:space="preserve">CrvDblQuad     "ChlrAirScrollQRatio_fTchwsToadbSI"                              Coef1 =  1.021380  Coef2 =  0.037021  Coef3 =  0.000233  Coef4 = -0.003893  Coef5 = -0.000065  Coef6 = -0.000269  </v>
      </c>
      <c r="AR106" s="120" t="str">
        <f t="shared" ref="AR106" si="484">IF(AO106=1,CONCATENATE(BD106,IF(BE106="-","",$BE$15&amp;BE106),IF(BF106="-","",$BF$15&amp;BF106),IF(BG106="-","",$BG$15&amp;BG106),IF(BH106="-","",$BH$15&amp;BH106),IF(BI106="-","",$BI$15&amp;BI106),IF(BJ106="-","",$BJ$15&amp;BJ106)),"")</f>
        <v xml:space="preserve">_x000D_
                                                                                MaxOut = 1.300   MinOut = 0.820   MaxVar1 = 12.220   MinVar1 = 4.440   MaxVar2 = 46.110   MinVar2 = 23.890   </v>
      </c>
      <c r="AS106" s="120" t="str">
        <f t="shared" ref="AS106" si="485">IF(AO106=1,CHAR(13)&amp;CHAR(10)&amp;"..","")</f>
        <v>_x000D_
..</v>
      </c>
      <c r="AT106" s="13" t="str">
        <f t="shared" ref="AT106" si="486">IF(AO106=1,VLOOKUP(O106,$AT$2:$AV$13,2,0),"")</f>
        <v>CrvDblQuad</v>
      </c>
      <c r="AU106" s="13" t="str">
        <f t="shared" si="425"/>
        <v xml:space="preserve">     </v>
      </c>
      <c r="AV106" s="13" t="str">
        <f t="shared" si="417"/>
        <v>"ChlrAirScrollQRatio_fTchwsToadbSI"</v>
      </c>
      <c r="AW106" s="13" t="str">
        <f t="shared" ref="AW106" si="487">REPT(" ",$AW$14-LEN(AV106))</f>
        <v xml:space="preserve">                              </v>
      </c>
      <c r="AX106" s="13" t="str">
        <f t="shared" ref="AX106" si="488">IF($AO106=1,IF(ISBLANK(V106),"-",CONCATENATE(TEXT(V106," 0.000000;-0.000000"),"  ")),"")</f>
        <v xml:space="preserve"> 1.021380  </v>
      </c>
      <c r="AY106" s="13" t="str">
        <f t="shared" ref="AY106" si="489">IF($AO106=1,IF(ISBLANK(W106),"-",CONCATENATE(TEXT(W106," 0.000000;-0.000000"),"  ")),"")</f>
        <v xml:space="preserve"> 0.037021  </v>
      </c>
      <c r="AZ106" s="13" t="str">
        <f t="shared" ref="AZ106" si="490">IF($AO106=1,IF(ISBLANK(X106),"-",CONCATENATE(TEXT(X106," 0.000000;-0.000000"),"  ")),"")</f>
        <v xml:space="preserve"> 0.000233  </v>
      </c>
      <c r="BA106" s="13" t="str">
        <f t="shared" ref="BA106" si="491">IF($AO106=1,IF(ISBLANK(Y106),"-",CONCATENATE(TEXT(Y106," 0.000000;-0.000000"),"  ")),"")</f>
        <v xml:space="preserve">-0.003893  </v>
      </c>
      <c r="BB106" s="13" t="str">
        <f t="shared" ref="BB106" si="492">IF($AO106=1,IF(ISBLANK(Z106),"-",CONCATENATE(TEXT(Z106," 0.000000;-0.000000"),"  ")),"")</f>
        <v xml:space="preserve">-0.000065  </v>
      </c>
      <c r="BC106" s="13" t="str">
        <f t="shared" ref="BC106" si="493">IF($AO106=1,IF(ISBLANK(AA106),"-",CONCATENATE(TEXT(AA106," 0.000000;-0.000000"),"  ")),"")</f>
        <v xml:space="preserve">-0.000269  </v>
      </c>
      <c r="BD106" s="13" t="str">
        <f t="shared" si="424"/>
        <v xml:space="preserve">_x000D_
                                                                                </v>
      </c>
      <c r="BE106" s="13" t="str">
        <f t="shared" si="238"/>
        <v xml:space="preserve">1.300   </v>
      </c>
      <c r="BF106" s="13" t="str">
        <f t="shared" si="239"/>
        <v xml:space="preserve">0.820   </v>
      </c>
      <c r="BG106" s="13" t="str">
        <f t="shared" si="240"/>
        <v xml:space="preserve">12.220   </v>
      </c>
      <c r="BH106" s="13" t="str">
        <f t="shared" si="241"/>
        <v xml:space="preserve">4.440   </v>
      </c>
      <c r="BI106" s="13" t="str">
        <f t="shared" si="242"/>
        <v xml:space="preserve">46.110   </v>
      </c>
      <c r="BJ106" s="13" t="str">
        <f t="shared" si="243"/>
        <v xml:space="preserve">23.890   </v>
      </c>
      <c r="BO106" s="118">
        <f>(BO105-32)/1.8</f>
        <v>6.6666666666666661</v>
      </c>
      <c r="BP106" s="118">
        <f>(BP105-32)/1.8</f>
        <v>35</v>
      </c>
      <c r="BQ106" s="118">
        <f t="shared" ref="BQ106" si="494">(BQ105-32)/1.8</f>
        <v>12.222222222222221</v>
      </c>
      <c r="BR106" s="118">
        <f t="shared" ref="BR106" si="495">(BR105-32)/1.8</f>
        <v>4.4444444444444446</v>
      </c>
      <c r="BS106" s="118">
        <f t="shared" ref="BS106" si="496">(BS105-32)/1.8</f>
        <v>46.111111111111107</v>
      </c>
      <c r="BT106" s="118">
        <f t="shared" ref="BT106" si="497">(BT105-32)/1.8</f>
        <v>23.888888888888889</v>
      </c>
      <c r="BU106" s="104">
        <f t="shared" si="481"/>
        <v>1.0001549999999999</v>
      </c>
      <c r="BV106" s="104">
        <f t="shared" ref="BV106:BV110" si="498">$V106+$W106*BQ106+$X106*BQ106^2+$Y106*BT106+$Z106*BT106^2+$AA106*BQ106*BT106</f>
        <v>1.300195</v>
      </c>
      <c r="BW106" s="104">
        <f t="shared" ref="BW106:BW110" si="499">$V106+$W106*BR106+$X106*BR106^2+$Y106*BS106+$Z106*BS106^2+$AA106*BR106*BS106</f>
        <v>0.8181029999999998</v>
      </c>
      <c r="BX106" s="13" t="s">
        <v>729</v>
      </c>
    </row>
    <row r="107" spans="1:84" hidden="1" outlineLevel="1" x14ac:dyDescent="0.3">
      <c r="E107" s="22" t="s">
        <v>369</v>
      </c>
      <c r="F107" s="22" t="s">
        <v>403</v>
      </c>
      <c r="G107" s="22" t="s">
        <v>71</v>
      </c>
      <c r="H107" s="13" t="s">
        <v>373</v>
      </c>
      <c r="I107" s="13" t="s">
        <v>659</v>
      </c>
      <c r="J107" s="13" t="s">
        <v>273</v>
      </c>
      <c r="K107" s="13" t="s">
        <v>13</v>
      </c>
      <c r="N107" s="13" t="str">
        <f t="shared" si="416"/>
        <v>ChlrAirRecipQRatio_fTchwsToadbIP</v>
      </c>
      <c r="O107" s="13" t="s">
        <v>165</v>
      </c>
      <c r="P107" s="13" t="s">
        <v>160</v>
      </c>
      <c r="Q107" s="13" t="s">
        <v>139</v>
      </c>
      <c r="R107" s="13" t="s">
        <v>460</v>
      </c>
      <c r="V107" s="33">
        <v>0.57617295000000002</v>
      </c>
      <c r="W107" s="33">
        <v>2.063133E-2</v>
      </c>
      <c r="X107" s="33">
        <v>7.7689999999999996E-5</v>
      </c>
      <c r="Y107" s="33">
        <v>-3.5118300000000001E-3</v>
      </c>
      <c r="Z107" s="33">
        <v>3.1200000000000002E-6</v>
      </c>
      <c r="AA107" s="33">
        <v>-7.8650000000000001E-5</v>
      </c>
      <c r="AG107" s="113">
        <f t="shared" si="479"/>
        <v>1.35</v>
      </c>
      <c r="AH107" s="113">
        <f t="shared" si="480"/>
        <v>0.8</v>
      </c>
      <c r="AI107" s="113">
        <f t="shared" si="476"/>
        <v>54</v>
      </c>
      <c r="AJ107" s="113">
        <f t="shared" ref="AJ107:AJ138" si="500">IF(BR107&gt;0,ROUND(BR107,2),"")</f>
        <v>40</v>
      </c>
      <c r="AK107" s="113">
        <f t="shared" si="477"/>
        <v>115</v>
      </c>
      <c r="AL107" s="113">
        <f t="shared" si="478"/>
        <v>75</v>
      </c>
      <c r="AO107" s="13">
        <f t="shared" si="427"/>
        <v>0</v>
      </c>
      <c r="AP107" s="120" t="str">
        <f t="shared" si="8"/>
        <v/>
      </c>
      <c r="AQ107" s="120" t="str">
        <f t="shared" si="353"/>
        <v/>
      </c>
      <c r="AR107" s="120" t="str">
        <f t="shared" si="225"/>
        <v/>
      </c>
      <c r="AS107" s="120" t="str">
        <f t="shared" ref="AS107:AS186" si="501">IF(AO107=1,CHAR(13)&amp;CHAR(10)&amp;"..","")</f>
        <v/>
      </c>
      <c r="AT107" s="13" t="str">
        <f t="shared" si="426"/>
        <v/>
      </c>
      <c r="AU107" s="13" t="str">
        <f t="shared" si="425"/>
        <v xml:space="preserve">               </v>
      </c>
      <c r="AV107" s="13" t="str">
        <f t="shared" si="417"/>
        <v/>
      </c>
      <c r="AW107" s="13" t="str">
        <f t="shared" si="227"/>
        <v xml:space="preserve">                                                                 </v>
      </c>
      <c r="AX107" s="13" t="str">
        <f t="shared" si="146"/>
        <v/>
      </c>
      <c r="AY107" s="13" t="str">
        <f t="shared" si="147"/>
        <v/>
      </c>
      <c r="AZ107" s="13" t="str">
        <f t="shared" si="148"/>
        <v/>
      </c>
      <c r="BA107" s="13" t="str">
        <f t="shared" si="149"/>
        <v/>
      </c>
      <c r="BB107" s="13" t="str">
        <f t="shared" si="150"/>
        <v/>
      </c>
      <c r="BC107" s="13" t="str">
        <f t="shared" si="151"/>
        <v/>
      </c>
      <c r="BD107" s="13" t="str">
        <f t="shared" si="424"/>
        <v xml:space="preserve">_x000D_
                                                                                </v>
      </c>
      <c r="BE107" s="13" t="str">
        <f t="shared" si="238"/>
        <v/>
      </c>
      <c r="BF107" s="13" t="str">
        <f t="shared" si="239"/>
        <v/>
      </c>
      <c r="BG107" s="13" t="str">
        <f t="shared" si="240"/>
        <v/>
      </c>
      <c r="BH107" s="13" t="str">
        <f t="shared" si="241"/>
        <v/>
      </c>
      <c r="BI107" s="13" t="str">
        <f t="shared" si="242"/>
        <v/>
      </c>
      <c r="BJ107" s="13" t="str">
        <f t="shared" si="243"/>
        <v/>
      </c>
      <c r="BO107" s="13">
        <v>44</v>
      </c>
      <c r="BP107" s="13">
        <v>95</v>
      </c>
      <c r="BQ107" s="13">
        <v>54</v>
      </c>
      <c r="BR107" s="13">
        <v>40</v>
      </c>
      <c r="BS107" s="13">
        <v>115</v>
      </c>
      <c r="BT107" s="13">
        <v>75</v>
      </c>
      <c r="BU107" s="104">
        <f t="shared" si="481"/>
        <v>1.00013646</v>
      </c>
      <c r="BV107" s="104">
        <f t="shared" si="498"/>
        <v>1.35243906</v>
      </c>
      <c r="BW107" s="104">
        <f t="shared" si="499"/>
        <v>0.80134169999999982</v>
      </c>
      <c r="BX107" s="13" t="s">
        <v>729</v>
      </c>
    </row>
    <row r="108" spans="1:84" hidden="1" outlineLevel="1" x14ac:dyDescent="0.3">
      <c r="E108" s="22" t="s">
        <v>369</v>
      </c>
      <c r="F108" s="22" t="s">
        <v>403</v>
      </c>
      <c r="G108" s="22" t="s">
        <v>71</v>
      </c>
      <c r="H108" s="13" t="s">
        <v>373</v>
      </c>
      <c r="I108" s="13" t="s">
        <v>660</v>
      </c>
      <c r="J108" s="13" t="s">
        <v>144</v>
      </c>
      <c r="L108" s="22" t="s">
        <v>202</v>
      </c>
      <c r="M108" s="13" t="s">
        <v>248</v>
      </c>
      <c r="N108" s="13" t="str">
        <f t="shared" si="416"/>
        <v>ChlrAirRecipQRatio_fTchwsToadbSI</v>
      </c>
      <c r="O108" s="13" t="s">
        <v>165</v>
      </c>
      <c r="P108" s="13" t="s">
        <v>160</v>
      </c>
      <c r="Q108" s="13" t="s">
        <v>139</v>
      </c>
      <c r="R108" s="13" t="s">
        <v>460</v>
      </c>
      <c r="V108" s="33">
        <v>1.1260300000000001</v>
      </c>
      <c r="W108" s="33">
        <v>4.1570999999999997E-2</v>
      </c>
      <c r="X108" s="33">
        <v>2.5272000000000001E-4</v>
      </c>
      <c r="Y108" s="33">
        <v>-1.05264E-2</v>
      </c>
      <c r="Z108" s="33">
        <v>9.7200000000000001E-6</v>
      </c>
      <c r="AA108" s="33">
        <v>-2.5596000000000001E-4</v>
      </c>
      <c r="AG108" s="113">
        <f t="shared" si="479"/>
        <v>1.35</v>
      </c>
      <c r="AH108" s="113">
        <f t="shared" si="480"/>
        <v>0.8</v>
      </c>
      <c r="AI108" s="113">
        <f t="shared" si="476"/>
        <v>12.22</v>
      </c>
      <c r="AJ108" s="113">
        <f t="shared" si="500"/>
        <v>4.4400000000000004</v>
      </c>
      <c r="AK108" s="113">
        <f t="shared" si="477"/>
        <v>46.11</v>
      </c>
      <c r="AL108" s="113">
        <f t="shared" si="478"/>
        <v>23.89</v>
      </c>
      <c r="AO108" s="13">
        <f t="shared" si="427"/>
        <v>1</v>
      </c>
      <c r="AP108" s="120" t="str">
        <f t="shared" ref="AP108" si="502">IF(AO108=1,CONCATENATE(AQ108,AR108,AS108),"")</f>
        <v>CrvDblQuad     "ChlrAirRecipQRatio_fTchwsToadbSI"                               Coef1 =  1.126030  Coef2 =  0.041571  Coef3 =  0.000253  Coef4 = -0.010526  Coef5 =  0.000010  Coef6 = -0.000256  _x000D_
                                                                                MaxOut = 1.350   MinOut = 0.800   MaxVar1 = 12.220   MinVar1 = 4.440   MaxVar2 = 46.110   MinVar2 = 23.890   _x000D_
..</v>
      </c>
      <c r="AQ108" s="120" t="str">
        <f t="shared" ref="AQ108" si="503">IF(AO108=1,CONCATENATE(AT108,AU108,AV108,AW108,IF(AX108="-","",$AX$15&amp;AX108),IF(AY108="-","",$AY$15&amp;AY108),IF(AZ108="-","",$AZ$15&amp;AZ108),IF(BA108="-","",$BA$15&amp;BA108),IF(BB108="-","",$BB$15&amp;BB108),IF(BC108="-","",$BC$15&amp;BC108)),"")</f>
        <v xml:space="preserve">CrvDblQuad     "ChlrAirRecipQRatio_fTchwsToadbSI"                               Coef1 =  1.126030  Coef2 =  0.041571  Coef3 =  0.000253  Coef4 = -0.010526  Coef5 =  0.000010  Coef6 = -0.000256  </v>
      </c>
      <c r="AR108" s="120" t="str">
        <f t="shared" ref="AR108" si="504">IF(AO108=1,CONCATENATE(BD108,IF(BE108="-","",$BE$15&amp;BE108),IF(BF108="-","",$BF$15&amp;BF108),IF(BG108="-","",$BG$15&amp;BG108),IF(BH108="-","",$BH$15&amp;BH108),IF(BI108="-","",$BI$15&amp;BI108),IF(BJ108="-","",$BJ$15&amp;BJ108)),"")</f>
        <v xml:space="preserve">_x000D_
                                                                                MaxOut = 1.350   MinOut = 0.800   MaxVar1 = 12.220   MinVar1 = 4.440   MaxVar2 = 46.110   MinVar2 = 23.890   </v>
      </c>
      <c r="AS108" s="120" t="str">
        <f t="shared" ref="AS108" si="505">IF(AO108=1,CHAR(13)&amp;CHAR(10)&amp;"..","")</f>
        <v>_x000D_
..</v>
      </c>
      <c r="AT108" s="13" t="str">
        <f t="shared" ref="AT108" si="506">IF(AO108=1,VLOOKUP(O108,$AT$2:$AV$13,2,0),"")</f>
        <v>CrvDblQuad</v>
      </c>
      <c r="AU108" s="13" t="str">
        <f t="shared" si="425"/>
        <v xml:space="preserve">     </v>
      </c>
      <c r="AV108" s="13" t="str">
        <f t="shared" si="417"/>
        <v>"ChlrAirRecipQRatio_fTchwsToadbSI"</v>
      </c>
      <c r="AW108" s="13" t="str">
        <f t="shared" ref="AW108" si="507">REPT(" ",$AW$14-LEN(AV108))</f>
        <v xml:space="preserve">                               </v>
      </c>
      <c r="AX108" s="13" t="str">
        <f t="shared" ref="AX108" si="508">IF($AO108=1,IF(ISBLANK(V108),"-",CONCATENATE(TEXT(V108," 0.000000;-0.000000"),"  ")),"")</f>
        <v xml:space="preserve"> 1.126030  </v>
      </c>
      <c r="AY108" s="13" t="str">
        <f t="shared" ref="AY108" si="509">IF($AO108=1,IF(ISBLANK(W108),"-",CONCATENATE(TEXT(W108," 0.000000;-0.000000"),"  ")),"")</f>
        <v xml:space="preserve"> 0.041571  </v>
      </c>
      <c r="AZ108" s="13" t="str">
        <f t="shared" ref="AZ108" si="510">IF($AO108=1,IF(ISBLANK(X108),"-",CONCATENATE(TEXT(X108," 0.000000;-0.000000"),"  ")),"")</f>
        <v xml:space="preserve"> 0.000253  </v>
      </c>
      <c r="BA108" s="13" t="str">
        <f t="shared" ref="BA108" si="511">IF($AO108=1,IF(ISBLANK(Y108),"-",CONCATENATE(TEXT(Y108," 0.000000;-0.000000"),"  ")),"")</f>
        <v xml:space="preserve">-0.010526  </v>
      </c>
      <c r="BB108" s="13" t="str">
        <f t="shared" ref="BB108" si="512">IF($AO108=1,IF(ISBLANK(Z108),"-",CONCATENATE(TEXT(Z108," 0.000000;-0.000000"),"  ")),"")</f>
        <v xml:space="preserve"> 0.000010  </v>
      </c>
      <c r="BC108" s="13" t="str">
        <f t="shared" ref="BC108" si="513">IF($AO108=1,IF(ISBLANK(AA108),"-",CONCATENATE(TEXT(AA108," 0.000000;-0.000000"),"  ")),"")</f>
        <v xml:space="preserve">-0.000256  </v>
      </c>
      <c r="BD108" s="13" t="str">
        <f t="shared" si="424"/>
        <v xml:space="preserve">_x000D_
                                                                                </v>
      </c>
      <c r="BE108" s="13" t="str">
        <f t="shared" si="238"/>
        <v xml:space="preserve">1.350   </v>
      </c>
      <c r="BF108" s="13" t="str">
        <f t="shared" si="239"/>
        <v xml:space="preserve">0.800   </v>
      </c>
      <c r="BG108" s="13" t="str">
        <f t="shared" si="240"/>
        <v xml:space="preserve">12.220   </v>
      </c>
      <c r="BH108" s="13" t="str">
        <f t="shared" si="241"/>
        <v xml:space="preserve">4.440   </v>
      </c>
      <c r="BI108" s="13" t="str">
        <f t="shared" si="242"/>
        <v xml:space="preserve">46.110   </v>
      </c>
      <c r="BJ108" s="13" t="str">
        <f t="shared" si="243"/>
        <v xml:space="preserve">23.890   </v>
      </c>
      <c r="BM108" s="13" t="str">
        <f t="shared" ref="BM108:BN113" si="514">Q108</f>
        <v>Tchws</v>
      </c>
      <c r="BN108" s="13" t="str">
        <f t="shared" si="514"/>
        <v>Toadb</v>
      </c>
      <c r="BO108" s="118">
        <f>(BO107-32)/1.8</f>
        <v>6.6666666666666661</v>
      </c>
      <c r="BP108" s="118">
        <f>(BP107-32)/1.8</f>
        <v>35</v>
      </c>
      <c r="BQ108" s="118">
        <f t="shared" ref="BQ108" si="515">(BQ107-32)/1.8</f>
        <v>12.222222222222221</v>
      </c>
      <c r="BR108" s="118">
        <f t="shared" ref="BR108" si="516">(BR107-32)/1.8</f>
        <v>4.4444444444444446</v>
      </c>
      <c r="BS108" s="118">
        <f t="shared" ref="BS108" si="517">(BS107-32)/1.8</f>
        <v>46.111111111111107</v>
      </c>
      <c r="BT108" s="118">
        <f t="shared" ref="BT108" si="518">(BT107-32)/1.8</f>
        <v>23.888888888888889</v>
      </c>
      <c r="BU108" s="104">
        <f t="shared" si="481"/>
        <v>0.99816099999999974</v>
      </c>
      <c r="BV108" s="104">
        <f t="shared" si="498"/>
        <v>1.351221</v>
      </c>
      <c r="BW108" s="104">
        <f t="shared" si="499"/>
        <v>0.79860900000000012</v>
      </c>
      <c r="BX108" s="13" t="s">
        <v>729</v>
      </c>
    </row>
    <row r="109" spans="1:84" hidden="1" outlineLevel="1" x14ac:dyDescent="0.3">
      <c r="E109" s="22" t="s">
        <v>369</v>
      </c>
      <c r="F109" s="22" t="s">
        <v>403</v>
      </c>
      <c r="G109" s="22" t="s">
        <v>72</v>
      </c>
      <c r="H109" s="13" t="s">
        <v>374</v>
      </c>
      <c r="I109" s="13" t="s">
        <v>659</v>
      </c>
      <c r="J109" s="13" t="s">
        <v>273</v>
      </c>
      <c r="K109" s="13" t="s">
        <v>13</v>
      </c>
      <c r="N109" s="13" t="str">
        <f t="shared" si="416"/>
        <v>ChlrAirScrewQRatio_fTchwsToadbIP</v>
      </c>
      <c r="O109" s="13" t="s">
        <v>165</v>
      </c>
      <c r="P109" s="13" t="s">
        <v>160</v>
      </c>
      <c r="Q109" s="13" t="s">
        <v>139</v>
      </c>
      <c r="R109" s="13" t="s">
        <v>460</v>
      </c>
      <c r="V109" s="33">
        <v>-9.4648990000000002E-2</v>
      </c>
      <c r="W109" s="33">
        <v>3.8340699999999998E-2</v>
      </c>
      <c r="X109" s="33">
        <v>-9.2050000000000001E-5</v>
      </c>
      <c r="Y109" s="33">
        <v>3.78007E-3</v>
      </c>
      <c r="Z109" s="33">
        <v>-1.375E-5</v>
      </c>
      <c r="AA109" s="33">
        <v>-1.5464E-4</v>
      </c>
      <c r="AG109" s="113">
        <f t="shared" si="479"/>
        <v>1.29</v>
      </c>
      <c r="AH109" s="113">
        <f t="shared" si="480"/>
        <v>0.83</v>
      </c>
      <c r="AI109" s="113">
        <f t="shared" si="476"/>
        <v>54</v>
      </c>
      <c r="AJ109" s="113">
        <f t="shared" si="500"/>
        <v>40</v>
      </c>
      <c r="AK109" s="113">
        <f t="shared" si="477"/>
        <v>115</v>
      </c>
      <c r="AL109" s="113">
        <f t="shared" si="478"/>
        <v>75</v>
      </c>
      <c r="AO109" s="13">
        <f t="shared" si="427"/>
        <v>0</v>
      </c>
      <c r="AP109" s="120" t="str">
        <f t="shared" si="8"/>
        <v/>
      </c>
      <c r="AQ109" s="120" t="str">
        <f t="shared" si="353"/>
        <v/>
      </c>
      <c r="AR109" s="120" t="str">
        <f t="shared" si="225"/>
        <v/>
      </c>
      <c r="AS109" s="120" t="str">
        <f t="shared" si="501"/>
        <v/>
      </c>
      <c r="AT109" s="13" t="str">
        <f t="shared" si="426"/>
        <v/>
      </c>
      <c r="AU109" s="13" t="str">
        <f t="shared" si="425"/>
        <v xml:space="preserve">               </v>
      </c>
      <c r="AV109" s="13" t="str">
        <f t="shared" si="417"/>
        <v/>
      </c>
      <c r="AW109" s="13" t="str">
        <f t="shared" si="227"/>
        <v xml:space="preserve">                                                                 </v>
      </c>
      <c r="AX109" s="13" t="str">
        <f t="shared" si="146"/>
        <v/>
      </c>
      <c r="AY109" s="13" t="str">
        <f t="shared" si="147"/>
        <v/>
      </c>
      <c r="AZ109" s="13" t="str">
        <f t="shared" si="148"/>
        <v/>
      </c>
      <c r="BA109" s="13" t="str">
        <f t="shared" si="149"/>
        <v/>
      </c>
      <c r="BB109" s="13" t="str">
        <f t="shared" si="150"/>
        <v/>
      </c>
      <c r="BC109" s="13" t="str">
        <f t="shared" si="151"/>
        <v/>
      </c>
      <c r="BD109" s="13" t="str">
        <f t="shared" si="424"/>
        <v xml:space="preserve">_x000D_
                                                                                </v>
      </c>
      <c r="BE109" s="13" t="str">
        <f t="shared" si="238"/>
        <v/>
      </c>
      <c r="BF109" s="13" t="str">
        <f t="shared" si="239"/>
        <v/>
      </c>
      <c r="BG109" s="13" t="str">
        <f t="shared" si="240"/>
        <v/>
      </c>
      <c r="BH109" s="13" t="str">
        <f t="shared" si="241"/>
        <v/>
      </c>
      <c r="BI109" s="13" t="str">
        <f t="shared" si="242"/>
        <v/>
      </c>
      <c r="BJ109" s="13" t="str">
        <f t="shared" si="243"/>
        <v/>
      </c>
      <c r="BM109" s="13" t="str">
        <f t="shared" si="514"/>
        <v>Tchws</v>
      </c>
      <c r="BN109" s="13" t="str">
        <f t="shared" si="514"/>
        <v>Toadb</v>
      </c>
      <c r="BO109" s="13">
        <v>44</v>
      </c>
      <c r="BP109" s="13">
        <v>95</v>
      </c>
      <c r="BQ109" s="13">
        <v>54</v>
      </c>
      <c r="BR109" s="13">
        <v>40</v>
      </c>
      <c r="BS109" s="13">
        <v>115</v>
      </c>
      <c r="BT109" s="13">
        <v>75</v>
      </c>
      <c r="BU109" s="104">
        <f t="shared" si="481"/>
        <v>1.0027507099999999</v>
      </c>
      <c r="BV109" s="104">
        <f t="shared" si="498"/>
        <v>1.2872005099999999</v>
      </c>
      <c r="BW109" s="104">
        <f t="shared" si="499"/>
        <v>0.83321930999999982</v>
      </c>
      <c r="BX109" s="13" t="s">
        <v>729</v>
      </c>
    </row>
    <row r="110" spans="1:84" hidden="1" outlineLevel="1" x14ac:dyDescent="0.3">
      <c r="E110" s="22" t="s">
        <v>369</v>
      </c>
      <c r="F110" s="22" t="s">
        <v>403</v>
      </c>
      <c r="G110" s="22" t="s">
        <v>72</v>
      </c>
      <c r="H110" s="13" t="s">
        <v>374</v>
      </c>
      <c r="I110" s="13" t="s">
        <v>660</v>
      </c>
      <c r="J110" s="13" t="s">
        <v>144</v>
      </c>
      <c r="L110" s="22" t="s">
        <v>202</v>
      </c>
      <c r="M110" s="13" t="s">
        <v>248</v>
      </c>
      <c r="N110" s="13" t="str">
        <f t="shared" si="416"/>
        <v>ChlrAirScrewQRatio_fTchwsToadbSI</v>
      </c>
      <c r="O110" s="13" t="s">
        <v>165</v>
      </c>
      <c r="P110" s="13" t="s">
        <v>160</v>
      </c>
      <c r="Q110" s="13" t="s">
        <v>139</v>
      </c>
      <c r="R110" s="13" t="s">
        <v>460</v>
      </c>
      <c r="V110" s="33">
        <v>0.98595900000000003</v>
      </c>
      <c r="W110" s="33">
        <v>4.9487400000000001E-2</v>
      </c>
      <c r="X110" s="33">
        <v>-2.9807999999999999E-4</v>
      </c>
      <c r="Y110" s="33">
        <v>-3.7368000000000002E-3</v>
      </c>
      <c r="Z110" s="33">
        <v>-4.5359999999999999E-5</v>
      </c>
      <c r="AA110" s="33">
        <v>-5.0219999999999996E-4</v>
      </c>
      <c r="AG110" s="113">
        <f t="shared" si="479"/>
        <v>1.28</v>
      </c>
      <c r="AH110" s="113">
        <f t="shared" si="480"/>
        <v>0.83</v>
      </c>
      <c r="AI110" s="113">
        <f t="shared" si="476"/>
        <v>12.22</v>
      </c>
      <c r="AJ110" s="113">
        <f t="shared" si="500"/>
        <v>4.4400000000000004</v>
      </c>
      <c r="AK110" s="113">
        <f t="shared" si="477"/>
        <v>46.11</v>
      </c>
      <c r="AL110" s="113">
        <f t="shared" si="478"/>
        <v>23.89</v>
      </c>
      <c r="AO110" s="13">
        <f t="shared" si="427"/>
        <v>1</v>
      </c>
      <c r="AP110" s="120" t="str">
        <f t="shared" ref="AP110" si="519">IF(AO110=1,CONCATENATE(AQ110,AR110,AS110),"")</f>
        <v>CrvDblQuad     "ChlrAirScrewQRatio_fTchwsToadbSI"                               Coef1 =  0.985959  Coef2 =  0.049487  Coef3 = -0.000298  Coef4 = -0.003737  Coef5 = -0.000045  Coef6 = -0.000502  _x000D_
                                                                                MaxOut = 1.280   MinOut = 0.830   MaxVar1 = 12.220   MinVar1 = 4.440   MaxVar2 = 46.110   MinVar2 = 23.890   _x000D_
..</v>
      </c>
      <c r="AQ110" s="120" t="str">
        <f t="shared" ref="AQ110" si="520">IF(AO110=1,CONCATENATE(AT110,AU110,AV110,AW110,IF(AX110="-","",$AX$15&amp;AX110),IF(AY110="-","",$AY$15&amp;AY110),IF(AZ110="-","",$AZ$15&amp;AZ110),IF(BA110="-","",$BA$15&amp;BA110),IF(BB110="-","",$BB$15&amp;BB110),IF(BC110="-","",$BC$15&amp;BC110)),"")</f>
        <v xml:space="preserve">CrvDblQuad     "ChlrAirScrewQRatio_fTchwsToadbSI"                               Coef1 =  0.985959  Coef2 =  0.049487  Coef3 = -0.000298  Coef4 = -0.003737  Coef5 = -0.000045  Coef6 = -0.000502  </v>
      </c>
      <c r="AR110" s="120" t="str">
        <f t="shared" ref="AR110" si="521">IF(AO110=1,CONCATENATE(BD110,IF(BE110="-","",$BE$15&amp;BE110),IF(BF110="-","",$BF$15&amp;BF110),IF(BG110="-","",$BG$15&amp;BG110),IF(BH110="-","",$BH$15&amp;BH110),IF(BI110="-","",$BI$15&amp;BI110),IF(BJ110="-","",$BJ$15&amp;BJ110)),"")</f>
        <v xml:space="preserve">_x000D_
                                                                                MaxOut = 1.280   MinOut = 0.830   MaxVar1 = 12.220   MinVar1 = 4.440   MaxVar2 = 46.110   MinVar2 = 23.890   </v>
      </c>
      <c r="AS110" s="120" t="str">
        <f t="shared" ref="AS110" si="522">IF(AO110=1,CHAR(13)&amp;CHAR(10)&amp;"..","")</f>
        <v>_x000D_
..</v>
      </c>
      <c r="AT110" s="13" t="str">
        <f t="shared" ref="AT110" si="523">IF(AO110=1,VLOOKUP(O110,$AT$2:$AV$13,2,0),"")</f>
        <v>CrvDblQuad</v>
      </c>
      <c r="AU110" s="13" t="str">
        <f t="shared" si="425"/>
        <v xml:space="preserve">     </v>
      </c>
      <c r="AV110" s="13" t="str">
        <f t="shared" si="417"/>
        <v>"ChlrAirScrewQRatio_fTchwsToadbSI"</v>
      </c>
      <c r="AW110" s="13" t="str">
        <f t="shared" ref="AW110" si="524">REPT(" ",$AW$14-LEN(AV110))</f>
        <v xml:space="preserve">                               </v>
      </c>
      <c r="AX110" s="13" t="str">
        <f t="shared" ref="AX110" si="525">IF($AO110=1,IF(ISBLANK(V110),"-",CONCATENATE(TEXT(V110," 0.000000;-0.000000"),"  ")),"")</f>
        <v xml:space="preserve"> 0.985959  </v>
      </c>
      <c r="AY110" s="13" t="str">
        <f t="shared" ref="AY110" si="526">IF($AO110=1,IF(ISBLANK(W110),"-",CONCATENATE(TEXT(W110," 0.000000;-0.000000"),"  ")),"")</f>
        <v xml:space="preserve"> 0.049487  </v>
      </c>
      <c r="AZ110" s="13" t="str">
        <f t="shared" ref="AZ110" si="527">IF($AO110=1,IF(ISBLANK(X110),"-",CONCATENATE(TEXT(X110," 0.000000;-0.000000"),"  ")),"")</f>
        <v xml:space="preserve">-0.000298  </v>
      </c>
      <c r="BA110" s="13" t="str">
        <f t="shared" ref="BA110" si="528">IF($AO110=1,IF(ISBLANK(Y110),"-",CONCATENATE(TEXT(Y110," 0.000000;-0.000000"),"  ")),"")</f>
        <v xml:space="preserve">-0.003737  </v>
      </c>
      <c r="BB110" s="13" t="str">
        <f t="shared" ref="BB110" si="529">IF($AO110=1,IF(ISBLANK(Z110),"-",CONCATENATE(TEXT(Z110," 0.000000;-0.000000"),"  ")),"")</f>
        <v xml:space="preserve">-0.000045  </v>
      </c>
      <c r="BC110" s="13" t="str">
        <f t="shared" ref="BC110" si="530">IF($AO110=1,IF(ISBLANK(AA110),"-",CONCATENATE(TEXT(AA110," 0.000000;-0.000000"),"  ")),"")</f>
        <v xml:space="preserve">-0.000502  </v>
      </c>
      <c r="BD110" s="13" t="str">
        <f t="shared" si="424"/>
        <v xml:space="preserve">_x000D_
                                                                                </v>
      </c>
      <c r="BE110" s="13" t="str">
        <f t="shared" si="238"/>
        <v xml:space="preserve">1.280   </v>
      </c>
      <c r="BF110" s="13" t="str">
        <f t="shared" si="239"/>
        <v xml:space="preserve">0.830   </v>
      </c>
      <c r="BG110" s="13" t="str">
        <f t="shared" si="240"/>
        <v xml:space="preserve">12.220   </v>
      </c>
      <c r="BH110" s="13" t="str">
        <f t="shared" si="241"/>
        <v xml:space="preserve">4.440   </v>
      </c>
      <c r="BI110" s="13" t="str">
        <f t="shared" si="242"/>
        <v xml:space="preserve">46.110   </v>
      </c>
      <c r="BJ110" s="13" t="str">
        <f t="shared" si="243"/>
        <v xml:space="preserve">23.890   </v>
      </c>
      <c r="BM110" s="13" t="str">
        <f t="shared" si="514"/>
        <v>Tchws</v>
      </c>
      <c r="BN110" s="13" t="str">
        <f t="shared" si="514"/>
        <v>Toadb</v>
      </c>
      <c r="BO110" s="118">
        <f>(BO109-32)/1.8</f>
        <v>6.6666666666666661</v>
      </c>
      <c r="BP110" s="118">
        <f>(BP109-32)/1.8</f>
        <v>35</v>
      </c>
      <c r="BQ110" s="118">
        <f t="shared" ref="BQ110" si="531">(BQ109-32)/1.8</f>
        <v>12.222222222222221</v>
      </c>
      <c r="BR110" s="118">
        <f t="shared" ref="BR110" si="532">(BR109-32)/1.8</f>
        <v>4.4444444444444446</v>
      </c>
      <c r="BS110" s="118">
        <f t="shared" ref="BS110" si="533">(BS109-32)/1.8</f>
        <v>46.111111111111107</v>
      </c>
      <c r="BT110" s="118">
        <f t="shared" ref="BT110" si="534">(BT109-32)/1.8</f>
        <v>23.888888888888889</v>
      </c>
      <c r="BU110" s="104">
        <f t="shared" si="481"/>
        <v>0.99909300000000034</v>
      </c>
      <c r="BV110" s="104">
        <f t="shared" si="498"/>
        <v>1.2844930000000001</v>
      </c>
      <c r="BW110" s="104">
        <f t="shared" si="499"/>
        <v>0.8283410000000001</v>
      </c>
      <c r="BX110" s="13" t="s">
        <v>729</v>
      </c>
    </row>
    <row r="111" spans="1:84" hidden="1" outlineLevel="1" x14ac:dyDescent="0.3">
      <c r="E111" s="22" t="s">
        <v>369</v>
      </c>
      <c r="F111" s="22" t="s">
        <v>403</v>
      </c>
      <c r="G111" s="22" t="s">
        <v>73</v>
      </c>
      <c r="H111" s="13" t="s">
        <v>375</v>
      </c>
      <c r="I111" s="13" t="s">
        <v>659</v>
      </c>
      <c r="J111" s="13" t="s">
        <v>273</v>
      </c>
      <c r="K111" s="13" t="s">
        <v>13</v>
      </c>
      <c r="N111" s="13" t="str">
        <f t="shared" si="416"/>
        <v>ChlrAirCentQRatio_fTchwsToadbIP</v>
      </c>
      <c r="O111" s="13" t="s">
        <v>165</v>
      </c>
      <c r="P111" s="13" t="s">
        <v>160</v>
      </c>
      <c r="Q111" s="13" t="s">
        <v>139</v>
      </c>
      <c r="R111" s="13" t="s">
        <v>460</v>
      </c>
      <c r="V111" s="33" t="s">
        <v>64</v>
      </c>
      <c r="W111" s="33" t="s">
        <v>64</v>
      </c>
      <c r="X111" s="33" t="s">
        <v>64</v>
      </c>
      <c r="Y111" s="33" t="s">
        <v>64</v>
      </c>
      <c r="Z111" s="33" t="s">
        <v>64</v>
      </c>
      <c r="AA111" s="33" t="s">
        <v>64</v>
      </c>
      <c r="AG111" s="113" t="str">
        <f t="shared" si="479"/>
        <v/>
      </c>
      <c r="AH111" s="113" t="str">
        <f t="shared" si="480"/>
        <v/>
      </c>
      <c r="AI111" s="113" t="str">
        <f t="shared" si="476"/>
        <v/>
      </c>
      <c r="AJ111" s="113" t="str">
        <f t="shared" si="500"/>
        <v/>
      </c>
      <c r="AK111" s="113" t="str">
        <f t="shared" si="477"/>
        <v/>
      </c>
      <c r="AL111" s="113" t="str">
        <f t="shared" si="478"/>
        <v/>
      </c>
      <c r="AO111" s="13">
        <f t="shared" si="427"/>
        <v>0</v>
      </c>
      <c r="AP111" s="120" t="str">
        <f t="shared" si="8"/>
        <v/>
      </c>
      <c r="AQ111" s="120" t="str">
        <f t="shared" si="353"/>
        <v/>
      </c>
      <c r="AR111" s="120" t="str">
        <f t="shared" si="225"/>
        <v/>
      </c>
      <c r="AS111" s="120" t="str">
        <f t="shared" si="501"/>
        <v/>
      </c>
      <c r="AT111" s="13" t="str">
        <f t="shared" si="426"/>
        <v/>
      </c>
      <c r="AU111" s="13" t="str">
        <f t="shared" si="425"/>
        <v xml:space="preserve">               </v>
      </c>
      <c r="AV111" s="13" t="str">
        <f t="shared" si="417"/>
        <v/>
      </c>
      <c r="AW111" s="13" t="str">
        <f t="shared" si="227"/>
        <v xml:space="preserve">                                                                 </v>
      </c>
      <c r="AX111" s="13" t="str">
        <f t="shared" si="146"/>
        <v/>
      </c>
      <c r="AY111" s="13" t="str">
        <f t="shared" si="147"/>
        <v/>
      </c>
      <c r="AZ111" s="13" t="str">
        <f t="shared" si="148"/>
        <v/>
      </c>
      <c r="BA111" s="13" t="str">
        <f t="shared" si="149"/>
        <v/>
      </c>
      <c r="BB111" s="13" t="str">
        <f t="shared" si="150"/>
        <v/>
      </c>
      <c r="BC111" s="13" t="str">
        <f t="shared" si="151"/>
        <v/>
      </c>
      <c r="BD111" s="13" t="str">
        <f t="shared" si="424"/>
        <v xml:space="preserve"> </v>
      </c>
      <c r="BE111" s="13" t="str">
        <f t="shared" si="238"/>
        <v/>
      </c>
      <c r="BF111" s="13" t="str">
        <f t="shared" si="239"/>
        <v/>
      </c>
      <c r="BG111" s="13" t="str">
        <f t="shared" si="240"/>
        <v/>
      </c>
      <c r="BH111" s="13" t="str">
        <f t="shared" si="241"/>
        <v/>
      </c>
      <c r="BI111" s="13" t="str">
        <f t="shared" si="242"/>
        <v/>
      </c>
      <c r="BJ111" s="13" t="str">
        <f t="shared" si="243"/>
        <v/>
      </c>
      <c r="BM111" s="13" t="str">
        <f t="shared" si="514"/>
        <v>Tchws</v>
      </c>
      <c r="BN111" s="13" t="str">
        <f t="shared" si="514"/>
        <v>Toadb</v>
      </c>
      <c r="BU111" s="104"/>
      <c r="BV111" s="104"/>
      <c r="BW111" s="104"/>
    </row>
    <row r="112" spans="1:84" hidden="1" outlineLevel="1" x14ac:dyDescent="0.3">
      <c r="E112" s="22" t="s">
        <v>369</v>
      </c>
      <c r="F112" s="22" t="s">
        <v>403</v>
      </c>
      <c r="G112" s="22" t="s">
        <v>73</v>
      </c>
      <c r="H112" s="13" t="s">
        <v>375</v>
      </c>
      <c r="I112" s="13" t="s">
        <v>660</v>
      </c>
      <c r="J112" s="13" t="s">
        <v>144</v>
      </c>
      <c r="L112" s="22" t="s">
        <v>202</v>
      </c>
      <c r="M112" s="13" t="s">
        <v>248</v>
      </c>
      <c r="N112" s="13" t="str">
        <f t="shared" si="416"/>
        <v>ChlrAirCentQRatio_fTchwsToadbSI</v>
      </c>
      <c r="O112" s="13" t="s">
        <v>165</v>
      </c>
      <c r="P112" s="13" t="s">
        <v>160</v>
      </c>
      <c r="Q112" s="13" t="s">
        <v>139</v>
      </c>
      <c r="R112" s="13" t="s">
        <v>460</v>
      </c>
      <c r="V112" s="33" t="s">
        <v>64</v>
      </c>
      <c r="W112" s="33" t="s">
        <v>64</v>
      </c>
      <c r="X112" s="33" t="s">
        <v>64</v>
      </c>
      <c r="Y112" s="33" t="s">
        <v>64</v>
      </c>
      <c r="Z112" s="33" t="s">
        <v>64</v>
      </c>
      <c r="AA112" s="33" t="s">
        <v>64</v>
      </c>
      <c r="AG112" s="113" t="str">
        <f t="shared" si="479"/>
        <v/>
      </c>
      <c r="AH112" s="113" t="str">
        <f t="shared" si="480"/>
        <v/>
      </c>
      <c r="AI112" s="113" t="str">
        <f t="shared" si="476"/>
        <v/>
      </c>
      <c r="AJ112" s="113" t="str">
        <f t="shared" si="500"/>
        <v/>
      </c>
      <c r="AK112" s="113" t="str">
        <f t="shared" si="477"/>
        <v/>
      </c>
      <c r="AL112" s="113" t="str">
        <f t="shared" si="478"/>
        <v/>
      </c>
      <c r="AO112" s="13">
        <v>0</v>
      </c>
      <c r="AP112" s="120" t="str">
        <f t="shared" ref="AP112" si="535">IF(AO112=1,CONCATENATE(AQ112,AR112,AS112),"")</f>
        <v/>
      </c>
      <c r="AQ112" s="120" t="str">
        <f t="shared" ref="AQ112" si="536">IF(AO112=1,CONCATENATE(AT112,AU112,AV112,AW112,IF(AX112="-","",$AX$15&amp;AX112),IF(AY112="-","",$AY$15&amp;AY112),IF(AZ112="-","",$AZ$15&amp;AZ112),IF(BA112="-","",$BA$15&amp;BA112),IF(BB112="-","",$BB$15&amp;BB112),IF(BC112="-","",$BC$15&amp;BC112)),"")</f>
        <v/>
      </c>
      <c r="AR112" s="120" t="str">
        <f t="shared" ref="AR112" si="537">IF(AO112=1,CONCATENATE(BD112,IF(BE112="-","",$BE$15&amp;BE112),IF(BF112="-","",$BF$15&amp;BF112),IF(BG112="-","",$BG$15&amp;BG112),IF(BH112="-","",$BH$15&amp;BH112),IF(BI112="-","",$BI$15&amp;BI112),IF(BJ112="-","",$BJ$15&amp;BJ112)),"")</f>
        <v/>
      </c>
      <c r="AS112" s="120" t="str">
        <f t="shared" ref="AS112" si="538">IF(AO112=1,CHAR(13)&amp;CHAR(10)&amp;"..","")</f>
        <v/>
      </c>
      <c r="AT112" s="13" t="str">
        <f t="shared" ref="AT112" si="539">IF(AO112=1,VLOOKUP(O112,$AT$2:$AV$13,2,0),"")</f>
        <v/>
      </c>
      <c r="AU112" s="13" t="str">
        <f t="shared" si="425"/>
        <v xml:space="preserve">               </v>
      </c>
      <c r="AV112" s="13" t="str">
        <f t="shared" si="417"/>
        <v/>
      </c>
      <c r="AW112" s="13" t="str">
        <f t="shared" ref="AW112" si="540">REPT(" ",$AW$14-LEN(AV112))</f>
        <v xml:space="preserve">                                                                 </v>
      </c>
      <c r="AX112" s="13" t="str">
        <f t="shared" ref="AX112" si="541">IF($AO112=1,IF(ISBLANK(V112),"-",CONCATENATE(TEXT(V112," 0.000000;-0.000000"),"  ")),"")</f>
        <v/>
      </c>
      <c r="AY112" s="13" t="str">
        <f t="shared" ref="AY112" si="542">IF($AO112=1,IF(ISBLANK(W112),"-",CONCATENATE(TEXT(W112," 0.000000;-0.000000"),"  ")),"")</f>
        <v/>
      </c>
      <c r="AZ112" s="13" t="str">
        <f t="shared" ref="AZ112" si="543">IF($AO112=1,IF(ISBLANK(X112),"-",CONCATENATE(TEXT(X112," 0.000000;-0.000000"),"  ")),"")</f>
        <v/>
      </c>
      <c r="BA112" s="13" t="str">
        <f t="shared" ref="BA112" si="544">IF($AO112=1,IF(ISBLANK(Y112),"-",CONCATENATE(TEXT(Y112," 0.000000;-0.000000"),"  ")),"")</f>
        <v/>
      </c>
      <c r="BB112" s="13" t="str">
        <f t="shared" ref="BB112" si="545">IF($AO112=1,IF(ISBLANK(Z112),"-",CONCATENATE(TEXT(Z112," 0.000000;-0.000000"),"  ")),"")</f>
        <v/>
      </c>
      <c r="BC112" s="13" t="str">
        <f t="shared" ref="BC112" si="546">IF($AO112=1,IF(ISBLANK(AA112),"-",CONCATENATE(TEXT(AA112," 0.000000;-0.000000"),"  ")),"")</f>
        <v/>
      </c>
      <c r="BD112" s="13" t="str">
        <f t="shared" si="424"/>
        <v xml:space="preserve"> </v>
      </c>
      <c r="BE112" s="13" t="str">
        <f t="shared" si="238"/>
        <v/>
      </c>
      <c r="BF112" s="13" t="str">
        <f t="shared" si="239"/>
        <v/>
      </c>
      <c r="BG112" s="13" t="str">
        <f t="shared" si="240"/>
        <v/>
      </c>
      <c r="BH112" s="13" t="str">
        <f t="shared" si="241"/>
        <v/>
      </c>
      <c r="BI112" s="13" t="str">
        <f t="shared" si="242"/>
        <v/>
      </c>
      <c r="BJ112" s="13" t="str">
        <f t="shared" si="243"/>
        <v/>
      </c>
      <c r="BM112" s="13" t="str">
        <f t="shared" si="514"/>
        <v>Tchws</v>
      </c>
      <c r="BN112" s="13" t="str">
        <f t="shared" si="514"/>
        <v>Toadb</v>
      </c>
      <c r="BU112" s="104"/>
      <c r="BV112" s="104"/>
      <c r="BW112" s="104"/>
    </row>
    <row r="113" spans="1:76" hidden="1" outlineLevel="1" x14ac:dyDescent="0.3">
      <c r="C113" s="13" t="s">
        <v>392</v>
      </c>
      <c r="D113" s="22" t="s">
        <v>371</v>
      </c>
      <c r="E113" s="22" t="s">
        <v>369</v>
      </c>
      <c r="F113" s="22" t="s">
        <v>411</v>
      </c>
      <c r="G113" s="22" t="s">
        <v>70</v>
      </c>
      <c r="H113" s="13" t="s">
        <v>372</v>
      </c>
      <c r="I113" s="13" t="s">
        <v>659</v>
      </c>
      <c r="J113" s="13" t="s">
        <v>273</v>
      </c>
      <c r="K113" s="13" t="s">
        <v>14</v>
      </c>
      <c r="L113" s="22"/>
      <c r="N113" s="13" t="str">
        <f t="shared" si="416"/>
        <v>ChlrAirScrollEIRRatio_fTchwsToadbIP</v>
      </c>
      <c r="O113" s="13" t="s">
        <v>165</v>
      </c>
      <c r="P113" s="13" t="s">
        <v>288</v>
      </c>
      <c r="Q113" s="13" t="s">
        <v>139</v>
      </c>
      <c r="R113" s="13" t="s">
        <v>460</v>
      </c>
      <c r="V113" s="33">
        <v>0.99006552999999997</v>
      </c>
      <c r="W113" s="33">
        <v>-5.8414399999999998E-3</v>
      </c>
      <c r="X113" s="33">
        <v>1.6453999999999999E-4</v>
      </c>
      <c r="Y113" s="33">
        <v>-6.6113600000000002E-3</v>
      </c>
      <c r="Z113" s="33">
        <v>1.6808E-4</v>
      </c>
      <c r="AA113" s="33">
        <v>-2.2500999999999999E-4</v>
      </c>
      <c r="AG113" s="113">
        <f t="shared" si="479"/>
        <v>1.45</v>
      </c>
      <c r="AH113" s="113">
        <f t="shared" si="480"/>
        <v>0.69</v>
      </c>
      <c r="AI113" s="113">
        <f t="shared" si="476"/>
        <v>54</v>
      </c>
      <c r="AJ113" s="113">
        <f t="shared" si="500"/>
        <v>40</v>
      </c>
      <c r="AK113" s="113">
        <f t="shared" si="477"/>
        <v>115</v>
      </c>
      <c r="AL113" s="113">
        <f t="shared" si="478"/>
        <v>75</v>
      </c>
      <c r="AO113" s="13">
        <f t="shared" ref="AO113:AO119" si="547">IF(ISTEXT(A113),"",IF(I113="IP",0,1))</f>
        <v>0</v>
      </c>
      <c r="AP113" s="120" t="str">
        <f t="shared" ref="AP113:AP190" si="548">IF(AO113=1,CONCATENATE(AQ113,AR113,AS113),"")</f>
        <v/>
      </c>
      <c r="AQ113" s="120" t="str">
        <f t="shared" si="353"/>
        <v/>
      </c>
      <c r="AR113" s="120" t="str">
        <f t="shared" ref="AR113:AR191" si="549">IF(AO113=1,CONCATENATE(BD113,IF(BE113="-","",$BE$15&amp;BE113),IF(BF113="-","",$BF$15&amp;BF113),IF(BG113="-","",$BG$15&amp;BG113),IF(BH113="-","",$BH$15&amp;BH113),IF(BI113="-","",$BI$15&amp;BI113),IF(BJ113="-","",$BJ$15&amp;BJ113)),"")</f>
        <v/>
      </c>
      <c r="AS113" s="120" t="str">
        <f t="shared" si="501"/>
        <v/>
      </c>
      <c r="AT113" s="13" t="str">
        <f t="shared" si="426"/>
        <v/>
      </c>
      <c r="AU113" s="13" t="str">
        <f t="shared" si="425"/>
        <v xml:space="preserve">               </v>
      </c>
      <c r="AV113" s="13" t="str">
        <f t="shared" si="417"/>
        <v/>
      </c>
      <c r="AW113" s="13" t="str">
        <f t="shared" si="227"/>
        <v xml:space="preserve">                                                                 </v>
      </c>
      <c r="AX113" s="13" t="str">
        <f t="shared" si="146"/>
        <v/>
      </c>
      <c r="AY113" s="13" t="str">
        <f t="shared" si="147"/>
        <v/>
      </c>
      <c r="AZ113" s="13" t="str">
        <f t="shared" si="148"/>
        <v/>
      </c>
      <c r="BA113" s="13" t="str">
        <f t="shared" si="149"/>
        <v/>
      </c>
      <c r="BB113" s="13" t="str">
        <f t="shared" si="150"/>
        <v/>
      </c>
      <c r="BC113" s="13" t="str">
        <f t="shared" si="151"/>
        <v/>
      </c>
      <c r="BD113" s="13" t="str">
        <f t="shared" si="424"/>
        <v xml:space="preserve">_x000D_
                                                                                </v>
      </c>
      <c r="BE113" s="13" t="str">
        <f t="shared" si="238"/>
        <v/>
      </c>
      <c r="BF113" s="13" t="str">
        <f t="shared" si="239"/>
        <v/>
      </c>
      <c r="BG113" s="13" t="str">
        <f t="shared" si="240"/>
        <v/>
      </c>
      <c r="BH113" s="13" t="str">
        <f t="shared" si="241"/>
        <v/>
      </c>
      <c r="BI113" s="13" t="str">
        <f t="shared" si="242"/>
        <v/>
      </c>
      <c r="BJ113" s="13" t="str">
        <f t="shared" si="243"/>
        <v/>
      </c>
      <c r="BM113" s="13" t="str">
        <f t="shared" si="514"/>
        <v>Tchws</v>
      </c>
      <c r="BN113" s="13" t="str">
        <f t="shared" si="514"/>
        <v>Toadb</v>
      </c>
      <c r="BO113" s="13">
        <v>44</v>
      </c>
      <c r="BP113" s="13">
        <v>95</v>
      </c>
      <c r="BQ113" s="13">
        <v>54</v>
      </c>
      <c r="BR113" s="13">
        <v>40</v>
      </c>
      <c r="BS113" s="13">
        <v>115</v>
      </c>
      <c r="BT113" s="13">
        <v>75</v>
      </c>
      <c r="BU113" s="104">
        <f t="shared" ref="BU113:BU118" si="550">$V113+$W113*BO113+$X113*BO113^2+$Y113*BP113+$Z113*BP113^2+$AA113*BO113*BP113</f>
        <v>0.99989260999999996</v>
      </c>
      <c r="BV113" s="104">
        <f>$V113+$W113*BR113+$X113*BR113^2+$Y113*BS113+$Z113*BS113^2+$AA113*BR113*BS113</f>
        <v>1.4471775299999998</v>
      </c>
      <c r="BW113" s="104">
        <f>$V113+$W113*BQ113+$X113*BQ113^2+$Y113*BT113+$Z113*BT113^2+$AA113*BQ113*BT113</f>
        <v>0.69273391000000006</v>
      </c>
      <c r="BX113" s="13" t="s">
        <v>729</v>
      </c>
    </row>
    <row r="114" spans="1:76" hidden="1" outlineLevel="1" x14ac:dyDescent="0.3">
      <c r="E114" s="22" t="s">
        <v>369</v>
      </c>
      <c r="F114" s="22" t="s">
        <v>411</v>
      </c>
      <c r="G114" s="22" t="s">
        <v>70</v>
      </c>
      <c r="H114" s="13" t="s">
        <v>372</v>
      </c>
      <c r="I114" s="13" t="s">
        <v>660</v>
      </c>
      <c r="J114" s="13" t="s">
        <v>144</v>
      </c>
      <c r="L114" s="22" t="s">
        <v>202</v>
      </c>
      <c r="M114" s="13" t="s">
        <v>249</v>
      </c>
      <c r="N114" s="13" t="str">
        <f t="shared" si="416"/>
        <v>ChlrAirScrollEIRRatio_fTchwsToadbSI</v>
      </c>
      <c r="O114" s="13" t="s">
        <v>165</v>
      </c>
      <c r="P114" s="13" t="s">
        <v>288</v>
      </c>
      <c r="Q114" s="13" t="s">
        <v>139</v>
      </c>
      <c r="R114" s="13" t="s">
        <v>460</v>
      </c>
      <c r="V114" s="33">
        <v>0.70219399999999998</v>
      </c>
      <c r="W114" s="33">
        <v>-4.4657999999999998E-3</v>
      </c>
      <c r="X114" s="33">
        <v>5.3459999999999998E-4</v>
      </c>
      <c r="Y114" s="33">
        <v>-5.5062000000000002E-3</v>
      </c>
      <c r="Z114" s="33">
        <v>5.4432000000000005E-4</v>
      </c>
      <c r="AA114" s="33">
        <v>-7.2900000000000005E-4</v>
      </c>
      <c r="AG114" s="113">
        <f t="shared" si="479"/>
        <v>1.45</v>
      </c>
      <c r="AH114" s="113">
        <f t="shared" si="480"/>
        <v>0.69</v>
      </c>
      <c r="AI114" s="113">
        <f t="shared" si="476"/>
        <v>12.22</v>
      </c>
      <c r="AJ114" s="113">
        <f t="shared" si="500"/>
        <v>4.4400000000000004</v>
      </c>
      <c r="AK114" s="113">
        <f t="shared" si="477"/>
        <v>46.11</v>
      </c>
      <c r="AL114" s="113">
        <f t="shared" si="478"/>
        <v>23.89</v>
      </c>
      <c r="AO114" s="13">
        <f t="shared" si="547"/>
        <v>1</v>
      </c>
      <c r="AP114" s="120" t="str">
        <f t="shared" ref="AP114" si="551">IF(AO114=1,CONCATENATE(AQ114,AR114,AS114),"")</f>
        <v>CrvDblQuad     "ChlrAirScrollEIRRatio_fTchwsToadbSI"                            Coef1 =  0.702194  Coef2 = -0.004466  Coef3 =  0.000535  Coef4 = -0.005506  Coef5 =  0.000544  Coef6 = -0.000729  _x000D_
                                                                                MaxOut = 1.450   MinOut = 0.690   MaxVar1 = 12.220   MinVar1 = 4.440   MaxVar2 = 46.110   MinVar2 = 23.890   _x000D_
..</v>
      </c>
      <c r="AQ114" s="120" t="str">
        <f t="shared" ref="AQ114" si="552">IF(AO114=1,CONCATENATE(AT114,AU114,AV114,AW114,IF(AX114="-","",$AX$15&amp;AX114),IF(AY114="-","",$AY$15&amp;AY114),IF(AZ114="-","",$AZ$15&amp;AZ114),IF(BA114="-","",$BA$15&amp;BA114),IF(BB114="-","",$BB$15&amp;BB114),IF(BC114="-","",$BC$15&amp;BC114)),"")</f>
        <v xml:space="preserve">CrvDblQuad     "ChlrAirScrollEIRRatio_fTchwsToadbSI"                            Coef1 =  0.702194  Coef2 = -0.004466  Coef3 =  0.000535  Coef4 = -0.005506  Coef5 =  0.000544  Coef6 = -0.000729  </v>
      </c>
      <c r="AR114" s="120" t="str">
        <f t="shared" ref="AR114" si="553">IF(AO114=1,CONCATENATE(BD114,IF(BE114="-","",$BE$15&amp;BE114),IF(BF114="-","",$BF$15&amp;BF114),IF(BG114="-","",$BG$15&amp;BG114),IF(BH114="-","",$BH$15&amp;BH114),IF(BI114="-","",$BI$15&amp;BI114),IF(BJ114="-","",$BJ$15&amp;BJ114)),"")</f>
        <v xml:space="preserve">_x000D_
                                                                                MaxOut = 1.450   MinOut = 0.690   MaxVar1 = 12.220   MinVar1 = 4.440   MaxVar2 = 46.110   MinVar2 = 23.890   </v>
      </c>
      <c r="AS114" s="120" t="str">
        <f t="shared" ref="AS114" si="554">IF(AO114=1,CHAR(13)&amp;CHAR(10)&amp;"..","")</f>
        <v>_x000D_
..</v>
      </c>
      <c r="AT114" s="13" t="str">
        <f t="shared" ref="AT114" si="555">IF(AO114=1,VLOOKUP(O114,$AT$2:$AV$13,2,0),"")</f>
        <v>CrvDblQuad</v>
      </c>
      <c r="AU114" s="13" t="str">
        <f t="shared" si="425"/>
        <v xml:space="preserve">     </v>
      </c>
      <c r="AV114" s="13" t="str">
        <f t="shared" si="417"/>
        <v>"ChlrAirScrollEIRRatio_fTchwsToadbSI"</v>
      </c>
      <c r="AW114" s="13" t="str">
        <f t="shared" ref="AW114" si="556">REPT(" ",$AW$14-LEN(AV114))</f>
        <v xml:space="preserve">                            </v>
      </c>
      <c r="AX114" s="13" t="str">
        <f t="shared" ref="AX114" si="557">IF($AO114=1,IF(ISBLANK(V114),"-",CONCATENATE(TEXT(V114," 0.000000;-0.000000"),"  ")),"")</f>
        <v xml:space="preserve"> 0.702194  </v>
      </c>
      <c r="AY114" s="13" t="str">
        <f t="shared" ref="AY114" si="558">IF($AO114=1,IF(ISBLANK(W114),"-",CONCATENATE(TEXT(W114," 0.000000;-0.000000"),"  ")),"")</f>
        <v xml:space="preserve">-0.004466  </v>
      </c>
      <c r="AZ114" s="13" t="str">
        <f t="shared" ref="AZ114" si="559">IF($AO114=1,IF(ISBLANK(X114),"-",CONCATENATE(TEXT(X114," 0.000000;-0.000000"),"  ")),"")</f>
        <v xml:space="preserve"> 0.000535  </v>
      </c>
      <c r="BA114" s="13" t="str">
        <f t="shared" ref="BA114" si="560">IF($AO114=1,IF(ISBLANK(Y114),"-",CONCATENATE(TEXT(Y114," 0.000000;-0.000000"),"  ")),"")</f>
        <v xml:space="preserve">-0.005506  </v>
      </c>
      <c r="BB114" s="13" t="str">
        <f t="shared" ref="BB114" si="561">IF($AO114=1,IF(ISBLANK(Z114),"-",CONCATENATE(TEXT(Z114," 0.000000;-0.000000"),"  ")),"")</f>
        <v xml:space="preserve"> 0.000544  </v>
      </c>
      <c r="BC114" s="13" t="str">
        <f t="shared" ref="BC114" si="562">IF($AO114=1,IF(ISBLANK(AA114),"-",CONCATENATE(TEXT(AA114," 0.000000;-0.000000"),"  ")),"")</f>
        <v xml:space="preserve">-0.000729  </v>
      </c>
      <c r="BD114" s="13" t="str">
        <f t="shared" si="424"/>
        <v xml:space="preserve">_x000D_
                                                                                </v>
      </c>
      <c r="BE114" s="13" t="str">
        <f t="shared" si="238"/>
        <v xml:space="preserve">1.450   </v>
      </c>
      <c r="BF114" s="13" t="str">
        <f t="shared" si="239"/>
        <v xml:space="preserve">0.690   </v>
      </c>
      <c r="BG114" s="13" t="str">
        <f t="shared" si="240"/>
        <v xml:space="preserve">12.220   </v>
      </c>
      <c r="BH114" s="13" t="str">
        <f t="shared" si="241"/>
        <v xml:space="preserve">4.440   </v>
      </c>
      <c r="BI114" s="13" t="str">
        <f t="shared" si="242"/>
        <v xml:space="preserve">46.110   </v>
      </c>
      <c r="BJ114" s="13" t="str">
        <f t="shared" si="243"/>
        <v xml:space="preserve">23.890   </v>
      </c>
      <c r="BM114" s="13" t="str">
        <f t="shared" ref="BM114:BM124" si="563">Q114</f>
        <v>Tchws</v>
      </c>
      <c r="BN114" s="13" t="str">
        <f t="shared" ref="BN114:BN120" si="564">R114</f>
        <v>Toadb</v>
      </c>
      <c r="BO114" s="118">
        <f>(BO113-32)/1.8</f>
        <v>6.6666666666666661</v>
      </c>
      <c r="BP114" s="118">
        <f>(BP113-32)/1.8</f>
        <v>35</v>
      </c>
      <c r="BQ114" s="118">
        <f t="shared" ref="BQ114" si="565">(BQ113-32)/1.8</f>
        <v>12.222222222222221</v>
      </c>
      <c r="BR114" s="118">
        <f t="shared" ref="BR114" si="566">(BR113-32)/1.8</f>
        <v>4.4444444444444446</v>
      </c>
      <c r="BS114" s="118">
        <f t="shared" ref="BS114" si="567">(BS113-32)/1.8</f>
        <v>46.111111111111107</v>
      </c>
      <c r="BT114" s="118">
        <f t="shared" ref="BT114" si="568">(BT113-32)/1.8</f>
        <v>23.888888888888889</v>
      </c>
      <c r="BU114" s="104">
        <f t="shared" si="550"/>
        <v>1.000157</v>
      </c>
      <c r="BV114" s="104">
        <f t="shared" ref="BV114:BV118" si="569">$V114+$W114*BR114+$X114*BR114^2+$Y114*BS114+$Z114*BS114^2+$AA114*BR114*BS114</f>
        <v>1.4469609999999999</v>
      </c>
      <c r="BW114" s="104">
        <f t="shared" ref="BW114:BW118" si="570">$V114+$W114*BQ114+$X114*BQ114^2+$Y114*BT114+$Z114*BT114^2+$AA114*BQ114*BT114</f>
        <v>0.69371699999999992</v>
      </c>
      <c r="BX114" s="13" t="s">
        <v>729</v>
      </c>
    </row>
    <row r="115" spans="1:76" hidden="1" outlineLevel="1" x14ac:dyDescent="0.3">
      <c r="E115" s="22" t="s">
        <v>369</v>
      </c>
      <c r="F115" s="22" t="s">
        <v>411</v>
      </c>
      <c r="G115" s="22" t="s">
        <v>71</v>
      </c>
      <c r="H115" s="13" t="s">
        <v>373</v>
      </c>
      <c r="I115" s="13" t="s">
        <v>659</v>
      </c>
      <c r="J115" s="13" t="s">
        <v>273</v>
      </c>
      <c r="K115" s="13" t="s">
        <v>14</v>
      </c>
      <c r="N115" s="13" t="str">
        <f t="shared" si="416"/>
        <v>ChlrAirRecipEIRRatio_fTchwsToadbIP</v>
      </c>
      <c r="O115" s="13" t="s">
        <v>165</v>
      </c>
      <c r="P115" s="13" t="s">
        <v>288</v>
      </c>
      <c r="Q115" s="13" t="s">
        <v>139</v>
      </c>
      <c r="R115" s="13" t="s">
        <v>460</v>
      </c>
      <c r="V115" s="33">
        <v>0.66534402999999998</v>
      </c>
      <c r="W115" s="33">
        <v>-1.383821E-2</v>
      </c>
      <c r="X115" s="33">
        <v>1.4736E-4</v>
      </c>
      <c r="Y115" s="33">
        <v>7.1280800000000002E-3</v>
      </c>
      <c r="Z115" s="33">
        <v>4.5710000000000001E-5</v>
      </c>
      <c r="AA115" s="33">
        <v>-1.0326E-4</v>
      </c>
      <c r="AG115" s="113">
        <f t="shared" si="479"/>
        <v>1.3</v>
      </c>
      <c r="AH115" s="113">
        <f t="shared" si="480"/>
        <v>0.72</v>
      </c>
      <c r="AI115" s="113">
        <f t="shared" si="476"/>
        <v>54</v>
      </c>
      <c r="AJ115" s="113">
        <f t="shared" si="500"/>
        <v>40</v>
      </c>
      <c r="AK115" s="113">
        <f t="shared" si="477"/>
        <v>115</v>
      </c>
      <c r="AL115" s="113">
        <f t="shared" si="478"/>
        <v>75</v>
      </c>
      <c r="AO115" s="13">
        <f t="shared" si="547"/>
        <v>0</v>
      </c>
      <c r="AP115" s="120" t="str">
        <f t="shared" si="548"/>
        <v/>
      </c>
      <c r="AQ115" s="120" t="str">
        <f t="shared" ref="AQ115:AQ124" si="571">IF(AO115=1,CONCATENATE(AT115,AU115,AV115,AW115,IF(AX115="-","",$AX$15&amp;AX115),IF(AY115="-","",$AY$15&amp;AY115),IF(AZ115="-","",$AZ$15&amp;AZ115),IF(BA115="-","",$BA$15&amp;BA115),IF(BB115="-","",$BB$15&amp;BB115),IF(BC115="-","",$BC$15&amp;BC115)),"")</f>
        <v/>
      </c>
      <c r="AR115" s="120" t="str">
        <f t="shared" si="549"/>
        <v/>
      </c>
      <c r="AS115" s="120" t="str">
        <f t="shared" si="501"/>
        <v/>
      </c>
      <c r="AT115" s="13" t="str">
        <f t="shared" si="426"/>
        <v/>
      </c>
      <c r="AU115" s="13" t="str">
        <f t="shared" si="425"/>
        <v xml:space="preserve">               </v>
      </c>
      <c r="AV115" s="13" t="str">
        <f t="shared" si="417"/>
        <v/>
      </c>
      <c r="AW115" s="13" t="str">
        <f t="shared" si="227"/>
        <v xml:space="preserve">                                                                 </v>
      </c>
      <c r="AX115" s="13" t="str">
        <f t="shared" si="146"/>
        <v/>
      </c>
      <c r="AY115" s="13" t="str">
        <f t="shared" si="147"/>
        <v/>
      </c>
      <c r="AZ115" s="13" t="str">
        <f t="shared" si="148"/>
        <v/>
      </c>
      <c r="BA115" s="13" t="str">
        <f t="shared" si="149"/>
        <v/>
      </c>
      <c r="BB115" s="13" t="str">
        <f t="shared" si="150"/>
        <v/>
      </c>
      <c r="BC115" s="13" t="str">
        <f t="shared" si="151"/>
        <v/>
      </c>
      <c r="BD115" s="13" t="str">
        <f t="shared" si="424"/>
        <v xml:space="preserve">_x000D_
                                                                                </v>
      </c>
      <c r="BE115" s="13" t="str">
        <f t="shared" si="238"/>
        <v/>
      </c>
      <c r="BF115" s="13" t="str">
        <f t="shared" si="239"/>
        <v/>
      </c>
      <c r="BG115" s="13" t="str">
        <f t="shared" si="240"/>
        <v/>
      </c>
      <c r="BH115" s="13" t="str">
        <f t="shared" si="241"/>
        <v/>
      </c>
      <c r="BI115" s="13" t="str">
        <f t="shared" si="242"/>
        <v/>
      </c>
      <c r="BJ115" s="13" t="str">
        <f t="shared" si="243"/>
        <v/>
      </c>
      <c r="BM115" s="13" t="str">
        <f t="shared" si="563"/>
        <v>Tchws</v>
      </c>
      <c r="BN115" s="13" t="str">
        <f t="shared" si="564"/>
        <v>Toadb</v>
      </c>
      <c r="BO115" s="13">
        <v>44</v>
      </c>
      <c r="BP115" s="13">
        <v>95</v>
      </c>
      <c r="BQ115" s="13">
        <v>54</v>
      </c>
      <c r="BR115" s="13">
        <v>40</v>
      </c>
      <c r="BS115" s="13">
        <v>115</v>
      </c>
      <c r="BT115" s="13">
        <v>75</v>
      </c>
      <c r="BU115" s="104">
        <f t="shared" si="550"/>
        <v>0.99982529999999992</v>
      </c>
      <c r="BV115" s="104">
        <f t="shared" si="569"/>
        <v>1.2968395799999999</v>
      </c>
      <c r="BW115" s="104">
        <f t="shared" si="570"/>
        <v>0.72130419999999995</v>
      </c>
      <c r="BX115" s="13" t="s">
        <v>729</v>
      </c>
    </row>
    <row r="116" spans="1:76" hidden="1" outlineLevel="1" x14ac:dyDescent="0.3">
      <c r="E116" s="22" t="s">
        <v>369</v>
      </c>
      <c r="F116" s="22" t="s">
        <v>411</v>
      </c>
      <c r="G116" s="22" t="s">
        <v>71</v>
      </c>
      <c r="H116" s="13" t="s">
        <v>373</v>
      </c>
      <c r="I116" s="13" t="s">
        <v>660</v>
      </c>
      <c r="J116" s="13" t="s">
        <v>144</v>
      </c>
      <c r="L116" s="22" t="s">
        <v>202</v>
      </c>
      <c r="M116" s="13" t="s">
        <v>249</v>
      </c>
      <c r="N116" s="13" t="str">
        <f t="shared" si="416"/>
        <v>ChlrAirRecipEIRRatio_fTchwsToadbSI</v>
      </c>
      <c r="O116" s="13" t="s">
        <v>165</v>
      </c>
      <c r="P116" s="13" t="s">
        <v>288</v>
      </c>
      <c r="Q116" s="13" t="s">
        <v>139</v>
      </c>
      <c r="R116" s="13" t="s">
        <v>460</v>
      </c>
      <c r="V116" s="33">
        <v>0.54278400000000004</v>
      </c>
      <c r="W116" s="33">
        <v>-1.39068E-2</v>
      </c>
      <c r="X116" s="33">
        <v>4.7627999999999999E-4</v>
      </c>
      <c r="Y116" s="33">
        <v>1.2196800000000001E-2</v>
      </c>
      <c r="Z116" s="33">
        <v>1.4904E-4</v>
      </c>
      <c r="AA116" s="33">
        <v>-3.3372000000000002E-4</v>
      </c>
      <c r="AG116" s="113">
        <f t="shared" si="479"/>
        <v>1.3</v>
      </c>
      <c r="AH116" s="113">
        <f t="shared" si="480"/>
        <v>0.72</v>
      </c>
      <c r="AI116" s="113">
        <f t="shared" si="476"/>
        <v>12.22</v>
      </c>
      <c r="AJ116" s="113">
        <f t="shared" si="500"/>
        <v>4.4400000000000004</v>
      </c>
      <c r="AK116" s="113">
        <f t="shared" si="477"/>
        <v>46.11</v>
      </c>
      <c r="AL116" s="113">
        <f t="shared" si="478"/>
        <v>23.89</v>
      </c>
      <c r="AO116" s="13">
        <f t="shared" si="547"/>
        <v>1</v>
      </c>
      <c r="AP116" s="120" t="str">
        <f t="shared" ref="AP116" si="572">IF(AO116=1,CONCATENATE(AQ116,AR116,AS116),"")</f>
        <v>CrvDblQuad     "ChlrAirRecipEIRRatio_fTchwsToadbSI"                             Coef1 =  0.542784  Coef2 = -0.013907  Coef3 =  0.000476  Coef4 =  0.012197  Coef5 =  0.000149  Coef6 = -0.000334  _x000D_
                                                                                MaxOut = 1.300   MinOut = 0.720   MaxVar1 = 12.220   MinVar1 = 4.440   MaxVar2 = 46.110   MinVar2 = 23.890   _x000D_
..</v>
      </c>
      <c r="AQ116" s="120" t="str">
        <f t="shared" ref="AQ116" si="573">IF(AO116=1,CONCATENATE(AT116,AU116,AV116,AW116,IF(AX116="-","",$AX$15&amp;AX116),IF(AY116="-","",$AY$15&amp;AY116),IF(AZ116="-","",$AZ$15&amp;AZ116),IF(BA116="-","",$BA$15&amp;BA116),IF(BB116="-","",$BB$15&amp;BB116),IF(BC116="-","",$BC$15&amp;BC116)),"")</f>
        <v xml:space="preserve">CrvDblQuad     "ChlrAirRecipEIRRatio_fTchwsToadbSI"                             Coef1 =  0.542784  Coef2 = -0.013907  Coef3 =  0.000476  Coef4 =  0.012197  Coef5 =  0.000149  Coef6 = -0.000334  </v>
      </c>
      <c r="AR116" s="120" t="str">
        <f t="shared" ref="AR116" si="574">IF(AO116=1,CONCATENATE(BD116,IF(BE116="-","",$BE$15&amp;BE116),IF(BF116="-","",$BF$15&amp;BF116),IF(BG116="-","",$BG$15&amp;BG116),IF(BH116="-","",$BH$15&amp;BH116),IF(BI116="-","",$BI$15&amp;BI116),IF(BJ116="-","",$BJ$15&amp;BJ116)),"")</f>
        <v xml:space="preserve">_x000D_
                                                                                MaxOut = 1.300   MinOut = 0.720   MaxVar1 = 12.220   MinVar1 = 4.440   MaxVar2 = 46.110   MinVar2 = 23.890   </v>
      </c>
      <c r="AS116" s="120" t="str">
        <f t="shared" ref="AS116" si="575">IF(AO116=1,CHAR(13)&amp;CHAR(10)&amp;"..","")</f>
        <v>_x000D_
..</v>
      </c>
      <c r="AT116" s="13" t="str">
        <f t="shared" ref="AT116" si="576">IF(AO116=1,VLOOKUP(O116,$AT$2:$AV$13,2,0),"")</f>
        <v>CrvDblQuad</v>
      </c>
      <c r="AU116" s="13" t="str">
        <f t="shared" si="425"/>
        <v xml:space="preserve">     </v>
      </c>
      <c r="AV116" s="13" t="str">
        <f t="shared" si="417"/>
        <v>"ChlrAirRecipEIRRatio_fTchwsToadbSI"</v>
      </c>
      <c r="AW116" s="13" t="str">
        <f t="shared" ref="AW116" si="577">REPT(" ",$AW$14-LEN(AV116))</f>
        <v xml:space="preserve">                             </v>
      </c>
      <c r="AX116" s="13" t="str">
        <f t="shared" ref="AX116" si="578">IF($AO116=1,IF(ISBLANK(V116),"-",CONCATENATE(TEXT(V116," 0.000000;-0.000000"),"  ")),"")</f>
        <v xml:space="preserve"> 0.542784  </v>
      </c>
      <c r="AY116" s="13" t="str">
        <f t="shared" ref="AY116" si="579">IF($AO116=1,IF(ISBLANK(W116),"-",CONCATENATE(TEXT(W116," 0.000000;-0.000000"),"  ")),"")</f>
        <v xml:space="preserve">-0.013907  </v>
      </c>
      <c r="AZ116" s="13" t="str">
        <f t="shared" ref="AZ116" si="580">IF($AO116=1,IF(ISBLANK(X116),"-",CONCATENATE(TEXT(X116," 0.000000;-0.000000"),"  ")),"")</f>
        <v xml:space="preserve"> 0.000476  </v>
      </c>
      <c r="BA116" s="13" t="str">
        <f t="shared" ref="BA116" si="581">IF($AO116=1,IF(ISBLANK(Y116),"-",CONCATENATE(TEXT(Y116," 0.000000;-0.000000"),"  ")),"")</f>
        <v xml:space="preserve"> 0.012197  </v>
      </c>
      <c r="BB116" s="13" t="str">
        <f t="shared" ref="BB116" si="582">IF($AO116=1,IF(ISBLANK(Z116),"-",CONCATENATE(TEXT(Z116," 0.000000;-0.000000"),"  ")),"")</f>
        <v xml:space="preserve"> 0.000149  </v>
      </c>
      <c r="BC116" s="13" t="str">
        <f t="shared" ref="BC116" si="583">IF($AO116=1,IF(ISBLANK(AA116),"-",CONCATENATE(TEXT(AA116," 0.000000;-0.000000"),"  ")),"")</f>
        <v xml:space="preserve">-0.000334  </v>
      </c>
      <c r="BD116" s="13" t="str">
        <f t="shared" si="424"/>
        <v xml:space="preserve">_x000D_
                                                                                </v>
      </c>
      <c r="BE116" s="13" t="str">
        <f t="shared" si="238"/>
        <v xml:space="preserve">1.300   </v>
      </c>
      <c r="BF116" s="13" t="str">
        <f t="shared" si="239"/>
        <v xml:space="preserve">0.720   </v>
      </c>
      <c r="BG116" s="13" t="str">
        <f t="shared" si="240"/>
        <v xml:space="preserve">12.220   </v>
      </c>
      <c r="BH116" s="13" t="str">
        <f t="shared" si="241"/>
        <v xml:space="preserve">4.440   </v>
      </c>
      <c r="BI116" s="13" t="str">
        <f t="shared" si="242"/>
        <v xml:space="preserve">46.110   </v>
      </c>
      <c r="BJ116" s="13" t="str">
        <f t="shared" si="243"/>
        <v xml:space="preserve">23.890   </v>
      </c>
      <c r="BM116" s="13" t="str">
        <f t="shared" si="563"/>
        <v>Tchws</v>
      </c>
      <c r="BN116" s="13" t="str">
        <f t="shared" si="564"/>
        <v>Toadb</v>
      </c>
      <c r="BO116" s="118">
        <f>(BO115-32)/1.8</f>
        <v>6.6666666666666661</v>
      </c>
      <c r="BP116" s="118">
        <f>(BP115-32)/1.8</f>
        <v>35</v>
      </c>
      <c r="BQ116" s="118">
        <f t="shared" ref="BQ116" si="584">(BQ115-32)/1.8</f>
        <v>12.222222222222221</v>
      </c>
      <c r="BR116" s="118">
        <f t="shared" ref="BR116" si="585">(BR115-32)/1.8</f>
        <v>4.4444444444444446</v>
      </c>
      <c r="BS116" s="118">
        <f t="shared" ref="BS116" si="586">(BS115-32)/1.8</f>
        <v>46.111111111111107</v>
      </c>
      <c r="BT116" s="118">
        <f t="shared" ref="BT116" si="587">(BT115-32)/1.8</f>
        <v>23.888888888888889</v>
      </c>
      <c r="BU116" s="104">
        <f t="shared" si="550"/>
        <v>1.002834</v>
      </c>
      <c r="BV116" s="104">
        <f t="shared" si="569"/>
        <v>1.3012940000000002</v>
      </c>
      <c r="BW116" s="104">
        <f t="shared" si="570"/>
        <v>0.72294399999999992</v>
      </c>
      <c r="BX116" s="13" t="s">
        <v>729</v>
      </c>
    </row>
    <row r="117" spans="1:76" hidden="1" outlineLevel="1" x14ac:dyDescent="0.3">
      <c r="E117" s="22" t="s">
        <v>369</v>
      </c>
      <c r="F117" s="22" t="s">
        <v>411</v>
      </c>
      <c r="G117" s="22" t="s">
        <v>72</v>
      </c>
      <c r="H117" s="13" t="s">
        <v>374</v>
      </c>
      <c r="I117" s="13" t="s">
        <v>659</v>
      </c>
      <c r="J117" s="13" t="s">
        <v>273</v>
      </c>
      <c r="K117" s="13" t="s">
        <v>14</v>
      </c>
      <c r="N117" s="13" t="str">
        <f t="shared" si="416"/>
        <v>ChlrAirScrewEIRRatio_fTchwsToadbIP</v>
      </c>
      <c r="O117" s="13" t="s">
        <v>165</v>
      </c>
      <c r="P117" s="13" t="s">
        <v>288</v>
      </c>
      <c r="Q117" s="13" t="s">
        <v>139</v>
      </c>
      <c r="R117" s="13" t="s">
        <v>460</v>
      </c>
      <c r="V117" s="33">
        <v>0.13545636</v>
      </c>
      <c r="W117" s="33">
        <v>2.2929459999999999E-2</v>
      </c>
      <c r="X117" s="33">
        <v>-1.6107E-4</v>
      </c>
      <c r="Y117" s="33">
        <v>-2.35396E-3</v>
      </c>
      <c r="Z117" s="33">
        <v>1.2991000000000001E-4</v>
      </c>
      <c r="AA117" s="33">
        <v>-1.8684999999999999E-4</v>
      </c>
      <c r="AG117" s="113">
        <f t="shared" si="479"/>
        <v>1.38</v>
      </c>
      <c r="AH117" s="113">
        <f t="shared" si="480"/>
        <v>0.7</v>
      </c>
      <c r="AI117" s="113">
        <f t="shared" si="476"/>
        <v>54</v>
      </c>
      <c r="AJ117" s="113">
        <f t="shared" si="500"/>
        <v>40</v>
      </c>
      <c r="AK117" s="113">
        <f t="shared" si="477"/>
        <v>115</v>
      </c>
      <c r="AL117" s="113">
        <f t="shared" si="478"/>
        <v>75</v>
      </c>
      <c r="AO117" s="13">
        <f t="shared" si="547"/>
        <v>0</v>
      </c>
      <c r="AP117" s="120" t="str">
        <f t="shared" si="548"/>
        <v/>
      </c>
      <c r="AQ117" s="120" t="str">
        <f t="shared" si="571"/>
        <v/>
      </c>
      <c r="AR117" s="120" t="str">
        <f t="shared" si="549"/>
        <v/>
      </c>
      <c r="AS117" s="120" t="str">
        <f t="shared" si="501"/>
        <v/>
      </c>
      <c r="AT117" s="13" t="str">
        <f t="shared" si="426"/>
        <v/>
      </c>
      <c r="AU117" s="13" t="str">
        <f t="shared" si="425"/>
        <v xml:space="preserve">               </v>
      </c>
      <c r="AV117" s="13" t="str">
        <f t="shared" si="417"/>
        <v/>
      </c>
      <c r="AW117" s="13" t="str">
        <f t="shared" si="227"/>
        <v xml:space="preserve">                                                                 </v>
      </c>
      <c r="AX117" s="13" t="str">
        <f t="shared" si="146"/>
        <v/>
      </c>
      <c r="AY117" s="13" t="str">
        <f t="shared" si="147"/>
        <v/>
      </c>
      <c r="AZ117" s="13" t="str">
        <f t="shared" si="148"/>
        <v/>
      </c>
      <c r="BA117" s="13" t="str">
        <f t="shared" si="149"/>
        <v/>
      </c>
      <c r="BB117" s="13" t="str">
        <f t="shared" si="150"/>
        <v/>
      </c>
      <c r="BC117" s="13" t="str">
        <f t="shared" si="151"/>
        <v/>
      </c>
      <c r="BD117" s="13" t="str">
        <f t="shared" si="424"/>
        <v xml:space="preserve">_x000D_
                                                                                </v>
      </c>
      <c r="BE117" s="13" t="str">
        <f t="shared" si="238"/>
        <v/>
      </c>
      <c r="BF117" s="13" t="str">
        <f t="shared" si="239"/>
        <v/>
      </c>
      <c r="BG117" s="13" t="str">
        <f t="shared" si="240"/>
        <v/>
      </c>
      <c r="BH117" s="13" t="str">
        <f t="shared" si="241"/>
        <v/>
      </c>
      <c r="BI117" s="13" t="str">
        <f t="shared" si="242"/>
        <v/>
      </c>
      <c r="BJ117" s="13" t="str">
        <f t="shared" si="243"/>
        <v/>
      </c>
      <c r="BM117" s="13" t="str">
        <f t="shared" si="563"/>
        <v>Tchws</v>
      </c>
      <c r="BN117" s="13" t="str">
        <f t="shared" si="564"/>
        <v>Toadb</v>
      </c>
      <c r="BO117" s="13">
        <v>44</v>
      </c>
      <c r="BP117" s="13">
        <v>95</v>
      </c>
      <c r="BQ117" s="13">
        <v>54</v>
      </c>
      <c r="BR117" s="13">
        <v>40</v>
      </c>
      <c r="BS117" s="13">
        <v>115</v>
      </c>
      <c r="BT117" s="13">
        <v>75</v>
      </c>
      <c r="BU117" s="104">
        <f t="shared" si="550"/>
        <v>1.0002996300000002</v>
      </c>
      <c r="BV117" s="104">
        <f t="shared" si="569"/>
        <v>1.3827671099999999</v>
      </c>
      <c r="BW117" s="104">
        <f t="shared" si="570"/>
        <v>0.70142133000000007</v>
      </c>
      <c r="BX117" s="13" t="s">
        <v>729</v>
      </c>
    </row>
    <row r="118" spans="1:76" hidden="1" outlineLevel="1" x14ac:dyDescent="0.3">
      <c r="E118" s="22" t="s">
        <v>369</v>
      </c>
      <c r="F118" s="22" t="s">
        <v>411</v>
      </c>
      <c r="G118" s="22" t="s">
        <v>72</v>
      </c>
      <c r="H118" s="13" t="s">
        <v>374</v>
      </c>
      <c r="I118" s="13" t="s">
        <v>660</v>
      </c>
      <c r="J118" s="13" t="s">
        <v>144</v>
      </c>
      <c r="L118" s="22" t="s">
        <v>202</v>
      </c>
      <c r="M118" s="13" t="s">
        <v>249</v>
      </c>
      <c r="N118" s="13" t="str">
        <f t="shared" si="416"/>
        <v>ChlrAirScrewEIRRatio_fTchwsToadbSI</v>
      </c>
      <c r="O118" s="13" t="s">
        <v>165</v>
      </c>
      <c r="P118" s="13" t="s">
        <v>288</v>
      </c>
      <c r="Q118" s="13" t="s">
        <v>139</v>
      </c>
      <c r="R118" s="13" t="s">
        <v>460</v>
      </c>
      <c r="V118" s="33">
        <v>0.57062400000000002</v>
      </c>
      <c r="W118" s="33">
        <v>1.1953800000000001E-2</v>
      </c>
      <c r="X118" s="33">
        <v>-5.2163999999999997E-4</v>
      </c>
      <c r="Y118" s="33">
        <v>-3.2400000000000001E-5</v>
      </c>
      <c r="Z118" s="33">
        <v>4.2119999999999999E-4</v>
      </c>
      <c r="AA118" s="33">
        <v>-6.0588000000000005E-4</v>
      </c>
      <c r="AG118" s="113">
        <f t="shared" si="479"/>
        <v>1.38</v>
      </c>
      <c r="AH118" s="113">
        <f t="shared" si="480"/>
        <v>0.7</v>
      </c>
      <c r="AI118" s="113">
        <f t="shared" si="476"/>
        <v>12.22</v>
      </c>
      <c r="AJ118" s="113">
        <f t="shared" si="500"/>
        <v>4.4400000000000004</v>
      </c>
      <c r="AK118" s="113">
        <f t="shared" si="477"/>
        <v>46.11</v>
      </c>
      <c r="AL118" s="113">
        <f t="shared" si="478"/>
        <v>23.89</v>
      </c>
      <c r="AO118" s="13">
        <f t="shared" si="547"/>
        <v>1</v>
      </c>
      <c r="AP118" s="120" t="str">
        <f t="shared" ref="AP118" si="588">IF(AO118=1,CONCATENATE(AQ118,AR118,AS118),"")</f>
        <v>CrvDblQuad     "ChlrAirScrewEIRRatio_fTchwsToadbSI"                             Coef1 =  0.570624  Coef2 =  0.011954  Coef3 = -0.000522  Coef4 = -0.000032  Coef5 =  0.000421  Coef6 = -0.000606  _x000D_
                                                                                MaxOut = 1.380   MinOut = 0.700   MaxVar1 = 12.220   MinVar1 = 4.440   MaxVar2 = 46.110   MinVar2 = 23.890   _x000D_
..</v>
      </c>
      <c r="AQ118" s="120" t="str">
        <f t="shared" ref="AQ118" si="589">IF(AO118=1,CONCATENATE(AT118,AU118,AV118,AW118,IF(AX118="-","",$AX$15&amp;AX118),IF(AY118="-","",$AY$15&amp;AY118),IF(AZ118="-","",$AZ$15&amp;AZ118),IF(BA118="-","",$BA$15&amp;BA118),IF(BB118="-","",$BB$15&amp;BB118),IF(BC118="-","",$BC$15&amp;BC118)),"")</f>
        <v xml:space="preserve">CrvDblQuad     "ChlrAirScrewEIRRatio_fTchwsToadbSI"                             Coef1 =  0.570624  Coef2 =  0.011954  Coef3 = -0.000522  Coef4 = -0.000032  Coef5 =  0.000421  Coef6 = -0.000606  </v>
      </c>
      <c r="AR118" s="120" t="str">
        <f t="shared" ref="AR118" si="590">IF(AO118=1,CONCATENATE(BD118,IF(BE118="-","",$BE$15&amp;BE118),IF(BF118="-","",$BF$15&amp;BF118),IF(BG118="-","",$BG$15&amp;BG118),IF(BH118="-","",$BH$15&amp;BH118),IF(BI118="-","",$BI$15&amp;BI118),IF(BJ118="-","",$BJ$15&amp;BJ118)),"")</f>
        <v xml:space="preserve">_x000D_
                                                                                MaxOut = 1.380   MinOut = 0.700   MaxVar1 = 12.220   MinVar1 = 4.440   MaxVar2 = 46.110   MinVar2 = 23.890   </v>
      </c>
      <c r="AS118" s="120" t="str">
        <f t="shared" ref="AS118" si="591">IF(AO118=1,CHAR(13)&amp;CHAR(10)&amp;"..","")</f>
        <v>_x000D_
..</v>
      </c>
      <c r="AT118" s="13" t="str">
        <f t="shared" ref="AT118" si="592">IF(AO118=1,VLOOKUP(O118,$AT$2:$AV$13,2,0),"")</f>
        <v>CrvDblQuad</v>
      </c>
      <c r="AU118" s="13" t="str">
        <f t="shared" si="425"/>
        <v xml:space="preserve">     </v>
      </c>
      <c r="AV118" s="13" t="str">
        <f t="shared" si="417"/>
        <v>"ChlrAirScrewEIRRatio_fTchwsToadbSI"</v>
      </c>
      <c r="AW118" s="13" t="str">
        <f t="shared" ref="AW118" si="593">REPT(" ",$AW$14-LEN(AV118))</f>
        <v xml:space="preserve">                             </v>
      </c>
      <c r="AX118" s="13" t="str">
        <f t="shared" ref="AX118" si="594">IF($AO118=1,IF(ISBLANK(V118),"-",CONCATENATE(TEXT(V118," 0.000000;-0.000000"),"  ")),"")</f>
        <v xml:space="preserve"> 0.570624  </v>
      </c>
      <c r="AY118" s="13" t="str">
        <f t="shared" ref="AY118" si="595">IF($AO118=1,IF(ISBLANK(W118),"-",CONCATENATE(TEXT(W118," 0.000000;-0.000000"),"  ")),"")</f>
        <v xml:space="preserve"> 0.011954  </v>
      </c>
      <c r="AZ118" s="13" t="str">
        <f t="shared" ref="AZ118" si="596">IF($AO118=1,IF(ISBLANK(X118),"-",CONCATENATE(TEXT(X118," 0.000000;-0.000000"),"  ")),"")</f>
        <v xml:space="preserve">-0.000522  </v>
      </c>
      <c r="BA118" s="13" t="str">
        <f t="shared" ref="BA118" si="597">IF($AO118=1,IF(ISBLANK(Y118),"-",CONCATENATE(TEXT(Y118," 0.000000;-0.000000"),"  ")),"")</f>
        <v xml:space="preserve">-0.000032  </v>
      </c>
      <c r="BB118" s="13" t="str">
        <f t="shared" ref="BB118" si="598">IF($AO118=1,IF(ISBLANK(Z118),"-",CONCATENATE(TEXT(Z118," 0.000000;-0.000000"),"  ")),"")</f>
        <v xml:space="preserve"> 0.000421  </v>
      </c>
      <c r="BC118" s="13" t="str">
        <f t="shared" ref="BC118" si="599">IF($AO118=1,IF(ISBLANK(AA118),"-",CONCATENATE(TEXT(AA118," 0.000000;-0.000000"),"  ")),"")</f>
        <v xml:space="preserve">-0.000606  </v>
      </c>
      <c r="BD118" s="13" t="str">
        <f t="shared" si="424"/>
        <v xml:space="preserve">_x000D_
                                                                                </v>
      </c>
      <c r="BE118" s="13" t="str">
        <f t="shared" si="238"/>
        <v xml:space="preserve">1.380   </v>
      </c>
      <c r="BF118" s="13" t="str">
        <f t="shared" si="239"/>
        <v xml:space="preserve">0.700   </v>
      </c>
      <c r="BG118" s="13" t="str">
        <f t="shared" si="240"/>
        <v xml:space="preserve">12.220   </v>
      </c>
      <c r="BH118" s="13" t="str">
        <f t="shared" si="241"/>
        <v xml:space="preserve">4.440   </v>
      </c>
      <c r="BI118" s="13" t="str">
        <f t="shared" si="242"/>
        <v xml:space="preserve">46.110   </v>
      </c>
      <c r="BJ118" s="13" t="str">
        <f t="shared" si="243"/>
        <v xml:space="preserve">23.890   </v>
      </c>
      <c r="BM118" s="13" t="str">
        <f t="shared" si="563"/>
        <v>Tchws</v>
      </c>
      <c r="BN118" s="13" t="str">
        <f t="shared" si="564"/>
        <v>Toadb</v>
      </c>
      <c r="BO118" s="118">
        <f>(BO117-32)/1.8</f>
        <v>6.6666666666666661</v>
      </c>
      <c r="BP118" s="118">
        <f>(BP117-32)/1.8</f>
        <v>35</v>
      </c>
      <c r="BQ118" s="118">
        <f t="shared" ref="BQ118" si="600">(BQ117-32)/1.8</f>
        <v>12.222222222222221</v>
      </c>
      <c r="BR118" s="118">
        <f t="shared" ref="BR118" si="601">(BR117-32)/1.8</f>
        <v>4.4444444444444446</v>
      </c>
      <c r="BS118" s="118">
        <f t="shared" ref="BS118" si="602">(BS117-32)/1.8</f>
        <v>46.111111111111107</v>
      </c>
      <c r="BT118" s="118">
        <f t="shared" ref="BT118" si="603">(BT117-32)/1.8</f>
        <v>23.888888888888889</v>
      </c>
      <c r="BU118" s="104">
        <f t="shared" si="550"/>
        <v>1.000596</v>
      </c>
      <c r="BV118" s="104">
        <f t="shared" si="569"/>
        <v>1.3833559999999998</v>
      </c>
      <c r="BW118" s="104">
        <f t="shared" si="570"/>
        <v>0.7014959999999999</v>
      </c>
      <c r="BX118" s="13" t="s">
        <v>729</v>
      </c>
    </row>
    <row r="119" spans="1:76" hidden="1" outlineLevel="1" x14ac:dyDescent="0.3">
      <c r="E119" s="22" t="s">
        <v>369</v>
      </c>
      <c r="F119" s="22" t="s">
        <v>411</v>
      </c>
      <c r="G119" s="22" t="s">
        <v>73</v>
      </c>
      <c r="H119" s="13" t="s">
        <v>375</v>
      </c>
      <c r="I119" s="13" t="s">
        <v>659</v>
      </c>
      <c r="J119" s="13" t="s">
        <v>273</v>
      </c>
      <c r="K119" s="13" t="s">
        <v>14</v>
      </c>
      <c r="N119" s="13" t="str">
        <f t="shared" si="416"/>
        <v>ChlrAirCentEIRRatio_fTchwsToadbIP</v>
      </c>
      <c r="O119" s="13" t="s">
        <v>165</v>
      </c>
      <c r="P119" s="13" t="s">
        <v>288</v>
      </c>
      <c r="Q119" s="13" t="s">
        <v>139</v>
      </c>
      <c r="R119" s="13" t="s">
        <v>460</v>
      </c>
      <c r="V119" s="33" t="s">
        <v>64</v>
      </c>
      <c r="W119" s="33" t="s">
        <v>64</v>
      </c>
      <c r="X119" s="33" t="s">
        <v>64</v>
      </c>
      <c r="Y119" s="33" t="s">
        <v>64</v>
      </c>
      <c r="Z119" s="33" t="s">
        <v>64</v>
      </c>
      <c r="AA119" s="33" t="s">
        <v>64</v>
      </c>
      <c r="AG119" s="113"/>
      <c r="AH119" s="113"/>
      <c r="AI119" s="113" t="str">
        <f t="shared" si="476"/>
        <v/>
      </c>
      <c r="AJ119" s="113" t="str">
        <f t="shared" si="500"/>
        <v/>
      </c>
      <c r="AK119" s="113" t="str">
        <f t="shared" si="477"/>
        <v/>
      </c>
      <c r="AL119" s="113" t="str">
        <f t="shared" si="478"/>
        <v/>
      </c>
      <c r="AO119" s="13">
        <f t="shared" si="547"/>
        <v>0</v>
      </c>
      <c r="AP119" s="120" t="str">
        <f t="shared" si="548"/>
        <v/>
      </c>
      <c r="AQ119" s="120" t="str">
        <f t="shared" si="571"/>
        <v/>
      </c>
      <c r="AR119" s="120" t="str">
        <f t="shared" si="549"/>
        <v/>
      </c>
      <c r="AS119" s="120" t="str">
        <f t="shared" si="501"/>
        <v/>
      </c>
      <c r="AT119" s="13" t="str">
        <f t="shared" si="426"/>
        <v/>
      </c>
      <c r="AU119" s="13" t="str">
        <f t="shared" si="425"/>
        <v xml:space="preserve">               </v>
      </c>
      <c r="AV119" s="13" t="str">
        <f t="shared" si="417"/>
        <v/>
      </c>
      <c r="AW119" s="13" t="str">
        <f t="shared" si="227"/>
        <v xml:space="preserve">                                                                 </v>
      </c>
      <c r="AX119" s="13" t="str">
        <f t="shared" ref="AX119:AX195" si="604">IF($AO119=1,IF(ISBLANK(V119),"-",CONCATENATE(TEXT(V119," 0.000000;-0.000000"),"  ")),"")</f>
        <v/>
      </c>
      <c r="AY119" s="13" t="str">
        <f t="shared" ref="AY119:AY195" si="605">IF($AO119=1,IF(ISBLANK(W119),"-",CONCATENATE(TEXT(W119," 0.000000;-0.000000"),"  ")),"")</f>
        <v/>
      </c>
      <c r="AZ119" s="13" t="str">
        <f t="shared" ref="AZ119:AZ195" si="606">IF($AO119=1,IF(ISBLANK(X119),"-",CONCATENATE(TEXT(X119," 0.000000;-0.000000"),"  ")),"")</f>
        <v/>
      </c>
      <c r="BA119" s="13" t="str">
        <f t="shared" ref="BA119:BA195" si="607">IF($AO119=1,IF(ISBLANK(Y119),"-",CONCATENATE(TEXT(Y119," 0.000000;-0.000000"),"  ")),"")</f>
        <v/>
      </c>
      <c r="BB119" s="13" t="str">
        <f t="shared" ref="BB119:BB195" si="608">IF($AO119=1,IF(ISBLANK(Z119),"-",CONCATENATE(TEXT(Z119," 0.000000;-0.000000"),"  ")),"")</f>
        <v/>
      </c>
      <c r="BC119" s="13" t="str">
        <f t="shared" ref="BC119:BC195" si="609">IF($AO119=1,IF(ISBLANK(AA119),"-",CONCATENATE(TEXT(AA119," 0.000000;-0.000000"),"  ")),"")</f>
        <v/>
      </c>
      <c r="BD119" s="13" t="str">
        <f t="shared" si="424"/>
        <v xml:space="preserve"> </v>
      </c>
      <c r="BE119" s="13" t="str">
        <f t="shared" si="238"/>
        <v/>
      </c>
      <c r="BF119" s="13" t="str">
        <f t="shared" si="239"/>
        <v/>
      </c>
      <c r="BG119" s="13" t="str">
        <f t="shared" si="240"/>
        <v/>
      </c>
      <c r="BH119" s="13" t="str">
        <f t="shared" si="241"/>
        <v/>
      </c>
      <c r="BI119" s="13" t="str">
        <f t="shared" si="242"/>
        <v/>
      </c>
      <c r="BJ119" s="13" t="str">
        <f t="shared" si="243"/>
        <v/>
      </c>
      <c r="BM119" s="13" t="str">
        <f t="shared" si="563"/>
        <v>Tchws</v>
      </c>
      <c r="BN119" s="13" t="str">
        <f t="shared" si="564"/>
        <v>Toadb</v>
      </c>
      <c r="BU119" s="104"/>
      <c r="BV119" s="104"/>
      <c r="BW119" s="104"/>
    </row>
    <row r="120" spans="1:76" hidden="1" outlineLevel="1" x14ac:dyDescent="0.3">
      <c r="E120" s="22" t="s">
        <v>369</v>
      </c>
      <c r="F120" s="22" t="s">
        <v>411</v>
      </c>
      <c r="G120" s="22" t="s">
        <v>73</v>
      </c>
      <c r="H120" s="13" t="s">
        <v>375</v>
      </c>
      <c r="I120" s="13" t="s">
        <v>660</v>
      </c>
      <c r="J120" s="13" t="s">
        <v>144</v>
      </c>
      <c r="L120" s="22" t="s">
        <v>202</v>
      </c>
      <c r="M120" s="13" t="s">
        <v>249</v>
      </c>
      <c r="N120" s="13" t="str">
        <f t="shared" si="416"/>
        <v>ChlrAirCentEIRRatio_fTchwsToadbSI</v>
      </c>
      <c r="O120" s="13" t="s">
        <v>165</v>
      </c>
      <c r="P120" s="13" t="s">
        <v>288</v>
      </c>
      <c r="Q120" s="13" t="s">
        <v>139</v>
      </c>
      <c r="R120" s="13" t="s">
        <v>460</v>
      </c>
      <c r="V120" s="33" t="s">
        <v>64</v>
      </c>
      <c r="W120" s="33" t="s">
        <v>64</v>
      </c>
      <c r="X120" s="33" t="s">
        <v>64</v>
      </c>
      <c r="Y120" s="33" t="s">
        <v>64</v>
      </c>
      <c r="Z120" s="33" t="s">
        <v>64</v>
      </c>
      <c r="AA120" s="33" t="s">
        <v>64</v>
      </c>
      <c r="AG120" s="113"/>
      <c r="AH120" s="113"/>
      <c r="AI120" s="113" t="str">
        <f t="shared" si="476"/>
        <v/>
      </c>
      <c r="AJ120" s="113" t="str">
        <f t="shared" si="500"/>
        <v/>
      </c>
      <c r="AK120" s="113" t="str">
        <f t="shared" si="477"/>
        <v/>
      </c>
      <c r="AL120" s="113" t="str">
        <f t="shared" si="478"/>
        <v/>
      </c>
      <c r="AO120" s="13">
        <v>0</v>
      </c>
      <c r="AP120" s="120" t="str">
        <f t="shared" ref="AP120" si="610">IF(AO120=1,CONCATENATE(AQ120,AR120,AS120),"")</f>
        <v/>
      </c>
      <c r="AQ120" s="120" t="str">
        <f t="shared" ref="AQ120" si="611">IF(AO120=1,CONCATENATE(AT120,AU120,AV120,AW120,IF(AX120="-","",$AX$15&amp;AX120),IF(AY120="-","",$AY$15&amp;AY120),IF(AZ120="-","",$AZ$15&amp;AZ120),IF(BA120="-","",$BA$15&amp;BA120),IF(BB120="-","",$BB$15&amp;BB120),IF(BC120="-","",$BC$15&amp;BC120)),"")</f>
        <v/>
      </c>
      <c r="AR120" s="120" t="str">
        <f t="shared" ref="AR120" si="612">IF(AO120=1,CONCATENATE(BD120,IF(BE120="-","",$BE$15&amp;BE120),IF(BF120="-","",$BF$15&amp;BF120),IF(BG120="-","",$BG$15&amp;BG120),IF(BH120="-","",$BH$15&amp;BH120),IF(BI120="-","",$BI$15&amp;BI120),IF(BJ120="-","",$BJ$15&amp;BJ120)),"")</f>
        <v/>
      </c>
      <c r="AS120" s="120" t="str">
        <f t="shared" ref="AS120" si="613">IF(AO120=1,CHAR(13)&amp;CHAR(10)&amp;"..","")</f>
        <v/>
      </c>
      <c r="AT120" s="13" t="str">
        <f t="shared" ref="AT120" si="614">IF(AO120=1,VLOOKUP(O120,$AT$2:$AV$13,2,0),"")</f>
        <v/>
      </c>
      <c r="AU120" s="13" t="str">
        <f t="shared" si="425"/>
        <v xml:space="preserve">               </v>
      </c>
      <c r="AV120" s="13" t="str">
        <f t="shared" si="417"/>
        <v/>
      </c>
      <c r="AW120" s="13" t="str">
        <f t="shared" ref="AW120" si="615">REPT(" ",$AW$14-LEN(AV120))</f>
        <v xml:space="preserve">                                                                 </v>
      </c>
      <c r="AX120" s="13" t="str">
        <f t="shared" ref="AX120" si="616">IF($AO120=1,IF(ISBLANK(V120),"-",CONCATENATE(TEXT(V120," 0.000000;-0.000000"),"  ")),"")</f>
        <v/>
      </c>
      <c r="AY120" s="13" t="str">
        <f t="shared" ref="AY120" si="617">IF($AO120=1,IF(ISBLANK(W120),"-",CONCATENATE(TEXT(W120," 0.000000;-0.000000"),"  ")),"")</f>
        <v/>
      </c>
      <c r="AZ120" s="13" t="str">
        <f t="shared" ref="AZ120" si="618">IF($AO120=1,IF(ISBLANK(X120),"-",CONCATENATE(TEXT(X120," 0.000000;-0.000000"),"  ")),"")</f>
        <v/>
      </c>
      <c r="BA120" s="13" t="str">
        <f t="shared" ref="BA120" si="619">IF($AO120=1,IF(ISBLANK(Y120),"-",CONCATENATE(TEXT(Y120," 0.000000;-0.000000"),"  ")),"")</f>
        <v/>
      </c>
      <c r="BB120" s="13" t="str">
        <f t="shared" ref="BB120" si="620">IF($AO120=1,IF(ISBLANK(Z120),"-",CONCATENATE(TEXT(Z120," 0.000000;-0.000000"),"  ")),"")</f>
        <v/>
      </c>
      <c r="BC120" s="13" t="str">
        <f t="shared" ref="BC120" si="621">IF($AO120=1,IF(ISBLANK(AA120),"-",CONCATENATE(TEXT(AA120," 0.000000;-0.000000"),"  ")),"")</f>
        <v/>
      </c>
      <c r="BD120" s="13" t="str">
        <f t="shared" si="424"/>
        <v xml:space="preserve"> </v>
      </c>
      <c r="BE120" s="13" t="str">
        <f t="shared" si="238"/>
        <v/>
      </c>
      <c r="BF120" s="13" t="str">
        <f t="shared" si="239"/>
        <v/>
      </c>
      <c r="BG120" s="13" t="str">
        <f t="shared" si="240"/>
        <v/>
      </c>
      <c r="BH120" s="13" t="str">
        <f t="shared" si="241"/>
        <v/>
      </c>
      <c r="BI120" s="13" t="str">
        <f t="shared" si="242"/>
        <v/>
      </c>
      <c r="BJ120" s="13" t="str">
        <f t="shared" si="243"/>
        <v/>
      </c>
      <c r="BM120" s="13" t="str">
        <f t="shared" si="563"/>
        <v>Tchws</v>
      </c>
      <c r="BN120" s="13" t="str">
        <f t="shared" si="564"/>
        <v>Toadb</v>
      </c>
      <c r="BU120" s="104"/>
      <c r="BV120" s="104"/>
      <c r="BW120" s="104"/>
    </row>
    <row r="121" spans="1:76" hidden="1" outlineLevel="1" x14ac:dyDescent="0.3">
      <c r="C121" s="13" t="s">
        <v>392</v>
      </c>
      <c r="D121" s="22" t="s">
        <v>371</v>
      </c>
      <c r="E121" s="22" t="s">
        <v>369</v>
      </c>
      <c r="F121" s="22" t="s">
        <v>410</v>
      </c>
      <c r="G121" s="22" t="s">
        <v>70</v>
      </c>
      <c r="H121" s="13" t="s">
        <v>372</v>
      </c>
      <c r="J121" s="13" t="s">
        <v>272</v>
      </c>
      <c r="K121" s="13" t="s">
        <v>15</v>
      </c>
      <c r="L121" s="22" t="s">
        <v>202</v>
      </c>
      <c r="M121" s="13" t="s">
        <v>250</v>
      </c>
      <c r="N121" s="13" t="str">
        <f t="shared" si="416"/>
        <v>ChlrAirScrollEIRRatio_fQRatio</v>
      </c>
      <c r="O121" s="13" t="s">
        <v>162</v>
      </c>
      <c r="P121" s="13" t="s">
        <v>288</v>
      </c>
      <c r="Q121" s="13" t="s">
        <v>160</v>
      </c>
      <c r="V121" s="33">
        <v>6.3691189999999995E-2</v>
      </c>
      <c r="W121" s="33">
        <v>0.58488832000000002</v>
      </c>
      <c r="X121" s="33">
        <v>0.35280274</v>
      </c>
      <c r="AG121" s="113" t="str">
        <f t="shared" ref="AG121:AG149" si="622">IF(BV121&gt;0,ROUND(BV121,2),"")</f>
        <v/>
      </c>
      <c r="AH121" s="113">
        <f t="shared" ref="AH121:AH149" si="623">IF(BW121&gt;0,ROUND(BW121,2),"")</f>
        <v>0.06</v>
      </c>
      <c r="AI121" s="113" t="str">
        <f t="shared" si="476"/>
        <v/>
      </c>
      <c r="AJ121" s="113" t="str">
        <f t="shared" si="500"/>
        <v/>
      </c>
      <c r="AK121" s="113" t="str">
        <f t="shared" si="477"/>
        <v/>
      </c>
      <c r="AL121" s="113" t="str">
        <f t="shared" si="478"/>
        <v/>
      </c>
      <c r="AO121" s="13">
        <f>IF(ISTEXT(A121),"",IF(I121="IP",0,1))</f>
        <v>1</v>
      </c>
      <c r="AP121" s="120" t="str">
        <f t="shared" si="548"/>
        <v>CrvQuad        "ChlrAirScrollEIRRatio_fQRatio"                                  Coef1 =  0.063691  Coef2 =  0.584888  Coef3 =  0.352803  _x000D_
                                                                                MinOut = 0.060   _x000D_
..</v>
      </c>
      <c r="AQ121" s="120" t="str">
        <f t="shared" si="571"/>
        <v xml:space="preserve">CrvQuad        "ChlrAirScrollEIRRatio_fQRatio"                                  Coef1 =  0.063691  Coef2 =  0.584888  Coef3 =  0.352803  </v>
      </c>
      <c r="AR121" s="120" t="str">
        <f t="shared" si="549"/>
        <v xml:space="preserve">_x000D_
                                                                                MinOut = 0.060   </v>
      </c>
      <c r="AS121" s="120" t="str">
        <f t="shared" si="501"/>
        <v>_x000D_
..</v>
      </c>
      <c r="AT121" s="13" t="str">
        <f t="shared" si="426"/>
        <v>CrvQuad</v>
      </c>
      <c r="AU121" s="13" t="str">
        <f t="shared" si="425"/>
        <v xml:space="preserve">        </v>
      </c>
      <c r="AV121" s="13" t="str">
        <f t="shared" si="417"/>
        <v>"ChlrAirScrollEIRRatio_fQRatio"</v>
      </c>
      <c r="AW121" s="13" t="str">
        <f t="shared" ref="AW121:AW196" si="624">REPT(" ",$AW$14-LEN(AV121))</f>
        <v xml:space="preserve">                                  </v>
      </c>
      <c r="AX121" s="13" t="str">
        <f t="shared" si="604"/>
        <v xml:space="preserve"> 0.063691  </v>
      </c>
      <c r="AY121" s="13" t="str">
        <f t="shared" si="605"/>
        <v xml:space="preserve"> 0.584888  </v>
      </c>
      <c r="AZ121" s="13" t="str">
        <f t="shared" si="606"/>
        <v xml:space="preserve"> 0.352803  </v>
      </c>
      <c r="BA121" s="13" t="str">
        <f t="shared" si="607"/>
        <v>-</v>
      </c>
      <c r="BB121" s="13" t="str">
        <f t="shared" si="608"/>
        <v>-</v>
      </c>
      <c r="BC121" s="13" t="str">
        <f t="shared" si="609"/>
        <v>-</v>
      </c>
      <c r="BD121" s="13" t="str">
        <f t="shared" si="424"/>
        <v xml:space="preserve">_x000D_
                                                                                </v>
      </c>
      <c r="BE121" s="13" t="str">
        <f t="shared" si="238"/>
        <v>-</v>
      </c>
      <c r="BF121" s="13" t="str">
        <f t="shared" si="239"/>
        <v xml:space="preserve">0.060   </v>
      </c>
      <c r="BG121" s="13" t="str">
        <f t="shared" si="240"/>
        <v>-</v>
      </c>
      <c r="BH121" s="13" t="str">
        <f t="shared" si="241"/>
        <v>-</v>
      </c>
      <c r="BI121" s="13" t="str">
        <f t="shared" si="242"/>
        <v>-</v>
      </c>
      <c r="BJ121" s="13" t="str">
        <f t="shared" si="243"/>
        <v>-</v>
      </c>
      <c r="BM121" s="13" t="str">
        <f t="shared" si="563"/>
        <v>QRatio</v>
      </c>
      <c r="BO121" s="13">
        <v>1</v>
      </c>
      <c r="BR121" s="13">
        <v>0</v>
      </c>
      <c r="BU121" s="104">
        <f>$V121+$W121*BO121+$X121*BO121^2+$Y121*BO121^3</f>
        <v>1.00138225</v>
      </c>
      <c r="BV121" s="104"/>
      <c r="BW121" s="104">
        <f>$V121+$W121*BR121+$X121*BR121^2+$Y121*BR121^3</f>
        <v>6.3691189999999995E-2</v>
      </c>
    </row>
    <row r="122" spans="1:76" hidden="1" outlineLevel="1" x14ac:dyDescent="0.3">
      <c r="E122" s="22" t="s">
        <v>369</v>
      </c>
      <c r="F122" s="22" t="s">
        <v>410</v>
      </c>
      <c r="G122" s="22" t="s">
        <v>71</v>
      </c>
      <c r="H122" s="13" t="s">
        <v>373</v>
      </c>
      <c r="J122" s="13" t="s">
        <v>272</v>
      </c>
      <c r="K122" s="13" t="s">
        <v>15</v>
      </c>
      <c r="L122" s="22" t="s">
        <v>202</v>
      </c>
      <c r="M122" s="13" t="s">
        <v>250</v>
      </c>
      <c r="N122" s="13" t="str">
        <f t="shared" si="416"/>
        <v>ChlrAirRecipEIRRatio_fQRatio</v>
      </c>
      <c r="O122" s="13" t="s">
        <v>162</v>
      </c>
      <c r="P122" s="13" t="s">
        <v>288</v>
      </c>
      <c r="Q122" s="13" t="s">
        <v>160</v>
      </c>
      <c r="V122" s="33">
        <v>0.11443742</v>
      </c>
      <c r="W122" s="33">
        <v>0.54593340000000001</v>
      </c>
      <c r="X122" s="33">
        <v>0.34229861</v>
      </c>
      <c r="AG122" s="113" t="str">
        <f t="shared" si="622"/>
        <v/>
      </c>
      <c r="AH122" s="113">
        <f t="shared" si="623"/>
        <v>0.11</v>
      </c>
      <c r="AI122" s="113" t="str">
        <f t="shared" si="476"/>
        <v/>
      </c>
      <c r="AJ122" s="113" t="str">
        <f t="shared" si="500"/>
        <v/>
      </c>
      <c r="AK122" s="113" t="str">
        <f t="shared" si="477"/>
        <v/>
      </c>
      <c r="AL122" s="113" t="str">
        <f t="shared" si="478"/>
        <v/>
      </c>
      <c r="AO122" s="13">
        <f>IF(ISTEXT(A122),"",IF(I122="IP",0,1))</f>
        <v>1</v>
      </c>
      <c r="AP122" s="120" t="str">
        <f t="shared" si="548"/>
        <v>CrvQuad        "ChlrAirRecipEIRRatio_fQRatio"                                   Coef1 =  0.114437  Coef2 =  0.545933  Coef3 =  0.342299  _x000D_
                                                                                MinOut = 0.110   _x000D_
..</v>
      </c>
      <c r="AQ122" s="120" t="str">
        <f t="shared" si="571"/>
        <v xml:space="preserve">CrvQuad        "ChlrAirRecipEIRRatio_fQRatio"                                   Coef1 =  0.114437  Coef2 =  0.545933  Coef3 =  0.342299  </v>
      </c>
      <c r="AR122" s="120" t="str">
        <f t="shared" si="549"/>
        <v xml:space="preserve">_x000D_
                                                                                MinOut = 0.110   </v>
      </c>
      <c r="AS122" s="120" t="str">
        <f t="shared" si="501"/>
        <v>_x000D_
..</v>
      </c>
      <c r="AT122" s="13" t="str">
        <f t="shared" si="426"/>
        <v>CrvQuad</v>
      </c>
      <c r="AU122" s="13" t="str">
        <f t="shared" si="425"/>
        <v xml:space="preserve">        </v>
      </c>
      <c r="AV122" s="13" t="str">
        <f t="shared" si="417"/>
        <v>"ChlrAirRecipEIRRatio_fQRatio"</v>
      </c>
      <c r="AW122" s="13" t="str">
        <f t="shared" si="624"/>
        <v xml:space="preserve">                                   </v>
      </c>
      <c r="AX122" s="13" t="str">
        <f t="shared" si="604"/>
        <v xml:space="preserve"> 0.114437  </v>
      </c>
      <c r="AY122" s="13" t="str">
        <f t="shared" si="605"/>
        <v xml:space="preserve"> 0.545933  </v>
      </c>
      <c r="AZ122" s="13" t="str">
        <f t="shared" si="606"/>
        <v xml:space="preserve"> 0.342299  </v>
      </c>
      <c r="BA122" s="13" t="str">
        <f t="shared" si="607"/>
        <v>-</v>
      </c>
      <c r="BB122" s="13" t="str">
        <f t="shared" si="608"/>
        <v>-</v>
      </c>
      <c r="BC122" s="13" t="str">
        <f t="shared" si="609"/>
        <v>-</v>
      </c>
      <c r="BD122" s="13" t="str">
        <f t="shared" si="424"/>
        <v xml:space="preserve">_x000D_
                                                                                </v>
      </c>
      <c r="BE122" s="13" t="str">
        <f t="shared" ref="BE122:BE192" si="625">IF($AO122=1,IF(AG122="","-",CONCATENATE(TEXT(AG122,"0.000"),"   ")),"")</f>
        <v>-</v>
      </c>
      <c r="BF122" s="13" t="str">
        <f t="shared" ref="BF122:BF192" si="626">IF($AO122=1,IF(AH122="","-",CONCATENATE(TEXT(AH122,"0.000"),"   ")),"")</f>
        <v xml:space="preserve">0.110   </v>
      </c>
      <c r="BG122" s="13" t="str">
        <f t="shared" ref="BG122:BG192" si="627">IF($AO122=1,IF(AI122="","-",CONCATENATE(TEXT(AI122,"0.000"),"   ")),"")</f>
        <v>-</v>
      </c>
      <c r="BH122" s="13" t="str">
        <f t="shared" ref="BH122:BH192" si="628">IF($AO122=1,IF(AJ122="","-",CONCATENATE(TEXT(AJ122,"0.000"),"   ")),"")</f>
        <v>-</v>
      </c>
      <c r="BI122" s="13" t="str">
        <f t="shared" ref="BI122:BI192" si="629">IF($AO122=1,IF(AK122="","-",CONCATENATE(TEXT(AK122,"0.000"),"   ")),"")</f>
        <v>-</v>
      </c>
      <c r="BJ122" s="13" t="str">
        <f t="shared" ref="BJ122:BJ192" si="630">IF($AO122=1,IF(AL122="","-",CONCATENATE(TEXT(AL122,"0.000"),"   ")),"")</f>
        <v>-</v>
      </c>
      <c r="BM122" s="13" t="str">
        <f t="shared" si="563"/>
        <v>QRatio</v>
      </c>
      <c r="BO122" s="13">
        <v>1</v>
      </c>
      <c r="BR122" s="13">
        <v>0</v>
      </c>
      <c r="BU122" s="104">
        <f>$V122+$W122*BO122+$X122*BO122^2+$Y122*BO122^3</f>
        <v>1.0026694300000001</v>
      </c>
      <c r="BV122" s="104"/>
      <c r="BW122" s="104">
        <f>$V122+$W122*BR122+$X122*BR122^2+$Y122*BR122^3</f>
        <v>0.11443742</v>
      </c>
    </row>
    <row r="123" spans="1:76" hidden="1" outlineLevel="1" x14ac:dyDescent="0.3">
      <c r="E123" s="22" t="s">
        <v>369</v>
      </c>
      <c r="F123" s="22" t="s">
        <v>410</v>
      </c>
      <c r="G123" s="22" t="s">
        <v>72</v>
      </c>
      <c r="H123" s="13" t="s">
        <v>374</v>
      </c>
      <c r="J123" s="13" t="s">
        <v>272</v>
      </c>
      <c r="K123" s="13" t="s">
        <v>15</v>
      </c>
      <c r="L123" s="22" t="s">
        <v>202</v>
      </c>
      <c r="M123" s="13" t="s">
        <v>250</v>
      </c>
      <c r="N123" s="13" t="str">
        <f t="shared" ref="N123:N154" si="631">IF(ISBLANK(E123),"-",E123&amp;H123&amp;P123&amp;"_f"&amp;Q123&amp;R123&amp;S123&amp;T123&amp;U123&amp;I123)</f>
        <v>ChlrAirScrewEIRRatio_fQRatio</v>
      </c>
      <c r="O123" s="13" t="s">
        <v>162</v>
      </c>
      <c r="P123" s="13" t="s">
        <v>288</v>
      </c>
      <c r="Q123" s="13" t="s">
        <v>160</v>
      </c>
      <c r="V123" s="33">
        <v>3.6487220000000001E-2</v>
      </c>
      <c r="W123" s="33">
        <v>0.73474298000000005</v>
      </c>
      <c r="X123" s="33">
        <v>0.21994748</v>
      </c>
      <c r="AG123" s="113" t="str">
        <f t="shared" si="622"/>
        <v/>
      </c>
      <c r="AH123" s="113">
        <f t="shared" si="623"/>
        <v>0.04</v>
      </c>
      <c r="AI123" s="113" t="str">
        <f t="shared" si="476"/>
        <v/>
      </c>
      <c r="AJ123" s="113" t="str">
        <f t="shared" si="500"/>
        <v/>
      </c>
      <c r="AK123" s="113" t="str">
        <f t="shared" si="477"/>
        <v/>
      </c>
      <c r="AL123" s="113" t="str">
        <f t="shared" si="478"/>
        <v/>
      </c>
      <c r="AO123" s="13">
        <f>IF(ISTEXT(A123),"",IF(I123="IP",0,1))</f>
        <v>1</v>
      </c>
      <c r="AP123" s="120" t="str">
        <f t="shared" si="548"/>
        <v>CrvQuad        "ChlrAirScrewEIRRatio_fQRatio"                                   Coef1 =  0.036487  Coef2 =  0.734743  Coef3 =  0.219947  _x000D_
                                                                                MinOut = 0.040   _x000D_
..</v>
      </c>
      <c r="AQ123" s="120" t="str">
        <f t="shared" si="571"/>
        <v xml:space="preserve">CrvQuad        "ChlrAirScrewEIRRatio_fQRatio"                                   Coef1 =  0.036487  Coef2 =  0.734743  Coef3 =  0.219947  </v>
      </c>
      <c r="AR123" s="120" t="str">
        <f t="shared" si="549"/>
        <v xml:space="preserve">_x000D_
                                                                                MinOut = 0.040   </v>
      </c>
      <c r="AS123" s="120" t="str">
        <f t="shared" si="501"/>
        <v>_x000D_
..</v>
      </c>
      <c r="AT123" s="13" t="str">
        <f t="shared" si="426"/>
        <v>CrvQuad</v>
      </c>
      <c r="AU123" s="13" t="str">
        <f t="shared" si="425"/>
        <v xml:space="preserve">        </v>
      </c>
      <c r="AV123" s="13" t="str">
        <f t="shared" ref="AV123:AV154" si="632">IF(AO123=1,CONCATENATE("""",N123,""""),"")</f>
        <v>"ChlrAirScrewEIRRatio_fQRatio"</v>
      </c>
      <c r="AW123" s="13" t="str">
        <f t="shared" si="624"/>
        <v xml:space="preserve">                                   </v>
      </c>
      <c r="AX123" s="13" t="str">
        <f t="shared" si="604"/>
        <v xml:space="preserve"> 0.036487  </v>
      </c>
      <c r="AY123" s="13" t="str">
        <f t="shared" si="605"/>
        <v xml:space="preserve"> 0.734743  </v>
      </c>
      <c r="AZ123" s="13" t="str">
        <f t="shared" si="606"/>
        <v xml:space="preserve"> 0.219947  </v>
      </c>
      <c r="BA123" s="13" t="str">
        <f t="shared" si="607"/>
        <v>-</v>
      </c>
      <c r="BB123" s="13" t="str">
        <f t="shared" si="608"/>
        <v>-</v>
      </c>
      <c r="BC123" s="13" t="str">
        <f t="shared" si="609"/>
        <v>-</v>
      </c>
      <c r="BD123" s="13" t="str">
        <f t="shared" si="424"/>
        <v xml:space="preserve">_x000D_
                                                                                </v>
      </c>
      <c r="BE123" s="13" t="str">
        <f t="shared" si="625"/>
        <v>-</v>
      </c>
      <c r="BF123" s="13" t="str">
        <f t="shared" si="626"/>
        <v xml:space="preserve">0.040   </v>
      </c>
      <c r="BG123" s="13" t="str">
        <f t="shared" si="627"/>
        <v>-</v>
      </c>
      <c r="BH123" s="13" t="str">
        <f t="shared" si="628"/>
        <v>-</v>
      </c>
      <c r="BI123" s="13" t="str">
        <f t="shared" si="629"/>
        <v>-</v>
      </c>
      <c r="BJ123" s="13" t="str">
        <f t="shared" si="630"/>
        <v>-</v>
      </c>
      <c r="BM123" s="13" t="str">
        <f t="shared" si="563"/>
        <v>QRatio</v>
      </c>
      <c r="BO123" s="13">
        <v>1</v>
      </c>
      <c r="BR123" s="13">
        <v>0</v>
      </c>
      <c r="BU123" s="104">
        <f>$V123+$W123*BO123+$X123*BO123^2+$Y123*BO123^3</f>
        <v>0.99117768000000006</v>
      </c>
      <c r="BV123" s="104"/>
      <c r="BW123" s="104">
        <f>$V123+$W123*BR123+$X123*BR123^2+$Y123*BR123^3</f>
        <v>3.6487220000000001E-2</v>
      </c>
    </row>
    <row r="124" spans="1:76" hidden="1" outlineLevel="1" x14ac:dyDescent="0.3">
      <c r="E124" s="22" t="s">
        <v>369</v>
      </c>
      <c r="F124" s="22" t="s">
        <v>410</v>
      </c>
      <c r="G124" s="22" t="s">
        <v>73</v>
      </c>
      <c r="H124" s="13" t="s">
        <v>375</v>
      </c>
      <c r="J124" s="13" t="s">
        <v>272</v>
      </c>
      <c r="K124" s="13" t="s">
        <v>15</v>
      </c>
      <c r="L124" s="22" t="s">
        <v>202</v>
      </c>
      <c r="M124" s="13" t="s">
        <v>250</v>
      </c>
      <c r="N124" s="13" t="str">
        <f t="shared" si="631"/>
        <v>ChlrAirCentEIRRatio_fQRatio</v>
      </c>
      <c r="O124" s="13" t="s">
        <v>162</v>
      </c>
      <c r="P124" s="13" t="s">
        <v>288</v>
      </c>
      <c r="Q124" s="13" t="s">
        <v>160</v>
      </c>
      <c r="V124" s="33" t="s">
        <v>64</v>
      </c>
      <c r="W124" s="33" t="s">
        <v>64</v>
      </c>
      <c r="X124" s="33" t="s">
        <v>64</v>
      </c>
      <c r="AG124" s="113" t="str">
        <f t="shared" si="622"/>
        <v/>
      </c>
      <c r="AH124" s="113" t="str">
        <f t="shared" si="623"/>
        <v/>
      </c>
      <c r="AI124" s="113" t="str">
        <f t="shared" si="476"/>
        <v/>
      </c>
      <c r="AJ124" s="113" t="str">
        <f t="shared" si="500"/>
        <v/>
      </c>
      <c r="AK124" s="113" t="str">
        <f t="shared" si="477"/>
        <v/>
      </c>
      <c r="AL124" s="113" t="str">
        <f t="shared" si="478"/>
        <v/>
      </c>
      <c r="AO124" s="13">
        <v>0</v>
      </c>
      <c r="AP124" s="120" t="str">
        <f t="shared" si="548"/>
        <v/>
      </c>
      <c r="AQ124" s="120" t="str">
        <f t="shared" si="571"/>
        <v/>
      </c>
      <c r="AR124" s="120" t="str">
        <f t="shared" si="549"/>
        <v/>
      </c>
      <c r="AS124" s="120" t="str">
        <f t="shared" si="501"/>
        <v/>
      </c>
      <c r="AT124" s="13" t="str">
        <f t="shared" si="426"/>
        <v/>
      </c>
      <c r="AU124" s="13" t="str">
        <f t="shared" si="425"/>
        <v xml:space="preserve">               </v>
      </c>
      <c r="AV124" s="13" t="str">
        <f t="shared" si="632"/>
        <v/>
      </c>
      <c r="AW124" s="13" t="str">
        <f t="shared" si="624"/>
        <v xml:space="preserve">                                                                 </v>
      </c>
      <c r="AX124" s="13" t="str">
        <f t="shared" si="604"/>
        <v/>
      </c>
      <c r="AY124" s="13" t="str">
        <f t="shared" si="605"/>
        <v/>
      </c>
      <c r="AZ124" s="13" t="str">
        <f t="shared" si="606"/>
        <v/>
      </c>
      <c r="BA124" s="13" t="str">
        <f t="shared" si="607"/>
        <v/>
      </c>
      <c r="BB124" s="13" t="str">
        <f t="shared" si="608"/>
        <v/>
      </c>
      <c r="BC124" s="13" t="str">
        <f t="shared" si="609"/>
        <v/>
      </c>
      <c r="BD124" s="13" t="str">
        <f t="shared" si="424"/>
        <v xml:space="preserve"> </v>
      </c>
      <c r="BE124" s="13" t="str">
        <f t="shared" si="625"/>
        <v/>
      </c>
      <c r="BF124" s="13" t="str">
        <f t="shared" si="626"/>
        <v/>
      </c>
      <c r="BG124" s="13" t="str">
        <f t="shared" si="627"/>
        <v/>
      </c>
      <c r="BH124" s="13" t="str">
        <f t="shared" si="628"/>
        <v/>
      </c>
      <c r="BI124" s="13" t="str">
        <f t="shared" si="629"/>
        <v/>
      </c>
      <c r="BJ124" s="13" t="str">
        <f t="shared" si="630"/>
        <v/>
      </c>
      <c r="BM124" s="13" t="str">
        <f t="shared" si="563"/>
        <v>QRatio</v>
      </c>
      <c r="BU124" s="104"/>
      <c r="BV124" s="104"/>
      <c r="BW124" s="104"/>
    </row>
    <row r="125" spans="1:76" collapsed="1" x14ac:dyDescent="0.3">
      <c r="A125" s="16" t="s">
        <v>570</v>
      </c>
      <c r="C125" s="38"/>
      <c r="E125" s="49"/>
      <c r="F125" s="49"/>
      <c r="J125" s="49"/>
      <c r="N125" s="13" t="str">
        <f t="shared" si="631"/>
        <v>-</v>
      </c>
      <c r="O125" s="49"/>
      <c r="P125" s="49"/>
      <c r="Q125" s="49"/>
      <c r="AG125" s="113" t="str">
        <f t="shared" si="622"/>
        <v/>
      </c>
      <c r="AH125" s="113" t="str">
        <f t="shared" si="623"/>
        <v/>
      </c>
      <c r="AI125" s="113" t="str">
        <f t="shared" si="476"/>
        <v/>
      </c>
      <c r="AJ125" s="113" t="str">
        <f t="shared" si="500"/>
        <v/>
      </c>
      <c r="AK125" s="113" t="str">
        <f t="shared" si="477"/>
        <v/>
      </c>
      <c r="AL125" s="113" t="str">
        <f t="shared" si="478"/>
        <v/>
      </c>
      <c r="AO125" s="13" t="str">
        <f t="shared" ref="AO125:AO163" si="633">IF(ISTEXT(A125),"",IF(I125="IP",0,1))</f>
        <v/>
      </c>
      <c r="AP125" s="120" t="str">
        <f t="shared" si="548"/>
        <v/>
      </c>
      <c r="AQ125" s="120"/>
      <c r="AR125" s="120" t="str">
        <f t="shared" si="549"/>
        <v/>
      </c>
      <c r="AS125" s="120" t="str">
        <f t="shared" si="501"/>
        <v/>
      </c>
      <c r="AU125" s="13" t="str">
        <f t="shared" si="425"/>
        <v xml:space="preserve">               </v>
      </c>
      <c r="AV125" s="13" t="str">
        <f t="shared" si="632"/>
        <v/>
      </c>
      <c r="AW125" s="13" t="str">
        <f t="shared" si="624"/>
        <v xml:space="preserve">                                                                 </v>
      </c>
      <c r="AX125" s="13" t="str">
        <f t="shared" si="604"/>
        <v/>
      </c>
      <c r="AY125" s="13" t="str">
        <f t="shared" si="605"/>
        <v/>
      </c>
      <c r="AZ125" s="13" t="str">
        <f t="shared" si="606"/>
        <v/>
      </c>
      <c r="BA125" s="13" t="str">
        <f t="shared" si="607"/>
        <v/>
      </c>
      <c r="BB125" s="13" t="str">
        <f t="shared" si="608"/>
        <v/>
      </c>
      <c r="BC125" s="13" t="str">
        <f t="shared" si="609"/>
        <v/>
      </c>
      <c r="BD125" s="13" t="str">
        <f t="shared" si="424"/>
        <v xml:space="preserve"> </v>
      </c>
      <c r="BE125" s="13" t="str">
        <f t="shared" si="625"/>
        <v/>
      </c>
      <c r="BF125" s="13" t="str">
        <f t="shared" si="626"/>
        <v/>
      </c>
      <c r="BG125" s="13" t="str">
        <f t="shared" si="627"/>
        <v/>
      </c>
      <c r="BH125" s="13" t="str">
        <f t="shared" si="628"/>
        <v/>
      </c>
      <c r="BI125" s="13" t="str">
        <f t="shared" si="629"/>
        <v/>
      </c>
      <c r="BJ125" s="13" t="str">
        <f t="shared" si="630"/>
        <v/>
      </c>
      <c r="BU125" s="104"/>
      <c r="BV125" s="104"/>
      <c r="BW125" s="104"/>
    </row>
    <row r="126" spans="1:76" ht="28.8" hidden="1" outlineLevel="1" x14ac:dyDescent="0.3">
      <c r="D126" s="22" t="s">
        <v>67</v>
      </c>
      <c r="E126" s="13" t="s">
        <v>369</v>
      </c>
      <c r="F126" s="22" t="s">
        <v>403</v>
      </c>
      <c r="G126" s="22" t="s">
        <v>573</v>
      </c>
      <c r="H126" s="13" t="s">
        <v>571</v>
      </c>
      <c r="I126" s="13" t="s">
        <v>659</v>
      </c>
      <c r="J126" s="13" t="s">
        <v>273</v>
      </c>
      <c r="K126" s="13" t="s">
        <v>156</v>
      </c>
      <c r="L126" s="22"/>
      <c r="N126" s="13" t="str">
        <f t="shared" si="631"/>
        <v>ChlrWtrPosDispPathAAllQRatio_fTchwsTcwsIP</v>
      </c>
      <c r="O126" s="13" t="s">
        <v>165</v>
      </c>
      <c r="P126" s="13" t="s">
        <v>160</v>
      </c>
      <c r="Q126" s="13" t="s">
        <v>139</v>
      </c>
      <c r="R126" s="13" t="s">
        <v>140</v>
      </c>
      <c r="V126" s="33">
        <v>0.44679690988242099</v>
      </c>
      <c r="W126" s="33">
        <v>1.47419271662777E-2</v>
      </c>
      <c r="X126" s="33">
        <v>1.3391357374503501E-4</v>
      </c>
      <c r="Y126" s="33">
        <v>4.4024253465903702E-4</v>
      </c>
      <c r="Z126" s="33">
        <v>-1.52139492098685E-5</v>
      </c>
      <c r="AA126" s="33">
        <v>-8.4706546324958497E-5</v>
      </c>
      <c r="AG126" s="113">
        <f t="shared" si="622"/>
        <v>1.33</v>
      </c>
      <c r="AH126" s="113">
        <f t="shared" si="623"/>
        <v>0.89</v>
      </c>
      <c r="AI126" s="113">
        <f t="shared" si="476"/>
        <v>54</v>
      </c>
      <c r="AJ126" s="113">
        <f t="shared" si="500"/>
        <v>40</v>
      </c>
      <c r="AK126" s="113">
        <f t="shared" si="477"/>
        <v>85</v>
      </c>
      <c r="AL126" s="113">
        <f t="shared" si="478"/>
        <v>60</v>
      </c>
      <c r="AO126" s="13">
        <f t="shared" si="633"/>
        <v>0</v>
      </c>
      <c r="AP126" s="120" t="str">
        <f t="shared" ref="AP126:AP136" si="634">IF(AO126=1,CONCATENATE(AQ126,AR126,AS126),"")</f>
        <v/>
      </c>
      <c r="AQ126" s="120" t="str">
        <f t="shared" ref="AQ126:AQ151" si="635">IF(AO126=1,CONCATENATE(AT126,AU126,AV126,AW126,IF(AX126="-","",$AX$15&amp;AX126),IF(AY126="-","",$AY$15&amp;AY126),IF(AZ126="-","",$AZ$15&amp;AZ126),IF(BA126="-","",$BA$15&amp;BA126),IF(BB126="-","",$BB$15&amp;BB126),IF(BC126="-","",$BC$15&amp;BC126)),"")</f>
        <v/>
      </c>
      <c r="AR126" s="120" t="str">
        <f t="shared" ref="AR126:AR136" si="636">IF(AO126=1,CONCATENATE(BD126,IF(BE126="-","",$BE$15&amp;BE126),IF(BF126="-","",$BF$15&amp;BF126),IF(BG126="-","",$BG$15&amp;BG126),IF(BH126="-","",$BH$15&amp;BH126),IF(BI126="-","",$BI$15&amp;BI126),IF(BJ126="-","",$BJ$15&amp;BJ126)),"")</f>
        <v/>
      </c>
      <c r="AS126" s="120" t="str">
        <f t="shared" ref="AS126:AS136" si="637">IF(AO126=1,CHAR(13)&amp;CHAR(10)&amp;"..","")</f>
        <v/>
      </c>
      <c r="AT126" s="13" t="str">
        <f t="shared" ref="AT126:AT136" si="638">IF(AO126=1,VLOOKUP(O126,$AT$2:$AV$13,2,0),"")</f>
        <v/>
      </c>
      <c r="AU126" s="13" t="str">
        <f t="shared" si="425"/>
        <v xml:space="preserve">               </v>
      </c>
      <c r="AV126" s="13" t="str">
        <f t="shared" si="632"/>
        <v/>
      </c>
      <c r="AW126" s="13" t="str">
        <f t="shared" ref="AW126:AW136" si="639">REPT(" ",$AW$14-LEN(AV126))</f>
        <v xml:space="preserve">                                                                 </v>
      </c>
      <c r="AX126" s="13" t="str">
        <f t="shared" ref="AX126:BC136" si="640">IF($AO126=1,IF(ISBLANK(V126),"-",CONCATENATE(TEXT(V126," 0.000000;-0.000000"),"  ")),"")</f>
        <v/>
      </c>
      <c r="AY126" s="13" t="str">
        <f t="shared" si="640"/>
        <v/>
      </c>
      <c r="AZ126" s="13" t="str">
        <f t="shared" si="640"/>
        <v/>
      </c>
      <c r="BA126" s="13" t="str">
        <f t="shared" si="640"/>
        <v/>
      </c>
      <c r="BB126" s="13" t="str">
        <f t="shared" si="640"/>
        <v/>
      </c>
      <c r="BC126" s="13" t="str">
        <f t="shared" si="640"/>
        <v/>
      </c>
      <c r="BD126" s="13" t="str">
        <f t="shared" si="424"/>
        <v xml:space="preserve">_x000D_
                                                                                </v>
      </c>
      <c r="BE126" s="13" t="str">
        <f t="shared" si="625"/>
        <v/>
      </c>
      <c r="BF126" s="13" t="str">
        <f t="shared" si="626"/>
        <v/>
      </c>
      <c r="BG126" s="13" t="str">
        <f t="shared" si="627"/>
        <v/>
      </c>
      <c r="BH126" s="13" t="str">
        <f t="shared" si="628"/>
        <v/>
      </c>
      <c r="BI126" s="13" t="str">
        <f t="shared" si="629"/>
        <v/>
      </c>
      <c r="BJ126" s="13" t="str">
        <f t="shared" si="630"/>
        <v/>
      </c>
      <c r="BM126" s="13" t="str">
        <f t="shared" ref="BM126:BM144" si="641">Q126</f>
        <v>Tchws</v>
      </c>
      <c r="BN126" s="13" t="str">
        <f t="shared" ref="BN126:BN144" si="642">R126</f>
        <v>Tcws</v>
      </c>
      <c r="BO126" s="13">
        <v>44</v>
      </c>
      <c r="BP126" s="13">
        <v>85</v>
      </c>
      <c r="BQ126" s="13">
        <v>54</v>
      </c>
      <c r="BR126" s="13">
        <v>40</v>
      </c>
      <c r="BS126" s="13">
        <v>85</v>
      </c>
      <c r="BT126" s="13">
        <v>60</v>
      </c>
      <c r="BU126" s="116">
        <f t="shared" ref="BU126:BU149" si="643">$V126+$W126*BO126+$X126*BO126^2+$Y126*BP126+$Z126*BP126^2+$AA126*BO126*BP126</f>
        <v>0.96539573311840121</v>
      </c>
      <c r="BV126" s="104">
        <f>$V126+$W126*BQ126+$X126*BQ126^2+$Y126*BT126+$Z126*BT126^2+$AA126*BQ126*BT126</f>
        <v>1.3305480827330889</v>
      </c>
      <c r="BW126" s="104">
        <f>$V126+$W126*BR126+$X126*BR126^2+$Y126*BS126+$Z126*BS126^2+$AA126*BR126*BS126</f>
        <v>0.89023328942544455</v>
      </c>
      <c r="BX126" s="13" t="s">
        <v>729</v>
      </c>
    </row>
    <row r="127" spans="1:76" ht="28.8" hidden="1" outlineLevel="1" x14ac:dyDescent="0.3">
      <c r="E127" s="13" t="s">
        <v>369</v>
      </c>
      <c r="F127" s="22" t="s">
        <v>403</v>
      </c>
      <c r="G127" s="22" t="s">
        <v>573</v>
      </c>
      <c r="H127" s="13" t="s">
        <v>571</v>
      </c>
      <c r="I127" s="13" t="s">
        <v>660</v>
      </c>
      <c r="J127" s="13" t="s">
        <v>144</v>
      </c>
      <c r="L127" s="22" t="s">
        <v>202</v>
      </c>
      <c r="M127" s="13" t="s">
        <v>248</v>
      </c>
      <c r="N127" s="13" t="str">
        <f t="shared" si="631"/>
        <v>ChlrWtrPosDispPathAAllQRatio_fTchwsTcwsSI</v>
      </c>
      <c r="O127" s="13" t="s">
        <v>165</v>
      </c>
      <c r="P127" s="13" t="s">
        <v>160</v>
      </c>
      <c r="Q127" s="13" t="s">
        <v>139</v>
      </c>
      <c r="R127" s="13" t="s">
        <v>140</v>
      </c>
      <c r="V127" s="33">
        <v>0.96743999999999997</v>
      </c>
      <c r="W127" s="33">
        <v>3.7081999999999997E-2</v>
      </c>
      <c r="X127" s="33">
        <v>4.33836E-4</v>
      </c>
      <c r="Y127" s="33">
        <v>-5.8374000000000004E-3</v>
      </c>
      <c r="Z127" s="33">
        <v>-4.9248E-5</v>
      </c>
      <c r="AA127" s="33">
        <v>-2.7442800000000001E-4</v>
      </c>
      <c r="AG127" s="113">
        <f t="shared" si="622"/>
        <v>1.33</v>
      </c>
      <c r="AH127" s="113">
        <f t="shared" si="623"/>
        <v>0.89</v>
      </c>
      <c r="AI127" s="113">
        <f t="shared" si="476"/>
        <v>12.22</v>
      </c>
      <c r="AJ127" s="113">
        <f t="shared" si="500"/>
        <v>4.4400000000000004</v>
      </c>
      <c r="AK127" s="113">
        <f t="shared" si="477"/>
        <v>29.44</v>
      </c>
      <c r="AL127" s="113">
        <f t="shared" si="478"/>
        <v>15.56</v>
      </c>
      <c r="AO127" s="13">
        <f t="shared" si="633"/>
        <v>1</v>
      </c>
      <c r="AP127" s="120" t="str">
        <f t="shared" ref="AP127" si="644">IF(AO127=1,CONCATENATE(AQ127,AR127,AS127),"")</f>
        <v>CrvDblQuad     "ChlrWtrPosDispPathAAllQRatio_fTchwsTcwsSI"                      Coef1 =  0.967440  Coef2 =  0.037082  Coef3 =  0.000434  Coef4 = -0.005837  Coef5 = -0.000049  Coef6 = -0.000274  _x000D_
                                                                                MaxOut = 1.330   MinOut = 0.890   MaxVar1 = 12.220   MinVar1 = 4.440   MaxVar2 = 29.440   MinVar2 = 15.560   _x000D_
..</v>
      </c>
      <c r="AQ127" s="120" t="str">
        <f t="shared" ref="AQ127" si="645">IF(AO127=1,CONCATENATE(AT127,AU127,AV127,AW127,IF(AX127="-","",$AX$15&amp;AX127),IF(AY127="-","",$AY$15&amp;AY127),IF(AZ127="-","",$AZ$15&amp;AZ127),IF(BA127="-","",$BA$15&amp;BA127),IF(BB127="-","",$BB$15&amp;BB127),IF(BC127="-","",$BC$15&amp;BC127)),"")</f>
        <v xml:space="preserve">CrvDblQuad     "ChlrWtrPosDispPathAAllQRatio_fTchwsTcwsSI"                      Coef1 =  0.967440  Coef2 =  0.037082  Coef3 =  0.000434  Coef4 = -0.005837  Coef5 = -0.000049  Coef6 = -0.000274  </v>
      </c>
      <c r="AR127" s="120" t="str">
        <f t="shared" ref="AR127" si="646">IF(AO127=1,CONCATENATE(BD127,IF(BE127="-","",$BE$15&amp;BE127),IF(BF127="-","",$BF$15&amp;BF127),IF(BG127="-","",$BG$15&amp;BG127),IF(BH127="-","",$BH$15&amp;BH127),IF(BI127="-","",$BI$15&amp;BI127),IF(BJ127="-","",$BJ$15&amp;BJ127)),"")</f>
        <v xml:space="preserve">_x000D_
                                                                                MaxOut = 1.330   MinOut = 0.890   MaxVar1 = 12.220   MinVar1 = 4.440   MaxVar2 = 29.440   MinVar2 = 15.560   </v>
      </c>
      <c r="AS127" s="120" t="str">
        <f t="shared" ref="AS127" si="647">IF(AO127=1,CHAR(13)&amp;CHAR(10)&amp;"..","")</f>
        <v>_x000D_
..</v>
      </c>
      <c r="AT127" s="13" t="str">
        <f t="shared" ref="AT127" si="648">IF(AO127=1,VLOOKUP(O127,$AT$2:$AV$13,2,0),"")</f>
        <v>CrvDblQuad</v>
      </c>
      <c r="AU127" s="13" t="str">
        <f t="shared" si="425"/>
        <v xml:space="preserve">     </v>
      </c>
      <c r="AV127" s="13" t="str">
        <f t="shared" si="632"/>
        <v>"ChlrWtrPosDispPathAAllQRatio_fTchwsTcwsSI"</v>
      </c>
      <c r="AW127" s="13" t="str">
        <f t="shared" ref="AW127" si="649">REPT(" ",$AW$14-LEN(AV127))</f>
        <v xml:space="preserve">                      </v>
      </c>
      <c r="AX127" s="13" t="str">
        <f t="shared" ref="AX127" si="650">IF($AO127=1,IF(ISBLANK(V127),"-",CONCATENATE(TEXT(V127," 0.000000;-0.000000"),"  ")),"")</f>
        <v xml:space="preserve"> 0.967440  </v>
      </c>
      <c r="AY127" s="13" t="str">
        <f t="shared" ref="AY127" si="651">IF($AO127=1,IF(ISBLANK(W127),"-",CONCATENATE(TEXT(W127," 0.000000;-0.000000"),"  ")),"")</f>
        <v xml:space="preserve"> 0.037082  </v>
      </c>
      <c r="AZ127" s="13" t="str">
        <f t="shared" ref="AZ127" si="652">IF($AO127=1,IF(ISBLANK(X127),"-",CONCATENATE(TEXT(X127," 0.000000;-0.000000"),"  ")),"")</f>
        <v xml:space="preserve"> 0.000434  </v>
      </c>
      <c r="BA127" s="13" t="str">
        <f t="shared" ref="BA127" si="653">IF($AO127=1,IF(ISBLANK(Y127),"-",CONCATENATE(TEXT(Y127," 0.000000;-0.000000"),"  ")),"")</f>
        <v xml:space="preserve">-0.005837  </v>
      </c>
      <c r="BB127" s="13" t="str">
        <f t="shared" ref="BB127" si="654">IF($AO127=1,IF(ISBLANK(Z127),"-",CONCATENATE(TEXT(Z127," 0.000000;-0.000000"),"  ")),"")</f>
        <v xml:space="preserve">-0.000049  </v>
      </c>
      <c r="BC127" s="13" t="str">
        <f t="shared" ref="BC127" si="655">IF($AO127=1,IF(ISBLANK(AA127),"-",CONCATENATE(TEXT(AA127," 0.000000;-0.000000"),"  ")),"")</f>
        <v xml:space="preserve">-0.000274  </v>
      </c>
      <c r="BD127" s="13" t="str">
        <f t="shared" si="424"/>
        <v xml:space="preserve">_x000D_
                                                                                </v>
      </c>
      <c r="BE127" s="13" t="str">
        <f t="shared" si="625"/>
        <v xml:space="preserve">1.330   </v>
      </c>
      <c r="BF127" s="13" t="str">
        <f t="shared" si="626"/>
        <v xml:space="preserve">0.890   </v>
      </c>
      <c r="BG127" s="13" t="str">
        <f t="shared" si="627"/>
        <v xml:space="preserve">12.220   </v>
      </c>
      <c r="BH127" s="13" t="str">
        <f t="shared" si="628"/>
        <v xml:space="preserve">4.440   </v>
      </c>
      <c r="BI127" s="13" t="str">
        <f t="shared" si="629"/>
        <v xml:space="preserve">29.440   </v>
      </c>
      <c r="BJ127" s="13" t="str">
        <f t="shared" si="630"/>
        <v xml:space="preserve">15.560   </v>
      </c>
      <c r="BM127" s="13" t="str">
        <f t="shared" si="641"/>
        <v>Tchws</v>
      </c>
      <c r="BN127" s="13" t="str">
        <f t="shared" si="642"/>
        <v>Tcws</v>
      </c>
      <c r="BO127" s="118">
        <f>(BO126-32)/1.8</f>
        <v>6.6666666666666661</v>
      </c>
      <c r="BP127" s="118">
        <f>(BP126-32)/1.8</f>
        <v>29.444444444444443</v>
      </c>
      <c r="BQ127" s="118">
        <f t="shared" ref="BQ127" si="656">(BQ126-32)/1.8</f>
        <v>12.222222222222221</v>
      </c>
      <c r="BR127" s="118">
        <f t="shared" ref="BR127" si="657">(BR126-32)/1.8</f>
        <v>4.4444444444444446</v>
      </c>
      <c r="BS127" s="118">
        <f t="shared" ref="BS127" si="658">(BS126-32)/1.8</f>
        <v>29.444444444444443</v>
      </c>
      <c r="BT127" s="118">
        <f t="shared" ref="BT127" si="659">(BT126-32)/1.8</f>
        <v>15.555555555555555</v>
      </c>
      <c r="BU127" s="116">
        <f t="shared" si="643"/>
        <v>0.96548993333333322</v>
      </c>
      <c r="BV127" s="104">
        <f t="shared" ref="BV127:BV137" si="660">$V127+$W127*BQ127+$X127*BQ127^2+$Y127*BT127+$Z127*BT127^2+$AA127*BQ127*BT127</f>
        <v>1.3305760444444441</v>
      </c>
      <c r="BW127" s="104">
        <f t="shared" ref="BW127:BW137" si="661">$V127+$W127*BR127+$X127*BR127^2+$Y127*BS127+$Z127*BS127^2+$AA127*BR127*BS127</f>
        <v>0.89032988888888887</v>
      </c>
      <c r="BX127" s="13" t="s">
        <v>729</v>
      </c>
    </row>
    <row r="128" spans="1:76" ht="28.8" hidden="1" outlineLevel="1" x14ac:dyDescent="0.3">
      <c r="E128" s="13" t="s">
        <v>369</v>
      </c>
      <c r="F128" s="22" t="s">
        <v>403</v>
      </c>
      <c r="G128" s="22" t="s">
        <v>574</v>
      </c>
      <c r="H128" s="13" t="s">
        <v>572</v>
      </c>
      <c r="I128" s="13" t="s">
        <v>659</v>
      </c>
      <c r="J128" s="13" t="s">
        <v>273</v>
      </c>
      <c r="K128" s="13" t="s">
        <v>156</v>
      </c>
      <c r="L128" s="22"/>
      <c r="N128" s="13" t="str">
        <f t="shared" si="631"/>
        <v>ChlrWtrCentPathAAllQRatio_fTchwsTcwsIP</v>
      </c>
      <c r="O128" s="13" t="s">
        <v>165</v>
      </c>
      <c r="P128" s="13" t="s">
        <v>160</v>
      </c>
      <c r="Q128" s="13" t="s">
        <v>139</v>
      </c>
      <c r="R128" s="13" t="s">
        <v>140</v>
      </c>
      <c r="V128" s="33">
        <v>-0.49737319000000002</v>
      </c>
      <c r="W128" s="33">
        <v>-9.5607299999999999E-3</v>
      </c>
      <c r="X128" s="33">
        <v>-5.9561E-4</v>
      </c>
      <c r="Y128" s="33">
        <v>4.3520990000000002E-2</v>
      </c>
      <c r="Z128" s="33">
        <v>-5.8394000000000002E-4</v>
      </c>
      <c r="AA128" s="33">
        <v>9.6007000000000004E-4</v>
      </c>
      <c r="AG128" s="113">
        <f t="shared" si="622"/>
        <v>0.87</v>
      </c>
      <c r="AH128" s="113">
        <f t="shared" si="623"/>
        <v>0.91</v>
      </c>
      <c r="AI128" s="113">
        <f t="shared" si="476"/>
        <v>54</v>
      </c>
      <c r="AJ128" s="113">
        <f t="shared" si="500"/>
        <v>40</v>
      </c>
      <c r="AK128" s="113">
        <f t="shared" si="477"/>
        <v>85</v>
      </c>
      <c r="AL128" s="113">
        <f t="shared" si="478"/>
        <v>60</v>
      </c>
      <c r="AO128" s="13">
        <f t="shared" si="633"/>
        <v>0</v>
      </c>
      <c r="AP128" s="120" t="str">
        <f t="shared" si="634"/>
        <v/>
      </c>
      <c r="AQ128" s="120" t="str">
        <f t="shared" si="635"/>
        <v/>
      </c>
      <c r="AR128" s="120" t="str">
        <f t="shared" si="636"/>
        <v/>
      </c>
      <c r="AS128" s="120" t="str">
        <f t="shared" si="637"/>
        <v/>
      </c>
      <c r="AT128" s="13" t="str">
        <f t="shared" si="638"/>
        <v/>
      </c>
      <c r="AU128" s="13" t="str">
        <f t="shared" si="425"/>
        <v xml:space="preserve">               </v>
      </c>
      <c r="AV128" s="13" t="str">
        <f t="shared" si="632"/>
        <v/>
      </c>
      <c r="AW128" s="13" t="str">
        <f t="shared" si="639"/>
        <v xml:space="preserve">                                                                 </v>
      </c>
      <c r="AX128" s="13" t="str">
        <f t="shared" si="640"/>
        <v/>
      </c>
      <c r="AY128" s="13" t="str">
        <f t="shared" si="640"/>
        <v/>
      </c>
      <c r="AZ128" s="13" t="str">
        <f t="shared" si="640"/>
        <v/>
      </c>
      <c r="BA128" s="13" t="str">
        <f t="shared" si="640"/>
        <v/>
      </c>
      <c r="BB128" s="13" t="str">
        <f t="shared" si="640"/>
        <v/>
      </c>
      <c r="BC128" s="13" t="str">
        <f t="shared" si="640"/>
        <v/>
      </c>
      <c r="BD128" s="13" t="str">
        <f t="shared" si="424"/>
        <v xml:space="preserve">_x000D_
                                                                                </v>
      </c>
      <c r="BE128" s="13" t="str">
        <f t="shared" si="625"/>
        <v/>
      </c>
      <c r="BF128" s="13" t="str">
        <f t="shared" si="626"/>
        <v/>
      </c>
      <c r="BG128" s="13" t="str">
        <f t="shared" si="627"/>
        <v/>
      </c>
      <c r="BH128" s="13" t="str">
        <f t="shared" si="628"/>
        <v/>
      </c>
      <c r="BI128" s="13" t="str">
        <f t="shared" si="629"/>
        <v/>
      </c>
      <c r="BJ128" s="13" t="str">
        <f t="shared" si="630"/>
        <v/>
      </c>
      <c r="BM128" s="13" t="str">
        <f t="shared" si="641"/>
        <v>Tchws</v>
      </c>
      <c r="BN128" s="13" t="str">
        <f t="shared" si="642"/>
        <v>Tcws</v>
      </c>
      <c r="BO128" s="13">
        <v>44</v>
      </c>
      <c r="BP128" s="13">
        <v>85</v>
      </c>
      <c r="BQ128" s="13">
        <v>54</v>
      </c>
      <c r="BR128" s="13">
        <v>40</v>
      </c>
      <c r="BS128" s="13">
        <v>85</v>
      </c>
      <c r="BT128" s="13">
        <v>60</v>
      </c>
      <c r="BU128" s="104">
        <f t="shared" si="643"/>
        <v>0.99983317999999999</v>
      </c>
      <c r="BV128" s="104">
        <f t="shared" si="660"/>
        <v>0.86925082999999992</v>
      </c>
      <c r="BW128" s="104">
        <f t="shared" si="661"/>
        <v>0.91177725999999959</v>
      </c>
      <c r="BX128" s="13" t="s">
        <v>729</v>
      </c>
    </row>
    <row r="129" spans="4:76" ht="28.8" hidden="1" outlineLevel="1" x14ac:dyDescent="0.3">
      <c r="E129" s="13" t="s">
        <v>369</v>
      </c>
      <c r="F129" s="22" t="s">
        <v>403</v>
      </c>
      <c r="G129" s="22" t="s">
        <v>574</v>
      </c>
      <c r="H129" s="13" t="s">
        <v>572</v>
      </c>
      <c r="I129" s="13" t="s">
        <v>660</v>
      </c>
      <c r="J129" s="13" t="s">
        <v>144</v>
      </c>
      <c r="L129" s="22" t="s">
        <v>202</v>
      </c>
      <c r="M129" s="13" t="s">
        <v>248</v>
      </c>
      <c r="N129" s="13" t="str">
        <f t="shared" si="631"/>
        <v>ChlrWtrCentPathAAllQRatio_fTchwsTcwsSI</v>
      </c>
      <c r="O129" s="13" t="s">
        <v>165</v>
      </c>
      <c r="P129" s="13" t="s">
        <v>160</v>
      </c>
      <c r="Q129" s="13" t="s">
        <v>139</v>
      </c>
      <c r="R129" s="13" t="s">
        <v>140</v>
      </c>
      <c r="V129" s="33">
        <v>0.36469099999999999</v>
      </c>
      <c r="W129" s="33">
        <v>-3.0520599999999998E-2</v>
      </c>
      <c r="X129" s="33">
        <v>-1.9297400000000001E-3</v>
      </c>
      <c r="Y129" s="33">
        <v>6.6374299999999997E-2</v>
      </c>
      <c r="Z129" s="33">
        <v>-1.8918400000000001E-3</v>
      </c>
      <c r="AA129" s="33">
        <v>3.11072E-3</v>
      </c>
      <c r="AG129" s="113">
        <f t="shared" si="622"/>
        <v>0.87</v>
      </c>
      <c r="AH129" s="113">
        <f t="shared" si="623"/>
        <v>0.91</v>
      </c>
      <c r="AI129" s="113">
        <f t="shared" si="476"/>
        <v>12.22</v>
      </c>
      <c r="AJ129" s="113">
        <f t="shared" si="500"/>
        <v>4.4400000000000004</v>
      </c>
      <c r="AK129" s="113">
        <f t="shared" si="477"/>
        <v>29.44</v>
      </c>
      <c r="AL129" s="113">
        <f t="shared" si="478"/>
        <v>15.56</v>
      </c>
      <c r="AO129" s="13">
        <f t="shared" si="633"/>
        <v>1</v>
      </c>
      <c r="AP129" s="120" t="str">
        <f t="shared" ref="AP129" si="662">IF(AO129=1,CONCATENATE(AQ129,AR129,AS129),"")</f>
        <v>CrvDblQuad     "ChlrWtrCentPathAAllQRatio_fTchwsTcwsSI"                         Coef1 =  0.364691  Coef2 = -0.030521  Coef3 = -0.001930  Coef4 =  0.066374  Coef5 = -0.001892  Coef6 =  0.003111  _x000D_
                                                                                MaxOut = 0.870   MinOut = 0.910   MaxVar1 = 12.220   MinVar1 = 4.440   MaxVar2 = 29.440   MinVar2 = 15.560   _x000D_
..</v>
      </c>
      <c r="AQ129" s="120" t="str">
        <f t="shared" ref="AQ129" si="663">IF(AO129=1,CONCATENATE(AT129,AU129,AV129,AW129,IF(AX129="-","",$AX$15&amp;AX129),IF(AY129="-","",$AY$15&amp;AY129),IF(AZ129="-","",$AZ$15&amp;AZ129),IF(BA129="-","",$BA$15&amp;BA129),IF(BB129="-","",$BB$15&amp;BB129),IF(BC129="-","",$BC$15&amp;BC129)),"")</f>
        <v xml:space="preserve">CrvDblQuad     "ChlrWtrCentPathAAllQRatio_fTchwsTcwsSI"                         Coef1 =  0.364691  Coef2 = -0.030521  Coef3 = -0.001930  Coef4 =  0.066374  Coef5 = -0.001892  Coef6 =  0.003111  </v>
      </c>
      <c r="AR129" s="120" t="str">
        <f t="shared" ref="AR129" si="664">IF(AO129=1,CONCATENATE(BD129,IF(BE129="-","",$BE$15&amp;BE129),IF(BF129="-","",$BF$15&amp;BF129),IF(BG129="-","",$BG$15&amp;BG129),IF(BH129="-","",$BH$15&amp;BH129),IF(BI129="-","",$BI$15&amp;BI129),IF(BJ129="-","",$BJ$15&amp;BJ129)),"")</f>
        <v xml:space="preserve">_x000D_
                                                                                MaxOut = 0.870   MinOut = 0.910   MaxVar1 = 12.220   MinVar1 = 4.440   MaxVar2 = 29.440   MinVar2 = 15.560   </v>
      </c>
      <c r="AS129" s="120" t="str">
        <f t="shared" ref="AS129" si="665">IF(AO129=1,CHAR(13)&amp;CHAR(10)&amp;"..","")</f>
        <v>_x000D_
..</v>
      </c>
      <c r="AT129" s="13" t="str">
        <f t="shared" ref="AT129" si="666">IF(AO129=1,VLOOKUP(O129,$AT$2:$AV$13,2,0),"")</f>
        <v>CrvDblQuad</v>
      </c>
      <c r="AU129" s="13" t="str">
        <f t="shared" si="425"/>
        <v xml:space="preserve">     </v>
      </c>
      <c r="AV129" s="13" t="str">
        <f t="shared" si="632"/>
        <v>"ChlrWtrCentPathAAllQRatio_fTchwsTcwsSI"</v>
      </c>
      <c r="AW129" s="13" t="str">
        <f t="shared" ref="AW129" si="667">REPT(" ",$AW$14-LEN(AV129))</f>
        <v xml:space="preserve">                         </v>
      </c>
      <c r="AX129" s="13" t="str">
        <f t="shared" ref="AX129" si="668">IF($AO129=1,IF(ISBLANK(V129),"-",CONCATENATE(TEXT(V129," 0.000000;-0.000000"),"  ")),"")</f>
        <v xml:space="preserve"> 0.364691  </v>
      </c>
      <c r="AY129" s="13" t="str">
        <f t="shared" ref="AY129" si="669">IF($AO129=1,IF(ISBLANK(W129),"-",CONCATENATE(TEXT(W129," 0.000000;-0.000000"),"  ")),"")</f>
        <v xml:space="preserve">-0.030521  </v>
      </c>
      <c r="AZ129" s="13" t="str">
        <f t="shared" ref="AZ129" si="670">IF($AO129=1,IF(ISBLANK(X129),"-",CONCATENATE(TEXT(X129," 0.000000;-0.000000"),"  ")),"")</f>
        <v xml:space="preserve">-0.001930  </v>
      </c>
      <c r="BA129" s="13" t="str">
        <f t="shared" ref="BA129" si="671">IF($AO129=1,IF(ISBLANK(Y129),"-",CONCATENATE(TEXT(Y129," 0.000000;-0.000000"),"  ")),"")</f>
        <v xml:space="preserve"> 0.066374  </v>
      </c>
      <c r="BB129" s="13" t="str">
        <f t="shared" ref="BB129" si="672">IF($AO129=1,IF(ISBLANK(Z129),"-",CONCATENATE(TEXT(Z129," 0.000000;-0.000000"),"  ")),"")</f>
        <v xml:space="preserve">-0.001892  </v>
      </c>
      <c r="BC129" s="13" t="str">
        <f t="shared" ref="BC129" si="673">IF($AO129=1,IF(ISBLANK(AA129),"-",CONCATENATE(TEXT(AA129," 0.000000;-0.000000"),"  ")),"")</f>
        <v xml:space="preserve"> 0.003111  </v>
      </c>
      <c r="BD129" s="13" t="str">
        <f t="shared" si="424"/>
        <v xml:space="preserve">_x000D_
                                                                                </v>
      </c>
      <c r="BE129" s="13" t="str">
        <f t="shared" si="625"/>
        <v xml:space="preserve">0.870   </v>
      </c>
      <c r="BF129" s="13" t="str">
        <f t="shared" si="626"/>
        <v xml:space="preserve">0.910   </v>
      </c>
      <c r="BG129" s="13" t="str">
        <f t="shared" si="627"/>
        <v xml:space="preserve">12.220   </v>
      </c>
      <c r="BH129" s="13" t="str">
        <f t="shared" si="628"/>
        <v xml:space="preserve">4.440   </v>
      </c>
      <c r="BI129" s="13" t="str">
        <f t="shared" si="629"/>
        <v xml:space="preserve">29.440   </v>
      </c>
      <c r="BJ129" s="13" t="str">
        <f t="shared" si="630"/>
        <v xml:space="preserve">15.560   </v>
      </c>
      <c r="BM129" s="13" t="str">
        <f t="shared" si="641"/>
        <v>Tchws</v>
      </c>
      <c r="BN129" s="13" t="str">
        <f t="shared" si="642"/>
        <v>Tcws</v>
      </c>
      <c r="BO129" s="118">
        <f>(BO128-32)/1.8</f>
        <v>6.6666666666666661</v>
      </c>
      <c r="BP129" s="118">
        <f>(BP128-32)/1.8</f>
        <v>29.444444444444443</v>
      </c>
      <c r="BQ129" s="118">
        <f t="shared" ref="BQ129" si="674">(BQ128-32)/1.8</f>
        <v>12.222222222222221</v>
      </c>
      <c r="BR129" s="118">
        <f t="shared" ref="BR129" si="675">(BR128-32)/1.8</f>
        <v>4.4444444444444446</v>
      </c>
      <c r="BS129" s="118">
        <f t="shared" ref="BS129" si="676">(BS128-32)/1.8</f>
        <v>29.444444444444443</v>
      </c>
      <c r="BT129" s="118">
        <f t="shared" ref="BT129" si="677">(BT128-32)/1.8</f>
        <v>15.555555555555555</v>
      </c>
      <c r="BU129" s="104">
        <f t="shared" si="643"/>
        <v>1.0002527469135805</v>
      </c>
      <c r="BV129" s="104">
        <f t="shared" si="660"/>
        <v>0.86952302469135789</v>
      </c>
      <c r="BW129" s="104">
        <f t="shared" si="661"/>
        <v>0.91218326543209893</v>
      </c>
      <c r="BX129" s="13" t="s">
        <v>729</v>
      </c>
    </row>
    <row r="130" spans="4:76" ht="28.8" hidden="1" outlineLevel="1" x14ac:dyDescent="0.3">
      <c r="E130" s="13" t="s">
        <v>369</v>
      </c>
      <c r="F130" s="22" t="s">
        <v>403</v>
      </c>
      <c r="G130" s="22" t="s">
        <v>578</v>
      </c>
      <c r="H130" s="13" t="s">
        <v>577</v>
      </c>
      <c r="I130" s="13" t="s">
        <v>659</v>
      </c>
      <c r="J130" s="13" t="s">
        <v>273</v>
      </c>
      <c r="K130" s="13" t="s">
        <v>156</v>
      </c>
      <c r="L130" s="22"/>
      <c r="N130" s="13" t="str">
        <f t="shared" si="631"/>
        <v>ChlrWtrPosDispPathBAllQRatio_fTchwsTcwsIP</v>
      </c>
      <c r="O130" s="13" t="s">
        <v>165</v>
      </c>
      <c r="P130" s="13" t="s">
        <v>160</v>
      </c>
      <c r="Q130" s="13" t="s">
        <v>139</v>
      </c>
      <c r="R130" s="13" t="s">
        <v>140</v>
      </c>
      <c r="V130" s="33">
        <v>0.33412772176434502</v>
      </c>
      <c r="W130" s="33">
        <v>2.1014608424837773E-2</v>
      </c>
      <c r="X130" s="33">
        <v>-1.023994952908939E-4</v>
      </c>
      <c r="Y130" s="33">
        <v>-1.4070405108950496E-3</v>
      </c>
      <c r="Z130" s="33">
        <v>-2.8515679949124031E-5</v>
      </c>
      <c r="AA130" s="33">
        <v>7.0706471984457265E-5</v>
      </c>
      <c r="AG130" s="113">
        <f t="shared" si="622"/>
        <v>1.21</v>
      </c>
      <c r="AH130" s="113">
        <f t="shared" si="623"/>
        <v>0.93</v>
      </c>
      <c r="AI130" s="113">
        <f t="shared" si="476"/>
        <v>54</v>
      </c>
      <c r="AJ130" s="113">
        <f t="shared" si="500"/>
        <v>40</v>
      </c>
      <c r="AK130" s="113">
        <f t="shared" si="477"/>
        <v>85</v>
      </c>
      <c r="AL130" s="113">
        <f t="shared" si="478"/>
        <v>60</v>
      </c>
      <c r="AO130" s="13">
        <f t="shared" si="633"/>
        <v>0</v>
      </c>
      <c r="AP130" s="120" t="str">
        <f t="shared" si="634"/>
        <v/>
      </c>
      <c r="AQ130" s="120" t="str">
        <f t="shared" si="635"/>
        <v/>
      </c>
      <c r="AR130" s="120" t="str">
        <f t="shared" si="636"/>
        <v/>
      </c>
      <c r="AS130" s="120" t="str">
        <f t="shared" si="637"/>
        <v/>
      </c>
      <c r="AT130" s="13" t="str">
        <f t="shared" si="638"/>
        <v/>
      </c>
      <c r="AU130" s="13" t="str">
        <f t="shared" si="425"/>
        <v xml:space="preserve">               </v>
      </c>
      <c r="AV130" s="13" t="str">
        <f t="shared" si="632"/>
        <v/>
      </c>
      <c r="AW130" s="13" t="str">
        <f t="shared" si="639"/>
        <v xml:space="preserve">                                                                 </v>
      </c>
      <c r="AX130" s="13" t="str">
        <f t="shared" si="640"/>
        <v/>
      </c>
      <c r="AY130" s="13" t="str">
        <f t="shared" si="640"/>
        <v/>
      </c>
      <c r="AZ130" s="13" t="str">
        <f t="shared" si="640"/>
        <v/>
      </c>
      <c r="BA130" s="13" t="str">
        <f t="shared" si="640"/>
        <v/>
      </c>
      <c r="BB130" s="13" t="str">
        <f t="shared" si="640"/>
        <v/>
      </c>
      <c r="BC130" s="13" t="str">
        <f t="shared" si="640"/>
        <v/>
      </c>
      <c r="BD130" s="13" t="str">
        <f t="shared" si="424"/>
        <v xml:space="preserve">_x000D_
                                                                                </v>
      </c>
      <c r="BE130" s="13" t="str">
        <f t="shared" si="625"/>
        <v/>
      </c>
      <c r="BF130" s="13" t="str">
        <f t="shared" si="626"/>
        <v/>
      </c>
      <c r="BG130" s="13" t="str">
        <f t="shared" si="627"/>
        <v/>
      </c>
      <c r="BH130" s="13" t="str">
        <f t="shared" si="628"/>
        <v/>
      </c>
      <c r="BI130" s="13" t="str">
        <f t="shared" si="629"/>
        <v/>
      </c>
      <c r="BJ130" s="13" t="str">
        <f t="shared" si="630"/>
        <v/>
      </c>
      <c r="BM130" s="13" t="str">
        <f t="shared" si="641"/>
        <v>Tchws</v>
      </c>
      <c r="BN130" s="13" t="str">
        <f t="shared" si="642"/>
        <v>Tcws</v>
      </c>
      <c r="BO130" s="13">
        <v>44</v>
      </c>
      <c r="BP130" s="13">
        <v>85</v>
      </c>
      <c r="BQ130" s="13">
        <v>54</v>
      </c>
      <c r="BR130" s="13">
        <v>40</v>
      </c>
      <c r="BS130" s="13">
        <v>85</v>
      </c>
      <c r="BT130" s="13">
        <v>60</v>
      </c>
      <c r="BU130" s="104">
        <f t="shared" si="643"/>
        <v>0.99934304373740646</v>
      </c>
      <c r="BV130" s="104">
        <f t="shared" si="660"/>
        <v>1.2123297391964303</v>
      </c>
      <c r="BW130" s="104">
        <f t="shared" si="661"/>
        <v>0.92565063998107999</v>
      </c>
      <c r="BX130" s="13" t="s">
        <v>729</v>
      </c>
    </row>
    <row r="131" spans="4:76" ht="28.8" hidden="1" outlineLevel="1" x14ac:dyDescent="0.3">
      <c r="E131" s="13" t="s">
        <v>369</v>
      </c>
      <c r="F131" s="22" t="s">
        <v>403</v>
      </c>
      <c r="G131" s="22" t="s">
        <v>578</v>
      </c>
      <c r="H131" s="13" t="s">
        <v>577</v>
      </c>
      <c r="I131" s="13" t="s">
        <v>660</v>
      </c>
      <c r="J131" s="13" t="s">
        <v>144</v>
      </c>
      <c r="L131" s="22" t="s">
        <v>202</v>
      </c>
      <c r="M131" s="13" t="s">
        <v>248</v>
      </c>
      <c r="N131" s="13" t="str">
        <f t="shared" si="631"/>
        <v>ChlrWtrPosDispPathBAllQRatio_fTchwsTcwsSI</v>
      </c>
      <c r="O131" s="13" t="s">
        <v>165</v>
      </c>
      <c r="P131" s="13" t="s">
        <v>160</v>
      </c>
      <c r="Q131" s="13" t="s">
        <v>139</v>
      </c>
      <c r="R131" s="13" t="s">
        <v>140</v>
      </c>
      <c r="V131" s="33">
        <v>0.899926</v>
      </c>
      <c r="W131" s="33">
        <v>3.01021E-2</v>
      </c>
      <c r="X131" s="33">
        <v>-3.3177599999999999E-4</v>
      </c>
      <c r="Y131" s="33">
        <v>-1.7434799999999999E-3</v>
      </c>
      <c r="Z131" s="33">
        <v>-9.234E-5</v>
      </c>
      <c r="AA131" s="33">
        <v>2.29068E-4</v>
      </c>
      <c r="AG131" s="113">
        <f t="shared" si="622"/>
        <v>1.21</v>
      </c>
      <c r="AH131" s="113">
        <f t="shared" si="623"/>
        <v>0.93</v>
      </c>
      <c r="AI131" s="113">
        <f t="shared" si="476"/>
        <v>12.22</v>
      </c>
      <c r="AJ131" s="113">
        <f t="shared" si="500"/>
        <v>4.4400000000000004</v>
      </c>
      <c r="AK131" s="113">
        <f t="shared" si="477"/>
        <v>29.44</v>
      </c>
      <c r="AL131" s="113">
        <f t="shared" si="478"/>
        <v>15.56</v>
      </c>
      <c r="AO131" s="13">
        <f t="shared" si="633"/>
        <v>1</v>
      </c>
      <c r="AP131" s="120" t="str">
        <f t="shared" ref="AP131" si="678">IF(AO131=1,CONCATENATE(AQ131,AR131,AS131),"")</f>
        <v>CrvDblQuad     "ChlrWtrPosDispPathBAllQRatio_fTchwsTcwsSI"                      Coef1 =  0.899926  Coef2 =  0.030102  Coef3 = -0.000332  Coef4 = -0.001743  Coef5 = -0.000092  Coef6 =  0.000229  _x000D_
                                                                                MaxOut = 1.210   MinOut = 0.930   MaxVar1 = 12.220   MinVar1 = 4.440   MaxVar2 = 29.440   MinVar2 = 15.560   _x000D_
..</v>
      </c>
      <c r="AQ131" s="120" t="str">
        <f t="shared" ref="AQ131" si="679">IF(AO131=1,CONCATENATE(AT131,AU131,AV131,AW131,IF(AX131="-","",$AX$15&amp;AX131),IF(AY131="-","",$AY$15&amp;AY131),IF(AZ131="-","",$AZ$15&amp;AZ131),IF(BA131="-","",$BA$15&amp;BA131),IF(BB131="-","",$BB$15&amp;BB131),IF(BC131="-","",$BC$15&amp;BC131)),"")</f>
        <v xml:space="preserve">CrvDblQuad     "ChlrWtrPosDispPathBAllQRatio_fTchwsTcwsSI"                      Coef1 =  0.899926  Coef2 =  0.030102  Coef3 = -0.000332  Coef4 = -0.001743  Coef5 = -0.000092  Coef6 =  0.000229  </v>
      </c>
      <c r="AR131" s="120" t="str">
        <f t="shared" ref="AR131" si="680">IF(AO131=1,CONCATENATE(BD131,IF(BE131="-","",$BE$15&amp;BE131),IF(BF131="-","",$BF$15&amp;BF131),IF(BG131="-","",$BG$15&amp;BG131),IF(BH131="-","",$BH$15&amp;BH131),IF(BI131="-","",$BI$15&amp;BI131),IF(BJ131="-","",$BJ$15&amp;BJ131)),"")</f>
        <v xml:space="preserve">_x000D_
                                                                                MaxOut = 1.210   MinOut = 0.930   MaxVar1 = 12.220   MinVar1 = 4.440   MaxVar2 = 29.440   MinVar2 = 15.560   </v>
      </c>
      <c r="AS131" s="120" t="str">
        <f t="shared" ref="AS131" si="681">IF(AO131=1,CHAR(13)&amp;CHAR(10)&amp;"..","")</f>
        <v>_x000D_
..</v>
      </c>
      <c r="AT131" s="13" t="str">
        <f t="shared" ref="AT131" si="682">IF(AO131=1,VLOOKUP(O131,$AT$2:$AV$13,2,0),"")</f>
        <v>CrvDblQuad</v>
      </c>
      <c r="AU131" s="13" t="str">
        <f t="shared" si="425"/>
        <v xml:space="preserve">     </v>
      </c>
      <c r="AV131" s="13" t="str">
        <f t="shared" si="632"/>
        <v>"ChlrWtrPosDispPathBAllQRatio_fTchwsTcwsSI"</v>
      </c>
      <c r="AW131" s="13" t="str">
        <f t="shared" ref="AW131" si="683">REPT(" ",$AW$14-LEN(AV131))</f>
        <v xml:space="preserve">                      </v>
      </c>
      <c r="AX131" s="13" t="str">
        <f t="shared" ref="AX131" si="684">IF($AO131=1,IF(ISBLANK(V131),"-",CONCATENATE(TEXT(V131," 0.000000;-0.000000"),"  ")),"")</f>
        <v xml:space="preserve"> 0.899926  </v>
      </c>
      <c r="AY131" s="13" t="str">
        <f t="shared" ref="AY131" si="685">IF($AO131=1,IF(ISBLANK(W131),"-",CONCATENATE(TEXT(W131," 0.000000;-0.000000"),"  ")),"")</f>
        <v xml:space="preserve"> 0.030102  </v>
      </c>
      <c r="AZ131" s="13" t="str">
        <f t="shared" ref="AZ131" si="686">IF($AO131=1,IF(ISBLANK(X131),"-",CONCATENATE(TEXT(X131," 0.000000;-0.000000"),"  ")),"")</f>
        <v xml:space="preserve">-0.000332  </v>
      </c>
      <c r="BA131" s="13" t="str">
        <f t="shared" ref="BA131" si="687">IF($AO131=1,IF(ISBLANK(Y131),"-",CONCATENATE(TEXT(Y131," 0.000000;-0.000000"),"  ")),"")</f>
        <v xml:space="preserve">-0.001743  </v>
      </c>
      <c r="BB131" s="13" t="str">
        <f t="shared" ref="BB131" si="688">IF($AO131=1,IF(ISBLANK(Z131),"-",CONCATENATE(TEXT(Z131," 0.000000;-0.000000"),"  ")),"")</f>
        <v xml:space="preserve">-0.000092  </v>
      </c>
      <c r="BC131" s="13" t="str">
        <f t="shared" ref="BC131" si="689">IF($AO131=1,IF(ISBLANK(AA131),"-",CONCATENATE(TEXT(AA131," 0.000000;-0.000000"),"  ")),"")</f>
        <v xml:space="preserve"> 0.000229  </v>
      </c>
      <c r="BD131" s="13" t="str">
        <f t="shared" si="424"/>
        <v xml:space="preserve">_x000D_
                                                                                </v>
      </c>
      <c r="BE131" s="13" t="str">
        <f t="shared" si="625"/>
        <v xml:space="preserve">1.210   </v>
      </c>
      <c r="BF131" s="13" t="str">
        <f t="shared" si="626"/>
        <v xml:space="preserve">0.930   </v>
      </c>
      <c r="BG131" s="13" t="str">
        <f t="shared" si="627"/>
        <v xml:space="preserve">12.220   </v>
      </c>
      <c r="BH131" s="13" t="str">
        <f t="shared" si="628"/>
        <v xml:space="preserve">4.440   </v>
      </c>
      <c r="BI131" s="13" t="str">
        <f t="shared" si="629"/>
        <v xml:space="preserve">29.440   </v>
      </c>
      <c r="BJ131" s="13" t="str">
        <f t="shared" si="630"/>
        <v xml:space="preserve">15.560   </v>
      </c>
      <c r="BM131" s="13" t="str">
        <f t="shared" si="641"/>
        <v>Tchws</v>
      </c>
      <c r="BN131" s="13" t="str">
        <f t="shared" si="642"/>
        <v>Tcws</v>
      </c>
      <c r="BO131" s="118">
        <f>(BO130-32)/1.8</f>
        <v>6.6666666666666661</v>
      </c>
      <c r="BP131" s="118">
        <f>(BP130-32)/1.8</f>
        <v>29.444444444444443</v>
      </c>
      <c r="BQ131" s="118">
        <f t="shared" ref="BQ131" si="690">(BQ130-32)/1.8</f>
        <v>12.222222222222221</v>
      </c>
      <c r="BR131" s="118">
        <f t="shared" ref="BR131" si="691">(BR130-32)/1.8</f>
        <v>4.4444444444444446</v>
      </c>
      <c r="BS131" s="118">
        <f t="shared" ref="BS131" si="692">(BS130-32)/1.8</f>
        <v>29.444444444444443</v>
      </c>
      <c r="BT131" s="118">
        <f t="shared" ref="BT131" si="693">(BT130-32)/1.8</f>
        <v>15.555555555555555</v>
      </c>
      <c r="BU131" s="104">
        <f t="shared" si="643"/>
        <v>0.99943396666666695</v>
      </c>
      <c r="BV131" s="104">
        <f t="shared" si="660"/>
        <v>1.2123653555555554</v>
      </c>
      <c r="BW131" s="104">
        <f t="shared" si="661"/>
        <v>0.92574401111111115</v>
      </c>
      <c r="BX131" s="13" t="s">
        <v>729</v>
      </c>
    </row>
    <row r="132" spans="4:76" hidden="1" outlineLevel="1" x14ac:dyDescent="0.3">
      <c r="E132" s="13" t="s">
        <v>369</v>
      </c>
      <c r="F132" s="22" t="s">
        <v>403</v>
      </c>
      <c r="G132" s="22" t="s">
        <v>575</v>
      </c>
      <c r="H132" s="13" t="s">
        <v>579</v>
      </c>
      <c r="I132" s="13" t="s">
        <v>659</v>
      </c>
      <c r="J132" s="13" t="s">
        <v>273</v>
      </c>
      <c r="K132" s="13" t="s">
        <v>156</v>
      </c>
      <c r="L132" s="22"/>
      <c r="N132" s="13" t="str">
        <f t="shared" si="631"/>
        <v>ChlrWtrCentPathBLt300tonQRatio_fTchwsTcwsIP</v>
      </c>
      <c r="O132" s="13" t="s">
        <v>165</v>
      </c>
      <c r="P132" s="13" t="s">
        <v>160</v>
      </c>
      <c r="Q132" s="13" t="s">
        <v>139</v>
      </c>
      <c r="R132" s="13" t="s">
        <v>140</v>
      </c>
      <c r="V132" s="122">
        <v>0.180980075767812</v>
      </c>
      <c r="W132" s="122">
        <v>3.1844233813172598E-2</v>
      </c>
      <c r="X132" s="122">
        <v>-1.54148946419477E-4</v>
      </c>
      <c r="Y132" s="122">
        <v>9.5659058164194507E-3</v>
      </c>
      <c r="Z132" s="122">
        <v>-1.3547016191585101E-4</v>
      </c>
      <c r="AA132" s="122">
        <v>-5.3197437829929998E-5</v>
      </c>
      <c r="AG132" s="113">
        <f t="shared" si="622"/>
        <v>1.36</v>
      </c>
      <c r="AH132" s="113">
        <f t="shared" si="623"/>
        <v>0.86</v>
      </c>
      <c r="AI132" s="113">
        <f t="shared" si="476"/>
        <v>54</v>
      </c>
      <c r="AJ132" s="113">
        <f t="shared" si="500"/>
        <v>40</v>
      </c>
      <c r="AK132" s="113">
        <f t="shared" si="477"/>
        <v>85</v>
      </c>
      <c r="AL132" s="113">
        <f t="shared" si="478"/>
        <v>60</v>
      </c>
      <c r="AO132" s="13">
        <f t="shared" si="633"/>
        <v>0</v>
      </c>
      <c r="AP132" s="120" t="str">
        <f t="shared" si="634"/>
        <v/>
      </c>
      <c r="AQ132" s="120" t="str">
        <f t="shared" si="635"/>
        <v/>
      </c>
      <c r="AR132" s="120" t="str">
        <f t="shared" si="636"/>
        <v/>
      </c>
      <c r="AS132" s="120" t="str">
        <f t="shared" si="637"/>
        <v/>
      </c>
      <c r="AT132" s="13" t="str">
        <f t="shared" si="638"/>
        <v/>
      </c>
      <c r="AU132" s="13" t="str">
        <f t="shared" si="425"/>
        <v xml:space="preserve">               </v>
      </c>
      <c r="AV132" s="13" t="str">
        <f t="shared" si="632"/>
        <v/>
      </c>
      <c r="AW132" s="13" t="str">
        <f t="shared" si="639"/>
        <v xml:space="preserve">                                                                 </v>
      </c>
      <c r="AX132" s="13" t="str">
        <f t="shared" si="640"/>
        <v/>
      </c>
      <c r="AY132" s="13" t="str">
        <f t="shared" si="640"/>
        <v/>
      </c>
      <c r="AZ132" s="13" t="str">
        <f t="shared" si="640"/>
        <v/>
      </c>
      <c r="BA132" s="13" t="str">
        <f t="shared" si="640"/>
        <v/>
      </c>
      <c r="BB132" s="13" t="str">
        <f t="shared" si="640"/>
        <v/>
      </c>
      <c r="BC132" s="13" t="str">
        <f t="shared" si="640"/>
        <v/>
      </c>
      <c r="BD132" s="13" t="str">
        <f t="shared" si="424"/>
        <v xml:space="preserve">_x000D_
                                                                                </v>
      </c>
      <c r="BE132" s="13" t="str">
        <f t="shared" si="625"/>
        <v/>
      </c>
      <c r="BF132" s="13" t="str">
        <f t="shared" si="626"/>
        <v/>
      </c>
      <c r="BG132" s="13" t="str">
        <f t="shared" si="627"/>
        <v/>
      </c>
      <c r="BH132" s="13" t="str">
        <f t="shared" si="628"/>
        <v/>
      </c>
      <c r="BI132" s="13" t="str">
        <f t="shared" si="629"/>
        <v/>
      </c>
      <c r="BJ132" s="13" t="str">
        <f t="shared" si="630"/>
        <v/>
      </c>
      <c r="BM132" s="46" t="str">
        <f t="shared" si="641"/>
        <v>Tchws</v>
      </c>
      <c r="BN132" s="46" t="str">
        <f t="shared" si="642"/>
        <v>Tcws</v>
      </c>
      <c r="BO132" s="46">
        <v>44</v>
      </c>
      <c r="BP132" s="46">
        <v>85</v>
      </c>
      <c r="BQ132" s="46">
        <v>54</v>
      </c>
      <c r="BR132" s="46">
        <v>40</v>
      </c>
      <c r="BS132" s="46">
        <v>85</v>
      </c>
      <c r="BT132" s="46">
        <v>60</v>
      </c>
      <c r="BU132" s="116">
        <f t="shared" si="643"/>
        <v>0.91906566034899051</v>
      </c>
      <c r="BV132" s="116">
        <f t="shared" si="660"/>
        <v>1.3649724414390676</v>
      </c>
      <c r="BW132" s="116">
        <f t="shared" si="661"/>
        <v>0.86156989995542044</v>
      </c>
      <c r="BX132" s="13" t="s">
        <v>729</v>
      </c>
    </row>
    <row r="133" spans="4:76" hidden="1" outlineLevel="1" x14ac:dyDescent="0.3">
      <c r="E133" s="13" t="s">
        <v>369</v>
      </c>
      <c r="F133" s="22" t="s">
        <v>403</v>
      </c>
      <c r="G133" s="22" t="s">
        <v>575</v>
      </c>
      <c r="H133" s="13" t="s">
        <v>579</v>
      </c>
      <c r="I133" s="13" t="s">
        <v>660</v>
      </c>
      <c r="J133" s="13" t="s">
        <v>144</v>
      </c>
      <c r="L133" s="22" t="s">
        <v>202</v>
      </c>
      <c r="M133" s="13" t="s">
        <v>248</v>
      </c>
      <c r="N133" s="13" t="str">
        <f t="shared" si="631"/>
        <v>ChlrWtrCentPathBLt300tonQRatio_fTchwsTcwsSI</v>
      </c>
      <c r="O133" s="13" t="s">
        <v>165</v>
      </c>
      <c r="P133" s="13" t="s">
        <v>160</v>
      </c>
      <c r="Q133" s="13" t="s">
        <v>139</v>
      </c>
      <c r="R133" s="13" t="s">
        <v>140</v>
      </c>
      <c r="V133" s="122">
        <v>1.1550800000000001</v>
      </c>
      <c r="W133" s="122">
        <v>3.6502899999999998E-2</v>
      </c>
      <c r="X133" s="122">
        <v>-4.9928400000000001E-4</v>
      </c>
      <c r="Y133" s="122">
        <v>-1.4553000000000001E-3</v>
      </c>
      <c r="Z133" s="122">
        <v>-4.3901999999999998E-4</v>
      </c>
      <c r="AA133" s="122">
        <v>-1.72368E-4</v>
      </c>
      <c r="AG133" s="113">
        <f t="shared" si="622"/>
        <v>1.37</v>
      </c>
      <c r="AH133" s="113">
        <f t="shared" si="623"/>
        <v>0.86</v>
      </c>
      <c r="AI133" s="113">
        <f t="shared" si="476"/>
        <v>12.22</v>
      </c>
      <c r="AJ133" s="113">
        <f t="shared" si="500"/>
        <v>4.4400000000000004</v>
      </c>
      <c r="AK133" s="113">
        <f t="shared" si="477"/>
        <v>29.44</v>
      </c>
      <c r="AL133" s="113">
        <f t="shared" si="478"/>
        <v>15.56</v>
      </c>
      <c r="AO133" s="13">
        <f t="shared" si="633"/>
        <v>1</v>
      </c>
      <c r="AP133" s="120" t="str">
        <f t="shared" ref="AP133" si="694">IF(AO133=1,CONCATENATE(AQ133,AR133,AS133),"")</f>
        <v>CrvDblQuad     "ChlrWtrCentPathBLt300tonQRatio_fTchwsTcwsSI"                    Coef1 =  1.155080  Coef2 =  0.036503  Coef3 = -0.000499  Coef4 = -0.001455  Coef5 = -0.000439  Coef6 = -0.000172  _x000D_
                                                                                MaxOut = 1.370   MinOut = 0.860   MaxVar1 = 12.220   MinVar1 = 4.440   MaxVar2 = 29.440   MinVar2 = 15.560   _x000D_
..</v>
      </c>
      <c r="AQ133" s="120" t="str">
        <f t="shared" ref="AQ133" si="695">IF(AO133=1,CONCATENATE(AT133,AU133,AV133,AW133,IF(AX133="-","",$AX$15&amp;AX133),IF(AY133="-","",$AY$15&amp;AY133),IF(AZ133="-","",$AZ$15&amp;AZ133),IF(BA133="-","",$BA$15&amp;BA133),IF(BB133="-","",$BB$15&amp;BB133),IF(BC133="-","",$BC$15&amp;BC133)),"")</f>
        <v xml:space="preserve">CrvDblQuad     "ChlrWtrCentPathBLt300tonQRatio_fTchwsTcwsSI"                    Coef1 =  1.155080  Coef2 =  0.036503  Coef3 = -0.000499  Coef4 = -0.001455  Coef5 = -0.000439  Coef6 = -0.000172  </v>
      </c>
      <c r="AR133" s="120" t="str">
        <f t="shared" ref="AR133" si="696">IF(AO133=1,CONCATENATE(BD133,IF(BE133="-","",$BE$15&amp;BE133),IF(BF133="-","",$BF$15&amp;BF133),IF(BG133="-","",$BG$15&amp;BG133),IF(BH133="-","",$BH$15&amp;BH133),IF(BI133="-","",$BI$15&amp;BI133),IF(BJ133="-","",$BJ$15&amp;BJ133)),"")</f>
        <v xml:space="preserve">_x000D_
                                                                                MaxOut = 1.370   MinOut = 0.860   MaxVar1 = 12.220   MinVar1 = 4.440   MaxVar2 = 29.440   MinVar2 = 15.560   </v>
      </c>
      <c r="AS133" s="120" t="str">
        <f t="shared" ref="AS133" si="697">IF(AO133=1,CHAR(13)&amp;CHAR(10)&amp;"..","")</f>
        <v>_x000D_
..</v>
      </c>
      <c r="AT133" s="13" t="str">
        <f t="shared" ref="AT133" si="698">IF(AO133=1,VLOOKUP(O133,$AT$2:$AV$13,2,0),"")</f>
        <v>CrvDblQuad</v>
      </c>
      <c r="AU133" s="13" t="str">
        <f t="shared" si="425"/>
        <v xml:space="preserve">     </v>
      </c>
      <c r="AV133" s="13" t="str">
        <f t="shared" si="632"/>
        <v>"ChlrWtrCentPathBLt300tonQRatio_fTchwsTcwsSI"</v>
      </c>
      <c r="AW133" s="13" t="str">
        <f t="shared" ref="AW133" si="699">REPT(" ",$AW$14-LEN(AV133))</f>
        <v xml:space="preserve">                    </v>
      </c>
      <c r="AX133" s="13" t="str">
        <f t="shared" ref="AX133" si="700">IF($AO133=1,IF(ISBLANK(V133),"-",CONCATENATE(TEXT(V133," 0.000000;-0.000000"),"  ")),"")</f>
        <v xml:space="preserve"> 1.155080  </v>
      </c>
      <c r="AY133" s="13" t="str">
        <f t="shared" ref="AY133" si="701">IF($AO133=1,IF(ISBLANK(W133),"-",CONCATENATE(TEXT(W133," 0.000000;-0.000000"),"  ")),"")</f>
        <v xml:space="preserve"> 0.036503  </v>
      </c>
      <c r="AZ133" s="13" t="str">
        <f t="shared" ref="AZ133" si="702">IF($AO133=1,IF(ISBLANK(X133),"-",CONCATENATE(TEXT(X133," 0.000000;-0.000000"),"  ")),"")</f>
        <v xml:space="preserve">-0.000499  </v>
      </c>
      <c r="BA133" s="13" t="str">
        <f t="shared" ref="BA133" si="703">IF($AO133=1,IF(ISBLANK(Y133),"-",CONCATENATE(TEXT(Y133," 0.000000;-0.000000"),"  ")),"")</f>
        <v xml:space="preserve">-0.001455  </v>
      </c>
      <c r="BB133" s="13" t="str">
        <f t="shared" ref="BB133" si="704">IF($AO133=1,IF(ISBLANK(Z133),"-",CONCATENATE(TEXT(Z133," 0.000000;-0.000000"),"  ")),"")</f>
        <v xml:space="preserve">-0.000439  </v>
      </c>
      <c r="BC133" s="13" t="str">
        <f t="shared" ref="BC133" si="705">IF($AO133=1,IF(ISBLANK(AA133),"-",CONCATENATE(TEXT(AA133," 0.000000;-0.000000"),"  ")),"")</f>
        <v xml:space="preserve">-0.000172  </v>
      </c>
      <c r="BD133" s="13" t="str">
        <f t="shared" si="424"/>
        <v xml:space="preserve">_x000D_
                                                                                </v>
      </c>
      <c r="BE133" s="13" t="str">
        <f t="shared" si="625"/>
        <v xml:space="preserve">1.370   </v>
      </c>
      <c r="BF133" s="13" t="str">
        <f t="shared" si="626"/>
        <v xml:space="preserve">0.860   </v>
      </c>
      <c r="BG133" s="13" t="str">
        <f t="shared" si="627"/>
        <v xml:space="preserve">12.220   </v>
      </c>
      <c r="BH133" s="13" t="str">
        <f t="shared" si="628"/>
        <v xml:space="preserve">4.440   </v>
      </c>
      <c r="BI133" s="13" t="str">
        <f t="shared" si="629"/>
        <v xml:space="preserve">29.440   </v>
      </c>
      <c r="BJ133" s="13" t="str">
        <f t="shared" si="630"/>
        <v xml:space="preserve">15.560   </v>
      </c>
      <c r="BM133" s="46" t="str">
        <f t="shared" si="641"/>
        <v>Tchws</v>
      </c>
      <c r="BN133" s="46" t="str">
        <f t="shared" si="642"/>
        <v>Tcws</v>
      </c>
      <c r="BO133" s="119">
        <f>(BO132-32)/1.8</f>
        <v>6.6666666666666661</v>
      </c>
      <c r="BP133" s="119">
        <f>(BP132-32)/1.8</f>
        <v>29.444444444444443</v>
      </c>
      <c r="BQ133" s="119">
        <f t="shared" ref="BQ133" si="706">(BQ132-32)/1.8</f>
        <v>12.222222222222221</v>
      </c>
      <c r="BR133" s="119">
        <f t="shared" ref="BR133" si="707">(BR132-32)/1.8</f>
        <v>4.4444444444444446</v>
      </c>
      <c r="BS133" s="119">
        <f t="shared" ref="BS133" si="708">(BS132-32)/1.8</f>
        <v>29.444444444444443</v>
      </c>
      <c r="BT133" s="119">
        <f t="shared" ref="BT133" si="709">(BT132-32)/1.8</f>
        <v>15.555555555555555</v>
      </c>
      <c r="BU133" s="116">
        <f t="shared" si="643"/>
        <v>0.91893706666666697</v>
      </c>
      <c r="BV133" s="116">
        <f t="shared" si="660"/>
        <v>1.3650009555555558</v>
      </c>
      <c r="BW133" s="116">
        <f t="shared" si="661"/>
        <v>0.86142591111111133</v>
      </c>
      <c r="BX133" s="13" t="s">
        <v>729</v>
      </c>
    </row>
    <row r="134" spans="4:76" ht="28.8" hidden="1" outlineLevel="1" x14ac:dyDescent="0.3">
      <c r="E134" s="13" t="s">
        <v>369</v>
      </c>
      <c r="F134" s="22" t="s">
        <v>403</v>
      </c>
      <c r="G134" s="22" t="s">
        <v>576</v>
      </c>
      <c r="H134" s="13" t="s">
        <v>581</v>
      </c>
      <c r="I134" s="13" t="s">
        <v>659</v>
      </c>
      <c r="J134" s="13" t="s">
        <v>273</v>
      </c>
      <c r="K134" s="13" t="s">
        <v>156</v>
      </c>
      <c r="L134" s="22"/>
      <c r="N134" s="13" t="str">
        <f t="shared" si="631"/>
        <v>ChlrWtrCentPathBGtEql300Lt600tonQRatio_fTchwsTcwsIP</v>
      </c>
      <c r="O134" s="13" t="s">
        <v>165</v>
      </c>
      <c r="P134" s="13" t="s">
        <v>160</v>
      </c>
      <c r="Q134" s="13" t="s">
        <v>139</v>
      </c>
      <c r="R134" s="13" t="s">
        <v>140</v>
      </c>
      <c r="V134" s="123">
        <v>0.36395821345515</v>
      </c>
      <c r="W134" s="123">
        <v>4.5022276165276799E-2</v>
      </c>
      <c r="X134" s="123">
        <v>-2.7421752147293801E-4</v>
      </c>
      <c r="Y134" s="123">
        <v>-2.0279774560278399E-3</v>
      </c>
      <c r="Z134" s="123">
        <v>-8.8275407892004397E-5</v>
      </c>
      <c r="AA134" s="123">
        <v>-1.2166494630908699E-5</v>
      </c>
      <c r="AG134" s="113">
        <f t="shared" si="622"/>
        <v>1.52</v>
      </c>
      <c r="AH134" s="113">
        <f t="shared" si="623"/>
        <v>0.87</v>
      </c>
      <c r="AI134" s="113">
        <f t="shared" si="476"/>
        <v>54</v>
      </c>
      <c r="AJ134" s="113">
        <f t="shared" si="500"/>
        <v>40</v>
      </c>
      <c r="AK134" s="113">
        <f t="shared" si="477"/>
        <v>85</v>
      </c>
      <c r="AL134" s="113">
        <f t="shared" si="478"/>
        <v>60</v>
      </c>
      <c r="AO134" s="13">
        <f t="shared" si="633"/>
        <v>0</v>
      </c>
      <c r="AP134" s="120" t="str">
        <f t="shared" si="634"/>
        <v/>
      </c>
      <c r="AQ134" s="120" t="str">
        <f t="shared" si="635"/>
        <v/>
      </c>
      <c r="AR134" s="120" t="str">
        <f t="shared" si="636"/>
        <v/>
      </c>
      <c r="AS134" s="120" t="str">
        <f t="shared" si="637"/>
        <v/>
      </c>
      <c r="AT134" s="13" t="str">
        <f t="shared" si="638"/>
        <v/>
      </c>
      <c r="AU134" s="13" t="str">
        <f t="shared" si="425"/>
        <v xml:space="preserve">               </v>
      </c>
      <c r="AV134" s="13" t="str">
        <f t="shared" si="632"/>
        <v/>
      </c>
      <c r="AW134" s="13" t="str">
        <f t="shared" si="639"/>
        <v xml:space="preserve">                                                                 </v>
      </c>
      <c r="AX134" s="13" t="str">
        <f t="shared" si="640"/>
        <v/>
      </c>
      <c r="AY134" s="13" t="str">
        <f t="shared" si="640"/>
        <v/>
      </c>
      <c r="AZ134" s="13" t="str">
        <f t="shared" si="640"/>
        <v/>
      </c>
      <c r="BA134" s="13" t="str">
        <f t="shared" si="640"/>
        <v/>
      </c>
      <c r="BB134" s="13" t="str">
        <f t="shared" si="640"/>
        <v/>
      </c>
      <c r="BC134" s="13" t="str">
        <f t="shared" si="640"/>
        <v/>
      </c>
      <c r="BD134" s="13" t="str">
        <f t="shared" si="424"/>
        <v xml:space="preserve">_x000D_
                                                                                </v>
      </c>
      <c r="BE134" s="13" t="str">
        <f t="shared" si="625"/>
        <v/>
      </c>
      <c r="BF134" s="13" t="str">
        <f t="shared" si="626"/>
        <v/>
      </c>
      <c r="BG134" s="13" t="str">
        <f t="shared" si="627"/>
        <v/>
      </c>
      <c r="BH134" s="13" t="str">
        <f t="shared" si="628"/>
        <v/>
      </c>
      <c r="BI134" s="13" t="str">
        <f t="shared" si="629"/>
        <v/>
      </c>
      <c r="BJ134" s="13" t="str">
        <f t="shared" si="630"/>
        <v/>
      </c>
      <c r="BM134" s="13" t="str">
        <f t="shared" si="641"/>
        <v>Tchws</v>
      </c>
      <c r="BN134" s="13" t="str">
        <f t="shared" si="642"/>
        <v>Tcws</v>
      </c>
      <c r="BO134" s="13">
        <v>44</v>
      </c>
      <c r="BP134" s="13">
        <v>85</v>
      </c>
      <c r="BQ134" s="13">
        <v>54</v>
      </c>
      <c r="BR134" s="13">
        <v>40</v>
      </c>
      <c r="BS134" s="13">
        <v>85</v>
      </c>
      <c r="BT134" s="13">
        <v>60</v>
      </c>
      <c r="BU134" s="104">
        <f t="shared" si="643"/>
        <v>0.95838264745402468</v>
      </c>
      <c r="BV134" s="104">
        <f t="shared" si="660"/>
        <v>1.5166532753879793</v>
      </c>
      <c r="BW134" s="104">
        <f t="shared" si="661"/>
        <v>0.87456723818233351</v>
      </c>
      <c r="BX134" s="13" t="s">
        <v>729</v>
      </c>
    </row>
    <row r="135" spans="4:76" ht="28.8" hidden="1" outlineLevel="1" x14ac:dyDescent="0.3">
      <c r="E135" s="13" t="s">
        <v>369</v>
      </c>
      <c r="F135" s="22" t="s">
        <v>403</v>
      </c>
      <c r="G135" s="22" t="s">
        <v>576</v>
      </c>
      <c r="H135" s="13" t="s">
        <v>581</v>
      </c>
      <c r="I135" s="13" t="s">
        <v>660</v>
      </c>
      <c r="J135" s="13" t="s">
        <v>144</v>
      </c>
      <c r="L135" s="22" t="s">
        <v>202</v>
      </c>
      <c r="M135" s="13" t="s">
        <v>248</v>
      </c>
      <c r="N135" s="13" t="str">
        <f t="shared" si="631"/>
        <v>ChlrWtrCentPathBGtEql300Lt600tonQRatio_fTchwsTcwsSI</v>
      </c>
      <c r="O135" s="13" t="s">
        <v>165</v>
      </c>
      <c r="P135" s="13" t="s">
        <v>160</v>
      </c>
      <c r="Q135" s="13" t="s">
        <v>139</v>
      </c>
      <c r="R135" s="13" t="s">
        <v>140</v>
      </c>
      <c r="V135" s="123">
        <v>1.35608</v>
      </c>
      <c r="W135" s="123">
        <v>4.8749599999999997E-2</v>
      </c>
      <c r="X135" s="123">
        <v>-8.8840800000000004E-4</v>
      </c>
      <c r="Y135" s="123">
        <v>-1.45253E-2</v>
      </c>
      <c r="Z135" s="123">
        <v>-2.86092E-4</v>
      </c>
      <c r="AA135" s="123">
        <v>-3.9527999999999998E-5</v>
      </c>
      <c r="AG135" s="113">
        <f t="shared" si="622"/>
        <v>1.52</v>
      </c>
      <c r="AH135" s="113">
        <f t="shared" si="623"/>
        <v>0.87</v>
      </c>
      <c r="AI135" s="113">
        <f t="shared" si="476"/>
        <v>12.22</v>
      </c>
      <c r="AJ135" s="113">
        <f t="shared" si="500"/>
        <v>4.4400000000000004</v>
      </c>
      <c r="AK135" s="113">
        <f t="shared" si="477"/>
        <v>29.44</v>
      </c>
      <c r="AL135" s="113">
        <f t="shared" si="478"/>
        <v>15.56</v>
      </c>
      <c r="AO135" s="13">
        <f t="shared" si="633"/>
        <v>1</v>
      </c>
      <c r="AP135" s="120" t="str">
        <f t="shared" ref="AP135" si="710">IF(AO135=1,CONCATENATE(AQ135,AR135,AS135),"")</f>
        <v>CrvDblQuad     "ChlrWtrCentPathBGtEql300Lt600tonQRatio_fTchwsTcwsSI"            Coef1 =  1.356080  Coef2 =  0.048750  Coef3 = -0.000888  Coef4 = -0.014525  Coef5 = -0.000286  Coef6 = -0.000040  _x000D_
                                                                                MaxOut = 1.520   MinOut = 0.870   MaxVar1 = 12.220   MinVar1 = 4.440   MaxVar2 = 29.440   MinVar2 = 15.560   _x000D_
..</v>
      </c>
      <c r="AQ135" s="120" t="str">
        <f t="shared" ref="AQ135" si="711">IF(AO135=1,CONCATENATE(AT135,AU135,AV135,AW135,IF(AX135="-","",$AX$15&amp;AX135),IF(AY135="-","",$AY$15&amp;AY135),IF(AZ135="-","",$AZ$15&amp;AZ135),IF(BA135="-","",$BA$15&amp;BA135),IF(BB135="-","",$BB$15&amp;BB135),IF(BC135="-","",$BC$15&amp;BC135)),"")</f>
        <v xml:space="preserve">CrvDblQuad     "ChlrWtrCentPathBGtEql300Lt600tonQRatio_fTchwsTcwsSI"            Coef1 =  1.356080  Coef2 =  0.048750  Coef3 = -0.000888  Coef4 = -0.014525  Coef5 = -0.000286  Coef6 = -0.000040  </v>
      </c>
      <c r="AR135" s="120" t="str">
        <f t="shared" ref="AR135" si="712">IF(AO135=1,CONCATENATE(BD135,IF(BE135="-","",$BE$15&amp;BE135),IF(BF135="-","",$BF$15&amp;BF135),IF(BG135="-","",$BG$15&amp;BG135),IF(BH135="-","",$BH$15&amp;BH135),IF(BI135="-","",$BI$15&amp;BI135),IF(BJ135="-","",$BJ$15&amp;BJ135)),"")</f>
        <v xml:space="preserve">_x000D_
                                                                                MaxOut = 1.520   MinOut = 0.870   MaxVar1 = 12.220   MinVar1 = 4.440   MaxVar2 = 29.440   MinVar2 = 15.560   </v>
      </c>
      <c r="AS135" s="120" t="str">
        <f t="shared" ref="AS135" si="713">IF(AO135=1,CHAR(13)&amp;CHAR(10)&amp;"..","")</f>
        <v>_x000D_
..</v>
      </c>
      <c r="AT135" s="13" t="str">
        <f t="shared" ref="AT135" si="714">IF(AO135=1,VLOOKUP(O135,$AT$2:$AV$13,2,0),"")</f>
        <v>CrvDblQuad</v>
      </c>
      <c r="AU135" s="13" t="str">
        <f t="shared" si="425"/>
        <v xml:space="preserve">     </v>
      </c>
      <c r="AV135" s="13" t="str">
        <f t="shared" si="632"/>
        <v>"ChlrWtrCentPathBGtEql300Lt600tonQRatio_fTchwsTcwsSI"</v>
      </c>
      <c r="AW135" s="13" t="str">
        <f t="shared" ref="AW135" si="715">REPT(" ",$AW$14-LEN(AV135))</f>
        <v xml:space="preserve">            </v>
      </c>
      <c r="AX135" s="13" t="str">
        <f t="shared" ref="AX135" si="716">IF($AO135=1,IF(ISBLANK(V135),"-",CONCATENATE(TEXT(V135," 0.000000;-0.000000"),"  ")),"")</f>
        <v xml:space="preserve"> 1.356080  </v>
      </c>
      <c r="AY135" s="13" t="str">
        <f t="shared" ref="AY135" si="717">IF($AO135=1,IF(ISBLANK(W135),"-",CONCATENATE(TEXT(W135," 0.000000;-0.000000"),"  ")),"")</f>
        <v xml:space="preserve"> 0.048750  </v>
      </c>
      <c r="AZ135" s="13" t="str">
        <f t="shared" ref="AZ135" si="718">IF($AO135=1,IF(ISBLANK(X135),"-",CONCATENATE(TEXT(X135," 0.000000;-0.000000"),"  ")),"")</f>
        <v xml:space="preserve">-0.000888  </v>
      </c>
      <c r="BA135" s="13" t="str">
        <f t="shared" ref="BA135" si="719">IF($AO135=1,IF(ISBLANK(Y135),"-",CONCATENATE(TEXT(Y135," 0.000000;-0.000000"),"  ")),"")</f>
        <v xml:space="preserve">-0.014525  </v>
      </c>
      <c r="BB135" s="13" t="str">
        <f t="shared" ref="BB135" si="720">IF($AO135=1,IF(ISBLANK(Z135),"-",CONCATENATE(TEXT(Z135," 0.000000;-0.000000"),"  ")),"")</f>
        <v xml:space="preserve">-0.000286  </v>
      </c>
      <c r="BC135" s="13" t="str">
        <f t="shared" ref="BC135" si="721">IF($AO135=1,IF(ISBLANK(AA135),"-",CONCATENATE(TEXT(AA135," 0.000000;-0.000000"),"  ")),"")</f>
        <v xml:space="preserve">-0.000040  </v>
      </c>
      <c r="BD135" s="13" t="str">
        <f t="shared" si="424"/>
        <v xml:space="preserve">_x000D_
                                                                                </v>
      </c>
      <c r="BE135" s="13" t="str">
        <f t="shared" si="625"/>
        <v xml:space="preserve">1.520   </v>
      </c>
      <c r="BF135" s="13" t="str">
        <f t="shared" si="626"/>
        <v xml:space="preserve">0.870   </v>
      </c>
      <c r="BG135" s="13" t="str">
        <f t="shared" si="627"/>
        <v xml:space="preserve">12.220   </v>
      </c>
      <c r="BH135" s="13" t="str">
        <f t="shared" si="628"/>
        <v xml:space="preserve">4.440   </v>
      </c>
      <c r="BI135" s="13" t="str">
        <f t="shared" si="629"/>
        <v xml:space="preserve">29.440   </v>
      </c>
      <c r="BJ135" s="13" t="str">
        <f t="shared" si="630"/>
        <v xml:space="preserve">15.560   </v>
      </c>
      <c r="BM135" s="13" t="str">
        <f t="shared" si="641"/>
        <v>Tchws</v>
      </c>
      <c r="BN135" s="13" t="str">
        <f t="shared" si="642"/>
        <v>Tcws</v>
      </c>
      <c r="BO135" s="118">
        <f>(BO134-32)/1.8</f>
        <v>6.6666666666666661</v>
      </c>
      <c r="BP135" s="118">
        <f>(BP134-32)/1.8</f>
        <v>29.444444444444443</v>
      </c>
      <c r="BQ135" s="118">
        <f t="shared" ref="BQ135" si="722">(BQ134-32)/1.8</f>
        <v>12.222222222222221</v>
      </c>
      <c r="BR135" s="118">
        <f t="shared" ref="BR135" si="723">(BR134-32)/1.8</f>
        <v>4.4444444444444446</v>
      </c>
      <c r="BS135" s="118">
        <f t="shared" ref="BS135" si="724">(BS134-32)/1.8</f>
        <v>29.444444444444443</v>
      </c>
      <c r="BT135" s="118">
        <f t="shared" ref="BT135" si="725">(BT134-32)/1.8</f>
        <v>15.555555555555555</v>
      </c>
      <c r="BU135" s="104">
        <f t="shared" si="643"/>
        <v>0.95810924444444445</v>
      </c>
      <c r="BV135" s="104">
        <f t="shared" si="660"/>
        <v>1.5165041333333331</v>
      </c>
      <c r="BW135" s="104">
        <f t="shared" si="661"/>
        <v>0.87429920000000017</v>
      </c>
      <c r="BX135" s="13" t="s">
        <v>729</v>
      </c>
    </row>
    <row r="136" spans="4:76" hidden="1" outlineLevel="1" x14ac:dyDescent="0.3">
      <c r="E136" s="13" t="s">
        <v>369</v>
      </c>
      <c r="F136" s="22" t="s">
        <v>403</v>
      </c>
      <c r="G136" s="22" t="s">
        <v>606</v>
      </c>
      <c r="H136" s="13" t="s">
        <v>580</v>
      </c>
      <c r="I136" s="13" t="s">
        <v>659</v>
      </c>
      <c r="J136" s="13" t="s">
        <v>273</v>
      </c>
      <c r="K136" s="13" t="s">
        <v>156</v>
      </c>
      <c r="L136" s="22"/>
      <c r="N136" s="13" t="str">
        <f t="shared" si="631"/>
        <v>ChlrWtrCentPathBGtEql600tonQRatio_fTchwsTcwsIP</v>
      </c>
      <c r="O136" s="13" t="s">
        <v>165</v>
      </c>
      <c r="P136" s="13" t="s">
        <v>160</v>
      </c>
      <c r="Q136" s="13" t="s">
        <v>139</v>
      </c>
      <c r="R136" s="13" t="s">
        <v>140</v>
      </c>
      <c r="V136" s="33">
        <v>-0.45520399727053701</v>
      </c>
      <c r="W136" s="33">
        <v>3.1346921461632898E-2</v>
      </c>
      <c r="X136" s="33">
        <v>-5.7149639794407101E-5</v>
      </c>
      <c r="Y136" s="33">
        <v>2.0383058223711802E-2</v>
      </c>
      <c r="Z136" s="33">
        <v>-1.5341221966966699E-4</v>
      </c>
      <c r="AA136" s="33">
        <v>-1.2709301316402401E-4</v>
      </c>
      <c r="AG136" s="113">
        <f t="shared" si="622"/>
        <v>1.33</v>
      </c>
      <c r="AH136" s="113">
        <f t="shared" si="623"/>
        <v>0.9</v>
      </c>
      <c r="AI136" s="113">
        <f t="shared" si="476"/>
        <v>54</v>
      </c>
      <c r="AJ136" s="113">
        <f t="shared" si="500"/>
        <v>40</v>
      </c>
      <c r="AK136" s="113">
        <f t="shared" si="477"/>
        <v>85</v>
      </c>
      <c r="AL136" s="113">
        <f t="shared" si="478"/>
        <v>60</v>
      </c>
      <c r="AO136" s="13">
        <f t="shared" si="633"/>
        <v>0</v>
      </c>
      <c r="AP136" s="120" t="str">
        <f t="shared" si="634"/>
        <v/>
      </c>
      <c r="AQ136" s="120" t="str">
        <f t="shared" si="635"/>
        <v/>
      </c>
      <c r="AR136" s="120" t="str">
        <f t="shared" si="636"/>
        <v/>
      </c>
      <c r="AS136" s="120" t="str">
        <f t="shared" si="637"/>
        <v/>
      </c>
      <c r="AT136" s="13" t="str">
        <f t="shared" si="638"/>
        <v/>
      </c>
      <c r="AU136" s="13" t="str">
        <f t="shared" si="425"/>
        <v xml:space="preserve">               </v>
      </c>
      <c r="AV136" s="13" t="str">
        <f t="shared" si="632"/>
        <v/>
      </c>
      <c r="AW136" s="13" t="str">
        <f t="shared" si="639"/>
        <v xml:space="preserve">                                                                 </v>
      </c>
      <c r="AX136" s="13" t="str">
        <f t="shared" si="640"/>
        <v/>
      </c>
      <c r="AY136" s="13" t="str">
        <f t="shared" si="640"/>
        <v/>
      </c>
      <c r="AZ136" s="13" t="str">
        <f t="shared" si="640"/>
        <v/>
      </c>
      <c r="BA136" s="13" t="str">
        <f t="shared" si="640"/>
        <v/>
      </c>
      <c r="BB136" s="13" t="str">
        <f t="shared" si="640"/>
        <v/>
      </c>
      <c r="BC136" s="13" t="str">
        <f t="shared" si="640"/>
        <v/>
      </c>
      <c r="BD136" s="13" t="str">
        <f t="shared" si="424"/>
        <v xml:space="preserve">_x000D_
                                                                                </v>
      </c>
      <c r="BE136" s="13" t="str">
        <f t="shared" si="625"/>
        <v/>
      </c>
      <c r="BF136" s="13" t="str">
        <f t="shared" si="626"/>
        <v/>
      </c>
      <c r="BG136" s="13" t="str">
        <f t="shared" si="627"/>
        <v/>
      </c>
      <c r="BH136" s="13" t="str">
        <f t="shared" si="628"/>
        <v/>
      </c>
      <c r="BI136" s="13" t="str">
        <f t="shared" si="629"/>
        <v/>
      </c>
      <c r="BJ136" s="13" t="str">
        <f t="shared" si="630"/>
        <v/>
      </c>
      <c r="BM136" s="13" t="str">
        <f t="shared" si="641"/>
        <v>Tchws</v>
      </c>
      <c r="BN136" s="13" t="str">
        <f t="shared" si="642"/>
        <v>Tcws</v>
      </c>
      <c r="BO136" s="13">
        <v>44</v>
      </c>
      <c r="BP136" s="13">
        <v>85</v>
      </c>
      <c r="BQ136" s="13">
        <v>54</v>
      </c>
      <c r="BR136" s="13">
        <v>40</v>
      </c>
      <c r="BS136" s="13">
        <v>85</v>
      </c>
      <c r="BT136" s="13">
        <v>60</v>
      </c>
      <c r="BU136" s="104">
        <f t="shared" si="643"/>
        <v>0.9622476370680475</v>
      </c>
      <c r="BV136" s="104">
        <f t="shared" si="660"/>
        <v>1.3297995519776178</v>
      </c>
      <c r="BW136" s="104">
        <f t="shared" si="661"/>
        <v>0.89927385466820509</v>
      </c>
      <c r="BX136" s="13" t="s">
        <v>729</v>
      </c>
    </row>
    <row r="137" spans="4:76" hidden="1" outlineLevel="1" x14ac:dyDescent="0.3">
      <c r="E137" s="13" t="s">
        <v>369</v>
      </c>
      <c r="F137" s="22" t="s">
        <v>403</v>
      </c>
      <c r="G137" s="22" t="s">
        <v>606</v>
      </c>
      <c r="H137" s="13" t="s">
        <v>580</v>
      </c>
      <c r="I137" s="13" t="s">
        <v>660</v>
      </c>
      <c r="J137" s="13" t="s">
        <v>144</v>
      </c>
      <c r="L137" s="22" t="s">
        <v>202</v>
      </c>
      <c r="M137" s="13" t="s">
        <v>248</v>
      </c>
      <c r="N137" s="13" t="str">
        <f t="shared" si="631"/>
        <v>ChlrWtrCentPathBGtEql600tonQRatio_fTchwsTcwsSI</v>
      </c>
      <c r="O137" s="13" t="s">
        <v>165</v>
      </c>
      <c r="P137" s="13" t="s">
        <v>160</v>
      </c>
      <c r="Q137" s="13" t="s">
        <v>139</v>
      </c>
      <c r="R137" s="13" t="s">
        <v>140</v>
      </c>
      <c r="V137" s="33">
        <v>0.85445400000000005</v>
      </c>
      <c r="W137" s="33">
        <v>4.2525500000000001E-2</v>
      </c>
      <c r="X137" s="33">
        <v>-1.8500400000000001E-4</v>
      </c>
      <c r="Y137" s="33">
        <v>1.16969E-2</v>
      </c>
      <c r="Z137" s="33">
        <v>-4.9701599999999997E-4</v>
      </c>
      <c r="AA137" s="33">
        <v>-4.1180399999999999E-4</v>
      </c>
      <c r="AG137" s="113">
        <f t="shared" si="622"/>
        <v>1.33</v>
      </c>
      <c r="AH137" s="113">
        <f t="shared" si="623"/>
        <v>0.9</v>
      </c>
      <c r="AI137" s="113">
        <f t="shared" si="476"/>
        <v>12.22</v>
      </c>
      <c r="AJ137" s="113">
        <f t="shared" si="500"/>
        <v>4.4400000000000004</v>
      </c>
      <c r="AK137" s="113">
        <f t="shared" si="477"/>
        <v>29.44</v>
      </c>
      <c r="AL137" s="113">
        <f t="shared" si="478"/>
        <v>15.56</v>
      </c>
      <c r="AO137" s="13">
        <f t="shared" si="633"/>
        <v>1</v>
      </c>
      <c r="AP137" s="120" t="str">
        <f t="shared" ref="AP137" si="726">IF(AO137=1,CONCATENATE(AQ137,AR137,AS137),"")</f>
        <v>CrvDblQuad     "ChlrWtrCentPathBGtEql600tonQRatio_fTchwsTcwsSI"                 Coef1 =  0.854454  Coef2 =  0.042526  Coef3 = -0.000185  Coef4 =  0.011697  Coef5 = -0.000497  Coef6 = -0.000412  _x000D_
                                                                                MaxOut = 1.330   MinOut = 0.900   MaxVar1 = 12.220   MinVar1 = 4.440   MaxVar2 = 29.440   MinVar2 = 15.560   _x000D_
..</v>
      </c>
      <c r="AQ137" s="120" t="str">
        <f t="shared" ref="AQ137" si="727">IF(AO137=1,CONCATENATE(AT137,AU137,AV137,AW137,IF(AX137="-","",$AX$15&amp;AX137),IF(AY137="-","",$AY$15&amp;AY137),IF(AZ137="-","",$AZ$15&amp;AZ137),IF(BA137="-","",$BA$15&amp;BA137),IF(BB137="-","",$BB$15&amp;BB137),IF(BC137="-","",$BC$15&amp;BC137)),"")</f>
        <v xml:space="preserve">CrvDblQuad     "ChlrWtrCentPathBGtEql600tonQRatio_fTchwsTcwsSI"                 Coef1 =  0.854454  Coef2 =  0.042526  Coef3 = -0.000185  Coef4 =  0.011697  Coef5 = -0.000497  Coef6 = -0.000412  </v>
      </c>
      <c r="AR137" s="120" t="str">
        <f t="shared" ref="AR137" si="728">IF(AO137=1,CONCATENATE(BD137,IF(BE137="-","",$BE$15&amp;BE137),IF(BF137="-","",$BF$15&amp;BF137),IF(BG137="-","",$BG$15&amp;BG137),IF(BH137="-","",$BH$15&amp;BH137),IF(BI137="-","",$BI$15&amp;BI137),IF(BJ137="-","",$BJ$15&amp;BJ137)),"")</f>
        <v xml:space="preserve">_x000D_
                                                                                MaxOut = 1.330   MinOut = 0.900   MaxVar1 = 12.220   MinVar1 = 4.440   MaxVar2 = 29.440   MinVar2 = 15.560   </v>
      </c>
      <c r="AS137" s="120" t="str">
        <f t="shared" ref="AS137" si="729">IF(AO137=1,CHAR(13)&amp;CHAR(10)&amp;"..","")</f>
        <v>_x000D_
..</v>
      </c>
      <c r="AT137" s="13" t="str">
        <f t="shared" ref="AT137" si="730">IF(AO137=1,VLOOKUP(O137,$AT$2:$AV$13,2,0),"")</f>
        <v>CrvDblQuad</v>
      </c>
      <c r="AU137" s="13" t="str">
        <f t="shared" si="425"/>
        <v xml:space="preserve">     </v>
      </c>
      <c r="AV137" s="13" t="str">
        <f t="shared" si="632"/>
        <v>"ChlrWtrCentPathBGtEql600tonQRatio_fTchwsTcwsSI"</v>
      </c>
      <c r="AW137" s="13" t="str">
        <f t="shared" ref="AW137" si="731">REPT(" ",$AW$14-LEN(AV137))</f>
        <v xml:space="preserve">                 </v>
      </c>
      <c r="AX137" s="13" t="str">
        <f t="shared" ref="AX137" si="732">IF($AO137=1,IF(ISBLANK(V137),"-",CONCATENATE(TEXT(V137," 0.000000;-0.000000"),"  ")),"")</f>
        <v xml:space="preserve"> 0.854454  </v>
      </c>
      <c r="AY137" s="13" t="str">
        <f t="shared" ref="AY137" si="733">IF($AO137=1,IF(ISBLANK(W137),"-",CONCATENATE(TEXT(W137," 0.000000;-0.000000"),"  ")),"")</f>
        <v xml:space="preserve"> 0.042526  </v>
      </c>
      <c r="AZ137" s="13" t="str">
        <f t="shared" ref="AZ137" si="734">IF($AO137=1,IF(ISBLANK(X137),"-",CONCATENATE(TEXT(X137," 0.000000;-0.000000"),"  ")),"")</f>
        <v xml:space="preserve">-0.000185  </v>
      </c>
      <c r="BA137" s="13" t="str">
        <f t="shared" ref="BA137" si="735">IF($AO137=1,IF(ISBLANK(Y137),"-",CONCATENATE(TEXT(Y137," 0.000000;-0.000000"),"  ")),"")</f>
        <v xml:space="preserve"> 0.011697  </v>
      </c>
      <c r="BB137" s="13" t="str">
        <f t="shared" ref="BB137" si="736">IF($AO137=1,IF(ISBLANK(Z137),"-",CONCATENATE(TEXT(Z137," 0.000000;-0.000000"),"  ")),"")</f>
        <v xml:space="preserve">-0.000497  </v>
      </c>
      <c r="BC137" s="13" t="str">
        <f t="shared" ref="BC137" si="737">IF($AO137=1,IF(ISBLANK(AA137),"-",CONCATENATE(TEXT(AA137," 0.000000;-0.000000"),"  ")),"")</f>
        <v xml:space="preserve">-0.000412  </v>
      </c>
      <c r="BD137" s="13" t="str">
        <f t="shared" si="424"/>
        <v xml:space="preserve">_x000D_
                                                                                </v>
      </c>
      <c r="BE137" s="13" t="str">
        <f t="shared" si="625"/>
        <v xml:space="preserve">1.330   </v>
      </c>
      <c r="BF137" s="13" t="str">
        <f t="shared" si="626"/>
        <v xml:space="preserve">0.900   </v>
      </c>
      <c r="BG137" s="13" t="str">
        <f t="shared" si="627"/>
        <v xml:space="preserve">12.220   </v>
      </c>
      <c r="BH137" s="13" t="str">
        <f t="shared" si="628"/>
        <v xml:space="preserve">4.440   </v>
      </c>
      <c r="BI137" s="13" t="str">
        <f t="shared" si="629"/>
        <v xml:space="preserve">29.440   </v>
      </c>
      <c r="BJ137" s="13" t="str">
        <f t="shared" si="630"/>
        <v xml:space="preserve">15.560   </v>
      </c>
      <c r="BM137" s="13" t="str">
        <f t="shared" si="641"/>
        <v>Tchws</v>
      </c>
      <c r="BN137" s="13" t="str">
        <f t="shared" si="642"/>
        <v>Tcws</v>
      </c>
      <c r="BO137" s="118">
        <f>(BO136-32)/1.8</f>
        <v>6.6666666666666661</v>
      </c>
      <c r="BP137" s="118">
        <f>(BP136-32)/1.8</f>
        <v>29.444444444444443</v>
      </c>
      <c r="BQ137" s="118">
        <f t="shared" ref="BQ137" si="738">(BQ136-32)/1.8</f>
        <v>12.222222222222221</v>
      </c>
      <c r="BR137" s="118">
        <f t="shared" ref="BR137" si="739">(BR136-32)/1.8</f>
        <v>4.4444444444444446</v>
      </c>
      <c r="BS137" s="118">
        <f t="shared" ref="BS137" si="740">(BS136-32)/1.8</f>
        <v>29.444444444444443</v>
      </c>
      <c r="BT137" s="118">
        <f t="shared" ref="BT137" si="741">(BT136-32)/1.8</f>
        <v>15.555555555555555</v>
      </c>
      <c r="BU137" s="104">
        <f t="shared" si="643"/>
        <v>0.96240745555555585</v>
      </c>
      <c r="BV137" s="104">
        <f t="shared" si="660"/>
        <v>1.3299662888888888</v>
      </c>
      <c r="BW137" s="104">
        <f t="shared" si="661"/>
        <v>0.89941954444444461</v>
      </c>
      <c r="BX137" s="13" t="s">
        <v>729</v>
      </c>
    </row>
    <row r="138" spans="4:76" ht="28.8" hidden="1" outlineLevel="1" x14ac:dyDescent="0.3">
      <c r="D138" s="22" t="s">
        <v>371</v>
      </c>
      <c r="E138" s="13" t="s">
        <v>369</v>
      </c>
      <c r="F138" s="22" t="s">
        <v>411</v>
      </c>
      <c r="G138" s="22" t="s">
        <v>573</v>
      </c>
      <c r="H138" s="13" t="s">
        <v>571</v>
      </c>
      <c r="I138" s="13" t="s">
        <v>659</v>
      </c>
      <c r="J138" s="13" t="s">
        <v>273</v>
      </c>
      <c r="K138" s="13" t="s">
        <v>157</v>
      </c>
      <c r="L138" s="22"/>
      <c r="N138" s="13" t="str">
        <f t="shared" si="631"/>
        <v>ChlrWtrPosDispPathAAllEIRRatio_fTchwsTcwsIP</v>
      </c>
      <c r="O138" s="13" t="s">
        <v>165</v>
      </c>
      <c r="P138" s="13" t="s">
        <v>288</v>
      </c>
      <c r="Q138" s="13" t="s">
        <v>139</v>
      </c>
      <c r="R138" s="13" t="s">
        <v>140</v>
      </c>
      <c r="V138" s="122">
        <v>0.71399200212462999</v>
      </c>
      <c r="W138" s="122">
        <v>-6.1932559098847101E-3</v>
      </c>
      <c r="X138" s="122">
        <v>1.4909517640353701E-4</v>
      </c>
      <c r="Y138" s="122">
        <v>3.0655298715052399E-3</v>
      </c>
      <c r="Z138" s="122">
        <v>1.67869430612176E-4</v>
      </c>
      <c r="AA138" s="122">
        <v>-2.66796461498629E-4</v>
      </c>
      <c r="AG138" s="113">
        <f t="shared" si="622"/>
        <v>1.27</v>
      </c>
      <c r="AH138" s="113">
        <f t="shared" si="623"/>
        <v>0.74</v>
      </c>
      <c r="AI138" s="113">
        <f t="shared" si="476"/>
        <v>54</v>
      </c>
      <c r="AJ138" s="113">
        <f t="shared" si="500"/>
        <v>40</v>
      </c>
      <c r="AK138" s="113">
        <f t="shared" si="477"/>
        <v>85</v>
      </c>
      <c r="AL138" s="113">
        <f t="shared" si="478"/>
        <v>60</v>
      </c>
      <c r="AO138" s="13">
        <f t="shared" si="633"/>
        <v>0</v>
      </c>
      <c r="AP138" s="120" t="str">
        <f t="shared" ref="AP138:AP148" si="742">IF(AO138=1,CONCATENATE(AQ138,AR138,AS138),"")</f>
        <v/>
      </c>
      <c r="AQ138" s="120" t="str">
        <f t="shared" si="635"/>
        <v/>
      </c>
      <c r="AR138" s="120" t="str">
        <f t="shared" ref="AR138:AR148" si="743">IF(AO138=1,CONCATENATE(BD138,IF(BE138="-","",$BE$15&amp;BE138),IF(BF138="-","",$BF$15&amp;BF138),IF(BG138="-","",$BG$15&amp;BG138),IF(BH138="-","",$BH$15&amp;BH138),IF(BI138="-","",$BI$15&amp;BI138),IF(BJ138="-","",$BJ$15&amp;BJ138)),"")</f>
        <v/>
      </c>
      <c r="AS138" s="120" t="str">
        <f t="shared" ref="AS138:AS148" si="744">IF(AO138=1,CHAR(13)&amp;CHAR(10)&amp;"..","")</f>
        <v/>
      </c>
      <c r="AT138" s="13" t="str">
        <f t="shared" ref="AT138:AT148" si="745">IF(AO138=1,VLOOKUP(O138,$AT$2:$AV$13,2,0),"")</f>
        <v/>
      </c>
      <c r="AU138" s="13" t="str">
        <f t="shared" si="425"/>
        <v xml:space="preserve">               </v>
      </c>
      <c r="AV138" s="13" t="str">
        <f t="shared" si="632"/>
        <v/>
      </c>
      <c r="AW138" s="13" t="str">
        <f t="shared" ref="AW138:AW148" si="746">REPT(" ",$AW$14-LEN(AV138))</f>
        <v xml:space="preserve">                                                                 </v>
      </c>
      <c r="AX138" s="13" t="str">
        <f t="shared" ref="AX138:BC148" si="747">IF($AO138=1,IF(ISBLANK(V138),"-",CONCATENATE(TEXT(V138," 0.000000;-0.000000"),"  ")),"")</f>
        <v/>
      </c>
      <c r="AY138" s="13" t="str">
        <f t="shared" si="747"/>
        <v/>
      </c>
      <c r="AZ138" s="13" t="str">
        <f t="shared" si="747"/>
        <v/>
      </c>
      <c r="BA138" s="13" t="str">
        <f t="shared" si="747"/>
        <v/>
      </c>
      <c r="BB138" s="13" t="str">
        <f t="shared" si="747"/>
        <v/>
      </c>
      <c r="BC138" s="13" t="str">
        <f t="shared" si="747"/>
        <v/>
      </c>
      <c r="BD138" s="13" t="str">
        <f t="shared" si="424"/>
        <v xml:space="preserve">_x000D_
                                                                                </v>
      </c>
      <c r="BE138" s="13" t="str">
        <f t="shared" si="625"/>
        <v/>
      </c>
      <c r="BF138" s="13" t="str">
        <f t="shared" si="626"/>
        <v/>
      </c>
      <c r="BG138" s="13" t="str">
        <f t="shared" si="627"/>
        <v/>
      </c>
      <c r="BH138" s="13" t="str">
        <f t="shared" si="628"/>
        <v/>
      </c>
      <c r="BI138" s="13" t="str">
        <f t="shared" si="629"/>
        <v/>
      </c>
      <c r="BJ138" s="13" t="str">
        <f t="shared" si="630"/>
        <v/>
      </c>
      <c r="BM138" s="46" t="str">
        <f t="shared" si="641"/>
        <v>Tchws</v>
      </c>
      <c r="BN138" s="46" t="str">
        <f t="shared" si="642"/>
        <v>Tcws</v>
      </c>
      <c r="BO138" s="46">
        <v>44</v>
      </c>
      <c r="BP138" s="46">
        <v>85</v>
      </c>
      <c r="BQ138" s="46">
        <v>54</v>
      </c>
      <c r="BR138" s="46">
        <v>40</v>
      </c>
      <c r="BS138" s="46">
        <v>85</v>
      </c>
      <c r="BT138" s="46">
        <v>60</v>
      </c>
      <c r="BU138" s="116">
        <f t="shared" si="643"/>
        <v>1.2057449128529947</v>
      </c>
      <c r="BV138" s="116">
        <f>$V138+$W138*BR138+$X138*BR138^2+$Y138*BS138+$Z138*BS138^2+$AA138*BR138*BS138</f>
        <v>1.2711327541304791</v>
      </c>
      <c r="BW138" s="116">
        <f>$V138+$W138*BQ138+$X138*BQ138^2+$Y138*BT138+$Z138*BT138^2+$AA138*BQ138*BT138</f>
        <v>0.73815892462215971</v>
      </c>
      <c r="BX138" s="13" t="s">
        <v>729</v>
      </c>
    </row>
    <row r="139" spans="4:76" ht="28.8" hidden="1" outlineLevel="1" x14ac:dyDescent="0.3">
      <c r="E139" s="13" t="s">
        <v>369</v>
      </c>
      <c r="F139" s="22" t="s">
        <v>411</v>
      </c>
      <c r="G139" s="22" t="s">
        <v>573</v>
      </c>
      <c r="H139" s="13" t="s">
        <v>571</v>
      </c>
      <c r="I139" s="13" t="s">
        <v>660</v>
      </c>
      <c r="J139" s="13" t="s">
        <v>144</v>
      </c>
      <c r="L139" s="22" t="s">
        <v>202</v>
      </c>
      <c r="M139" s="13" t="s">
        <v>249</v>
      </c>
      <c r="N139" s="13" t="str">
        <f t="shared" si="631"/>
        <v>ChlrWtrPosDispPathAAllEIRRatio_fTchwsTcwsSI</v>
      </c>
      <c r="O139" s="13" t="s">
        <v>165</v>
      </c>
      <c r="P139" s="13" t="s">
        <v>288</v>
      </c>
      <c r="Q139" s="13" t="s">
        <v>139</v>
      </c>
      <c r="R139" s="13" t="s">
        <v>140</v>
      </c>
      <c r="V139" s="122">
        <v>0.66530699999999998</v>
      </c>
      <c r="W139" s="122">
        <v>-9.3393E-3</v>
      </c>
      <c r="X139" s="122">
        <v>4.83084E-4</v>
      </c>
      <c r="Y139" s="122">
        <v>9.4923000000000004E-3</v>
      </c>
      <c r="Z139" s="122">
        <v>5.4399600000000004E-4</v>
      </c>
      <c r="AA139" s="122">
        <v>-8.6443200000000005E-4</v>
      </c>
      <c r="AG139" s="113">
        <f t="shared" si="622"/>
        <v>1.27</v>
      </c>
      <c r="AH139" s="113">
        <f t="shared" si="623"/>
        <v>0.74</v>
      </c>
      <c r="AI139" s="113">
        <f t="shared" si="476"/>
        <v>12.22</v>
      </c>
      <c r="AJ139" s="113">
        <f t="shared" ref="AJ139:AJ161" si="748">IF(BR139&gt;0,ROUND(BR139,2),"")</f>
        <v>4.4400000000000004</v>
      </c>
      <c r="AK139" s="113">
        <f t="shared" si="477"/>
        <v>29.44</v>
      </c>
      <c r="AL139" s="113">
        <f t="shared" si="478"/>
        <v>15.56</v>
      </c>
      <c r="AO139" s="13">
        <f t="shared" si="633"/>
        <v>1</v>
      </c>
      <c r="AP139" s="120" t="str">
        <f t="shared" ref="AP139" si="749">IF(AO139=1,CONCATENATE(AQ139,AR139,AS139),"")</f>
        <v>CrvDblQuad     "ChlrWtrPosDispPathAAllEIRRatio_fTchwsTcwsSI"                    Coef1 =  0.665307  Coef2 = -0.009339  Coef3 =  0.000483  Coef4 =  0.009492  Coef5 =  0.000544  Coef6 = -0.000864  _x000D_
                                                                                MaxOut = 1.270   MinOut = 0.740   MaxVar1 = 12.220   MinVar1 = 4.440   MaxVar2 = 29.440   MinVar2 = 15.560   _x000D_
..</v>
      </c>
      <c r="AQ139" s="120" t="str">
        <f t="shared" ref="AQ139" si="750">IF(AO139=1,CONCATENATE(AT139,AU139,AV139,AW139,IF(AX139="-","",$AX$15&amp;AX139),IF(AY139="-","",$AY$15&amp;AY139),IF(AZ139="-","",$AZ$15&amp;AZ139),IF(BA139="-","",$BA$15&amp;BA139),IF(BB139="-","",$BB$15&amp;BB139),IF(BC139="-","",$BC$15&amp;BC139)),"")</f>
        <v xml:space="preserve">CrvDblQuad     "ChlrWtrPosDispPathAAllEIRRatio_fTchwsTcwsSI"                    Coef1 =  0.665307  Coef2 = -0.009339  Coef3 =  0.000483  Coef4 =  0.009492  Coef5 =  0.000544  Coef6 = -0.000864  </v>
      </c>
      <c r="AR139" s="120" t="str">
        <f t="shared" ref="AR139" si="751">IF(AO139=1,CONCATENATE(BD139,IF(BE139="-","",$BE$15&amp;BE139),IF(BF139="-","",$BF$15&amp;BF139),IF(BG139="-","",$BG$15&amp;BG139),IF(BH139="-","",$BH$15&amp;BH139),IF(BI139="-","",$BI$15&amp;BI139),IF(BJ139="-","",$BJ$15&amp;BJ139)),"")</f>
        <v xml:space="preserve">_x000D_
                                                                                MaxOut = 1.270   MinOut = 0.740   MaxVar1 = 12.220   MinVar1 = 4.440   MaxVar2 = 29.440   MinVar2 = 15.560   </v>
      </c>
      <c r="AS139" s="120" t="str">
        <f t="shared" ref="AS139" si="752">IF(AO139=1,CHAR(13)&amp;CHAR(10)&amp;"..","")</f>
        <v>_x000D_
..</v>
      </c>
      <c r="AT139" s="13" t="str">
        <f t="shared" ref="AT139" si="753">IF(AO139=1,VLOOKUP(O139,$AT$2:$AV$13,2,0),"")</f>
        <v>CrvDblQuad</v>
      </c>
      <c r="AU139" s="13" t="str">
        <f t="shared" si="425"/>
        <v xml:space="preserve">     </v>
      </c>
      <c r="AV139" s="13" t="str">
        <f t="shared" si="632"/>
        <v>"ChlrWtrPosDispPathAAllEIRRatio_fTchwsTcwsSI"</v>
      </c>
      <c r="AW139" s="13" t="str">
        <f t="shared" ref="AW139" si="754">REPT(" ",$AW$14-LEN(AV139))</f>
        <v xml:space="preserve">                    </v>
      </c>
      <c r="AX139" s="13" t="str">
        <f t="shared" ref="AX139" si="755">IF($AO139=1,IF(ISBLANK(V139),"-",CONCATENATE(TEXT(V139," 0.000000;-0.000000"),"  ")),"")</f>
        <v xml:space="preserve"> 0.665307  </v>
      </c>
      <c r="AY139" s="13" t="str">
        <f t="shared" ref="AY139" si="756">IF($AO139=1,IF(ISBLANK(W139),"-",CONCATENATE(TEXT(W139," 0.000000;-0.000000"),"  ")),"")</f>
        <v xml:space="preserve">-0.009339  </v>
      </c>
      <c r="AZ139" s="13" t="str">
        <f t="shared" ref="AZ139" si="757">IF($AO139=1,IF(ISBLANK(X139),"-",CONCATENATE(TEXT(X139," 0.000000;-0.000000"),"  ")),"")</f>
        <v xml:space="preserve"> 0.000483  </v>
      </c>
      <c r="BA139" s="13" t="str">
        <f t="shared" ref="BA139" si="758">IF($AO139=1,IF(ISBLANK(Y139),"-",CONCATENATE(TEXT(Y139," 0.000000;-0.000000"),"  ")),"")</f>
        <v xml:space="preserve"> 0.009492  </v>
      </c>
      <c r="BB139" s="13" t="str">
        <f t="shared" ref="BB139" si="759">IF($AO139=1,IF(ISBLANK(Z139),"-",CONCATENATE(TEXT(Z139," 0.000000;-0.000000"),"  ")),"")</f>
        <v xml:space="preserve"> 0.000544  </v>
      </c>
      <c r="BC139" s="13" t="str">
        <f t="shared" ref="BC139" si="760">IF($AO139=1,IF(ISBLANK(AA139),"-",CONCATENATE(TEXT(AA139," 0.000000;-0.000000"),"  ")),"")</f>
        <v xml:space="preserve">-0.000864  </v>
      </c>
      <c r="BD139" s="13" t="str">
        <f t="shared" si="424"/>
        <v xml:space="preserve">_x000D_
                                                                                </v>
      </c>
      <c r="BE139" s="13" t="str">
        <f t="shared" si="625"/>
        <v xml:space="preserve">1.270   </v>
      </c>
      <c r="BF139" s="13" t="str">
        <f t="shared" si="626"/>
        <v xml:space="preserve">0.740   </v>
      </c>
      <c r="BG139" s="13" t="str">
        <f t="shared" si="627"/>
        <v xml:space="preserve">12.220   </v>
      </c>
      <c r="BH139" s="13" t="str">
        <f t="shared" si="628"/>
        <v xml:space="preserve">4.440   </v>
      </c>
      <c r="BI139" s="13" t="str">
        <f t="shared" si="629"/>
        <v xml:space="preserve">29.440   </v>
      </c>
      <c r="BJ139" s="13" t="str">
        <f t="shared" si="630"/>
        <v xml:space="preserve">15.560   </v>
      </c>
      <c r="BM139" s="46" t="str">
        <f t="shared" si="641"/>
        <v>Tchws</v>
      </c>
      <c r="BN139" s="46" t="str">
        <f t="shared" si="642"/>
        <v>Tcws</v>
      </c>
      <c r="BO139" s="119">
        <f>(BO138-32)/1.8</f>
        <v>6.6666666666666661</v>
      </c>
      <c r="BP139" s="119">
        <f>(BP138-32)/1.8</f>
        <v>29.444444444444443</v>
      </c>
      <c r="BQ139" s="119">
        <f t="shared" ref="BQ139" si="761">(BQ138-32)/1.8</f>
        <v>12.222222222222221</v>
      </c>
      <c r="BR139" s="119">
        <f t="shared" ref="BR139" si="762">(BR138-32)/1.8</f>
        <v>4.4444444444444446</v>
      </c>
      <c r="BS139" s="119">
        <f t="shared" ref="BS139" si="763">(BS138-32)/1.8</f>
        <v>29.444444444444443</v>
      </c>
      <c r="BT139" s="119">
        <f t="shared" ref="BT139" si="764">(BT138-32)/1.8</f>
        <v>15.555555555555555</v>
      </c>
      <c r="BU139" s="116">
        <f t="shared" si="643"/>
        <v>1.2059572000000001</v>
      </c>
      <c r="BV139" s="116">
        <f t="shared" ref="BV139:BV149" si="765">$V139+$W139*BR139+$X139*BR139^2+$Y139*BS139+$Z139*BS139^2+$AA139*BR139*BS139</f>
        <v>1.2713448000000001</v>
      </c>
      <c r="BW139" s="116">
        <f t="shared" ref="BW139:BW149" si="766">$V139+$W139*BQ139+$X139*BQ139^2+$Y139*BT139+$Z139*BT139^2+$AA139*BQ139*BT139</f>
        <v>0.73826720000000012</v>
      </c>
      <c r="BX139" s="13" t="s">
        <v>729</v>
      </c>
    </row>
    <row r="140" spans="4:76" ht="28.8" hidden="1" outlineLevel="1" x14ac:dyDescent="0.3">
      <c r="E140" s="13" t="s">
        <v>369</v>
      </c>
      <c r="F140" s="22" t="s">
        <v>411</v>
      </c>
      <c r="G140" s="22" t="s">
        <v>574</v>
      </c>
      <c r="H140" s="13" t="s">
        <v>572</v>
      </c>
      <c r="I140" s="13" t="s">
        <v>659</v>
      </c>
      <c r="J140" s="13" t="s">
        <v>273</v>
      </c>
      <c r="K140" s="13" t="s">
        <v>157</v>
      </c>
      <c r="L140" s="22"/>
      <c r="N140" s="13" t="str">
        <f t="shared" si="631"/>
        <v>ChlrWtrCentPathAAllEIRRatio_fTchwsTcwsIP</v>
      </c>
      <c r="O140" s="13" t="s">
        <v>165</v>
      </c>
      <c r="P140" s="13" t="s">
        <v>288</v>
      </c>
      <c r="Q140" s="13" t="s">
        <v>139</v>
      </c>
      <c r="R140" s="13" t="s">
        <v>140</v>
      </c>
      <c r="V140" s="123">
        <v>1.1536154700000001</v>
      </c>
      <c r="W140" s="123">
        <v>-3.067901E-2</v>
      </c>
      <c r="X140" s="123">
        <v>3.0591E-4</v>
      </c>
      <c r="Y140" s="123">
        <v>6.7087400000000004E-3</v>
      </c>
      <c r="Z140" s="123">
        <v>5.2800000000000003E-5</v>
      </c>
      <c r="AA140" s="123">
        <v>-9.2969999999999999E-5</v>
      </c>
      <c r="AG140" s="113">
        <f t="shared" si="622"/>
        <v>1.05</v>
      </c>
      <c r="AH140" s="113">
        <f t="shared" si="623"/>
        <v>0.68</v>
      </c>
      <c r="AI140" s="113">
        <f t="shared" si="476"/>
        <v>54</v>
      </c>
      <c r="AJ140" s="113">
        <f t="shared" si="748"/>
        <v>40</v>
      </c>
      <c r="AK140" s="113">
        <f t="shared" si="477"/>
        <v>85</v>
      </c>
      <c r="AL140" s="113">
        <f t="shared" si="478"/>
        <v>60</v>
      </c>
      <c r="AO140" s="13">
        <f t="shared" si="633"/>
        <v>0</v>
      </c>
      <c r="AP140" s="120" t="str">
        <f t="shared" si="742"/>
        <v/>
      </c>
      <c r="AQ140" s="120" t="str">
        <f t="shared" si="635"/>
        <v/>
      </c>
      <c r="AR140" s="120" t="str">
        <f t="shared" si="743"/>
        <v/>
      </c>
      <c r="AS140" s="120" t="str">
        <f t="shared" si="744"/>
        <v/>
      </c>
      <c r="AT140" s="13" t="str">
        <f t="shared" si="745"/>
        <v/>
      </c>
      <c r="AU140" s="13" t="str">
        <f t="shared" si="425"/>
        <v xml:space="preserve">               </v>
      </c>
      <c r="AV140" s="13" t="str">
        <f t="shared" si="632"/>
        <v/>
      </c>
      <c r="AW140" s="13" t="str">
        <f t="shared" si="746"/>
        <v xml:space="preserve">                                                                 </v>
      </c>
      <c r="AX140" s="13" t="str">
        <f t="shared" si="747"/>
        <v/>
      </c>
      <c r="AY140" s="13" t="str">
        <f t="shared" si="747"/>
        <v/>
      </c>
      <c r="AZ140" s="13" t="str">
        <f t="shared" si="747"/>
        <v/>
      </c>
      <c r="BA140" s="13" t="str">
        <f t="shared" si="747"/>
        <v/>
      </c>
      <c r="BB140" s="13" t="str">
        <f t="shared" si="747"/>
        <v/>
      </c>
      <c r="BC140" s="13" t="str">
        <f t="shared" si="747"/>
        <v/>
      </c>
      <c r="BD140" s="13" t="str">
        <f t="shared" si="424"/>
        <v xml:space="preserve">_x000D_
                                                                                </v>
      </c>
      <c r="BE140" s="13" t="str">
        <f t="shared" si="625"/>
        <v/>
      </c>
      <c r="BF140" s="13" t="str">
        <f t="shared" si="626"/>
        <v/>
      </c>
      <c r="BG140" s="13" t="str">
        <f t="shared" si="627"/>
        <v/>
      </c>
      <c r="BH140" s="13" t="str">
        <f t="shared" si="628"/>
        <v/>
      </c>
      <c r="BI140" s="13" t="str">
        <f t="shared" si="629"/>
        <v/>
      </c>
      <c r="BJ140" s="13" t="str">
        <f t="shared" si="630"/>
        <v/>
      </c>
      <c r="BM140" s="13" t="str">
        <f t="shared" si="641"/>
        <v>Tchws</v>
      </c>
      <c r="BN140" s="13" t="str">
        <f t="shared" si="642"/>
        <v>Tcws</v>
      </c>
      <c r="BO140" s="13">
        <v>44</v>
      </c>
      <c r="BP140" s="13">
        <v>85</v>
      </c>
      <c r="BQ140" s="13">
        <v>54</v>
      </c>
      <c r="BR140" s="13">
        <v>40</v>
      </c>
      <c r="BS140" s="13">
        <v>85</v>
      </c>
      <c r="BT140" s="13">
        <v>60</v>
      </c>
      <c r="BU140" s="104">
        <f t="shared" si="643"/>
        <v>0.99999589000000011</v>
      </c>
      <c r="BV140" s="104">
        <f t="shared" si="765"/>
        <v>1.05153597</v>
      </c>
      <c r="BW140" s="104">
        <f t="shared" si="766"/>
        <v>0.68036409000000009</v>
      </c>
      <c r="BX140" s="13" t="s">
        <v>729</v>
      </c>
    </row>
    <row r="141" spans="4:76" ht="28.8" hidden="1" outlineLevel="1" x14ac:dyDescent="0.3">
      <c r="E141" s="13" t="s">
        <v>369</v>
      </c>
      <c r="F141" s="22" t="s">
        <v>411</v>
      </c>
      <c r="G141" s="22" t="s">
        <v>574</v>
      </c>
      <c r="H141" s="13" t="s">
        <v>572</v>
      </c>
      <c r="I141" s="13" t="s">
        <v>660</v>
      </c>
      <c r="J141" s="13" t="s">
        <v>144</v>
      </c>
      <c r="L141" s="22" t="s">
        <v>202</v>
      </c>
      <c r="M141" s="13" t="s">
        <v>249</v>
      </c>
      <c r="N141" s="13" t="str">
        <f t="shared" si="631"/>
        <v>ChlrWtrCentPathAAllEIRRatio_fTchwsTcwsSI</v>
      </c>
      <c r="O141" s="13" t="s">
        <v>165</v>
      </c>
      <c r="P141" s="13" t="s">
        <v>288</v>
      </c>
      <c r="Q141" s="13" t="s">
        <v>139</v>
      </c>
      <c r="R141" s="13" t="s">
        <v>140</v>
      </c>
      <c r="V141" s="123">
        <v>0.65864299999999998</v>
      </c>
      <c r="W141" s="123">
        <v>-2.5339299999999999E-2</v>
      </c>
      <c r="X141" s="123">
        <v>9.91116E-4</v>
      </c>
      <c r="Y141" s="123">
        <v>1.2801399999999999E-2</v>
      </c>
      <c r="Z141" s="123">
        <v>1.71072E-4</v>
      </c>
      <c r="AA141" s="123">
        <v>-3.0131999999999999E-4</v>
      </c>
      <c r="AG141" s="113">
        <f t="shared" si="622"/>
        <v>1.05</v>
      </c>
      <c r="AH141" s="113">
        <f t="shared" si="623"/>
        <v>0.68</v>
      </c>
      <c r="AI141" s="113">
        <f t="shared" si="476"/>
        <v>12.22</v>
      </c>
      <c r="AJ141" s="113">
        <f t="shared" si="748"/>
        <v>4.4400000000000004</v>
      </c>
      <c r="AK141" s="113">
        <f t="shared" si="477"/>
        <v>29.44</v>
      </c>
      <c r="AL141" s="113">
        <f t="shared" si="478"/>
        <v>15.56</v>
      </c>
      <c r="AO141" s="13">
        <f t="shared" si="633"/>
        <v>1</v>
      </c>
      <c r="AP141" s="120" t="str">
        <f t="shared" ref="AP141" si="767">IF(AO141=1,CONCATENATE(AQ141,AR141,AS141),"")</f>
        <v>CrvDblQuad     "ChlrWtrCentPathAAllEIRRatio_fTchwsTcwsSI"                       Coef1 =  0.658643  Coef2 = -0.025339  Coef3 =  0.000991  Coef4 =  0.012801  Coef5 =  0.000171  Coef6 = -0.000301  _x000D_
                                                                                MaxOut = 1.050   MinOut = 0.680   MaxVar1 = 12.220   MinVar1 = 4.440   MaxVar2 = 29.440   MinVar2 = 15.560   _x000D_
..</v>
      </c>
      <c r="AQ141" s="120" t="str">
        <f t="shared" ref="AQ141" si="768">IF(AO141=1,CONCATENATE(AT141,AU141,AV141,AW141,IF(AX141="-","",$AX$15&amp;AX141),IF(AY141="-","",$AY$15&amp;AY141),IF(AZ141="-","",$AZ$15&amp;AZ141),IF(BA141="-","",$BA$15&amp;BA141),IF(BB141="-","",$BB$15&amp;BB141),IF(BC141="-","",$BC$15&amp;BC141)),"")</f>
        <v xml:space="preserve">CrvDblQuad     "ChlrWtrCentPathAAllEIRRatio_fTchwsTcwsSI"                       Coef1 =  0.658643  Coef2 = -0.025339  Coef3 =  0.000991  Coef4 =  0.012801  Coef5 =  0.000171  Coef6 = -0.000301  </v>
      </c>
      <c r="AR141" s="120" t="str">
        <f t="shared" ref="AR141" si="769">IF(AO141=1,CONCATENATE(BD141,IF(BE141="-","",$BE$15&amp;BE141),IF(BF141="-","",$BF$15&amp;BF141),IF(BG141="-","",$BG$15&amp;BG141),IF(BH141="-","",$BH$15&amp;BH141),IF(BI141="-","",$BI$15&amp;BI141),IF(BJ141="-","",$BJ$15&amp;BJ141)),"")</f>
        <v xml:space="preserve">_x000D_
                                                                                MaxOut = 1.050   MinOut = 0.680   MaxVar1 = 12.220   MinVar1 = 4.440   MaxVar2 = 29.440   MinVar2 = 15.560   </v>
      </c>
      <c r="AS141" s="120" t="str">
        <f t="shared" ref="AS141" si="770">IF(AO141=1,CHAR(13)&amp;CHAR(10)&amp;"..","")</f>
        <v>_x000D_
..</v>
      </c>
      <c r="AT141" s="13" t="str">
        <f t="shared" ref="AT141" si="771">IF(AO141=1,VLOOKUP(O141,$AT$2:$AV$13,2,0),"")</f>
        <v>CrvDblQuad</v>
      </c>
      <c r="AU141" s="13" t="str">
        <f t="shared" si="425"/>
        <v xml:space="preserve">     </v>
      </c>
      <c r="AV141" s="13" t="str">
        <f t="shared" si="632"/>
        <v>"ChlrWtrCentPathAAllEIRRatio_fTchwsTcwsSI"</v>
      </c>
      <c r="AW141" s="13" t="str">
        <f t="shared" ref="AW141" si="772">REPT(" ",$AW$14-LEN(AV141))</f>
        <v xml:space="preserve">                       </v>
      </c>
      <c r="AX141" s="13" t="str">
        <f t="shared" ref="AX141" si="773">IF($AO141=1,IF(ISBLANK(V141),"-",CONCATENATE(TEXT(V141," 0.000000;-0.000000"),"  ")),"")</f>
        <v xml:space="preserve"> 0.658643  </v>
      </c>
      <c r="AY141" s="13" t="str">
        <f t="shared" ref="AY141" si="774">IF($AO141=1,IF(ISBLANK(W141),"-",CONCATENATE(TEXT(W141," 0.000000;-0.000000"),"  ")),"")</f>
        <v xml:space="preserve">-0.025339  </v>
      </c>
      <c r="AZ141" s="13" t="str">
        <f t="shared" ref="AZ141" si="775">IF($AO141=1,IF(ISBLANK(X141),"-",CONCATENATE(TEXT(X141," 0.000000;-0.000000"),"  ")),"")</f>
        <v xml:space="preserve"> 0.000991  </v>
      </c>
      <c r="BA141" s="13" t="str">
        <f t="shared" ref="BA141" si="776">IF($AO141=1,IF(ISBLANK(Y141),"-",CONCATENATE(TEXT(Y141," 0.000000;-0.000000"),"  ")),"")</f>
        <v xml:space="preserve"> 0.012801  </v>
      </c>
      <c r="BB141" s="13" t="str">
        <f t="shared" ref="BB141" si="777">IF($AO141=1,IF(ISBLANK(Z141),"-",CONCATENATE(TEXT(Z141," 0.000000;-0.000000"),"  ")),"")</f>
        <v xml:space="preserve"> 0.000171  </v>
      </c>
      <c r="BC141" s="13" t="str">
        <f t="shared" ref="BC141" si="778">IF($AO141=1,IF(ISBLANK(AA141),"-",CONCATENATE(TEXT(AA141," 0.000000;-0.000000"),"  ")),"")</f>
        <v xml:space="preserve">-0.000301  </v>
      </c>
      <c r="BD141" s="13" t="str">
        <f t="shared" si="424"/>
        <v xml:space="preserve">_x000D_
                                                                                </v>
      </c>
      <c r="BE141" s="13" t="str">
        <f t="shared" si="625"/>
        <v xml:space="preserve">1.050   </v>
      </c>
      <c r="BF141" s="13" t="str">
        <f t="shared" si="626"/>
        <v xml:space="preserve">0.680   </v>
      </c>
      <c r="BG141" s="13" t="str">
        <f t="shared" si="627"/>
        <v xml:space="preserve">12.220   </v>
      </c>
      <c r="BH141" s="13" t="str">
        <f t="shared" si="628"/>
        <v xml:space="preserve">4.440   </v>
      </c>
      <c r="BI141" s="13" t="str">
        <f t="shared" si="629"/>
        <v xml:space="preserve">29.440   </v>
      </c>
      <c r="BJ141" s="13" t="str">
        <f t="shared" si="630"/>
        <v xml:space="preserve">15.560   </v>
      </c>
      <c r="BM141" s="13" t="str">
        <f t="shared" si="641"/>
        <v>Tchws</v>
      </c>
      <c r="BN141" s="13" t="str">
        <f t="shared" si="642"/>
        <v>Tcws</v>
      </c>
      <c r="BO141" s="118">
        <f>(BO140-32)/1.8</f>
        <v>6.6666666666666661</v>
      </c>
      <c r="BP141" s="118">
        <f>(BP140-32)/1.8</f>
        <v>29.444444444444443</v>
      </c>
      <c r="BQ141" s="118">
        <f t="shared" ref="BQ141" si="779">(BQ140-32)/1.8</f>
        <v>12.222222222222221</v>
      </c>
      <c r="BR141" s="118">
        <f t="shared" ref="BR141" si="780">(BR140-32)/1.8</f>
        <v>4.4444444444444446</v>
      </c>
      <c r="BS141" s="118">
        <f t="shared" ref="BS141" si="781">(BS140-32)/1.8</f>
        <v>29.444444444444443</v>
      </c>
      <c r="BT141" s="118">
        <f t="shared" ref="BT141" si="782">(BT140-32)/1.8</f>
        <v>15.555555555555555</v>
      </c>
      <c r="BU141" s="104">
        <f t="shared" si="643"/>
        <v>0.99986124444444435</v>
      </c>
      <c r="BV141" s="104">
        <f t="shared" si="765"/>
        <v>1.0514148000000001</v>
      </c>
      <c r="BW141" s="104">
        <f t="shared" si="766"/>
        <v>0.68023613333333333</v>
      </c>
      <c r="BX141" s="13" t="s">
        <v>729</v>
      </c>
    </row>
    <row r="142" spans="4:76" ht="28.8" hidden="1" outlineLevel="1" x14ac:dyDescent="0.3">
      <c r="E142" s="13" t="s">
        <v>369</v>
      </c>
      <c r="F142" s="22" t="s">
        <v>411</v>
      </c>
      <c r="G142" s="22" t="s">
        <v>578</v>
      </c>
      <c r="H142" s="13" t="s">
        <v>577</v>
      </c>
      <c r="I142" s="13" t="s">
        <v>659</v>
      </c>
      <c r="J142" s="13" t="s">
        <v>273</v>
      </c>
      <c r="K142" s="13" t="s">
        <v>157</v>
      </c>
      <c r="L142" s="22"/>
      <c r="N142" s="13" t="str">
        <f t="shared" si="631"/>
        <v>ChlrWtrPosDispPathBAllEIRRatio_fTchwsTcwsIP</v>
      </c>
      <c r="O142" s="13" t="s">
        <v>165</v>
      </c>
      <c r="P142" s="13" t="s">
        <v>288</v>
      </c>
      <c r="Q142" s="13" t="s">
        <v>139</v>
      </c>
      <c r="R142" s="13" t="s">
        <v>140</v>
      </c>
      <c r="V142" s="33">
        <v>0.76680894421781154</v>
      </c>
      <c r="W142" s="33">
        <v>-2.4316835339511771E-2</v>
      </c>
      <c r="X142" s="33">
        <v>2.61965669323118E-4</v>
      </c>
      <c r="Y142" s="33">
        <v>7.4108876001356336E-3</v>
      </c>
      <c r="Z142" s="33">
        <v>1.1771518494669272E-4</v>
      </c>
      <c r="AA142" s="33">
        <v>-1.8202995620027876E-4</v>
      </c>
      <c r="AG142" s="113">
        <f t="shared" si="622"/>
        <v>1.07</v>
      </c>
      <c r="AH142" s="113">
        <f t="shared" si="623"/>
        <v>0.5</v>
      </c>
      <c r="AI142" s="113">
        <f t="shared" si="476"/>
        <v>54</v>
      </c>
      <c r="AJ142" s="113">
        <f t="shared" si="748"/>
        <v>40</v>
      </c>
      <c r="AK142" s="113">
        <f t="shared" si="477"/>
        <v>85</v>
      </c>
      <c r="AL142" s="113">
        <f t="shared" si="478"/>
        <v>60</v>
      </c>
      <c r="AO142" s="13">
        <f t="shared" si="633"/>
        <v>0</v>
      </c>
      <c r="AP142" s="120" t="str">
        <f t="shared" si="742"/>
        <v/>
      </c>
      <c r="AQ142" s="120" t="str">
        <f t="shared" si="635"/>
        <v/>
      </c>
      <c r="AR142" s="120" t="str">
        <f t="shared" si="743"/>
        <v/>
      </c>
      <c r="AS142" s="120" t="str">
        <f t="shared" si="744"/>
        <v/>
      </c>
      <c r="AT142" s="13" t="str">
        <f t="shared" si="745"/>
        <v/>
      </c>
      <c r="AU142" s="13" t="str">
        <f t="shared" si="425"/>
        <v xml:space="preserve">               </v>
      </c>
      <c r="AV142" s="13" t="str">
        <f t="shared" si="632"/>
        <v/>
      </c>
      <c r="AW142" s="13" t="str">
        <f t="shared" si="746"/>
        <v xml:space="preserve">                                                                 </v>
      </c>
      <c r="AX142" s="13" t="str">
        <f t="shared" si="747"/>
        <v/>
      </c>
      <c r="AY142" s="13" t="str">
        <f t="shared" si="747"/>
        <v/>
      </c>
      <c r="AZ142" s="13" t="str">
        <f t="shared" si="747"/>
        <v/>
      </c>
      <c r="BA142" s="13" t="str">
        <f t="shared" si="747"/>
        <v/>
      </c>
      <c r="BB142" s="13" t="str">
        <f t="shared" si="747"/>
        <v/>
      </c>
      <c r="BC142" s="13" t="str">
        <f t="shared" si="747"/>
        <v/>
      </c>
      <c r="BD142" s="13" t="str">
        <f t="shared" si="424"/>
        <v xml:space="preserve">_x000D_
                                                                                </v>
      </c>
      <c r="BE142" s="13" t="str">
        <f t="shared" si="625"/>
        <v/>
      </c>
      <c r="BF142" s="13" t="str">
        <f t="shared" si="626"/>
        <v/>
      </c>
      <c r="BG142" s="13" t="str">
        <f t="shared" si="627"/>
        <v/>
      </c>
      <c r="BH142" s="13" t="str">
        <f t="shared" si="628"/>
        <v/>
      </c>
      <c r="BI142" s="13" t="str">
        <f t="shared" si="629"/>
        <v/>
      </c>
      <c r="BJ142" s="13" t="str">
        <f t="shared" si="630"/>
        <v/>
      </c>
      <c r="BM142" s="13" t="str">
        <f t="shared" si="641"/>
        <v>Tchws</v>
      </c>
      <c r="BN142" s="13" t="str">
        <f t="shared" si="642"/>
        <v>Tcws</v>
      </c>
      <c r="BO142" s="13">
        <v>44</v>
      </c>
      <c r="BP142" s="13">
        <v>85</v>
      </c>
      <c r="BQ142" s="13">
        <v>54</v>
      </c>
      <c r="BR142" s="13">
        <v>40</v>
      </c>
      <c r="BS142" s="13">
        <v>85</v>
      </c>
      <c r="BT142" s="13">
        <v>60</v>
      </c>
      <c r="BU142" s="104">
        <f t="shared" si="643"/>
        <v>1.0036593461511911</v>
      </c>
      <c r="BV142" s="104">
        <f t="shared" si="765"/>
        <v>1.0747964077247654</v>
      </c>
      <c r="BW142" s="104">
        <f t="shared" si="766"/>
        <v>0.49624259135771642</v>
      </c>
      <c r="BX142" s="13" t="s">
        <v>729</v>
      </c>
    </row>
    <row r="143" spans="4:76" ht="28.8" hidden="1" outlineLevel="1" x14ac:dyDescent="0.3">
      <c r="E143" s="13" t="s">
        <v>369</v>
      </c>
      <c r="F143" s="22" t="s">
        <v>411</v>
      </c>
      <c r="G143" s="22" t="s">
        <v>578</v>
      </c>
      <c r="H143" s="13" t="s">
        <v>577</v>
      </c>
      <c r="I143" s="13" t="s">
        <v>660</v>
      </c>
      <c r="J143" s="13" t="s">
        <v>144</v>
      </c>
      <c r="L143" s="22" t="s">
        <v>202</v>
      </c>
      <c r="M143" s="13" t="s">
        <v>249</v>
      </c>
      <c r="N143" s="13" t="str">
        <f t="shared" si="631"/>
        <v>ChlrWtrPosDispPathBAllEIRRatio_fTchwsTcwsSI</v>
      </c>
      <c r="O143" s="13" t="s">
        <v>165</v>
      </c>
      <c r="P143" s="13" t="s">
        <v>288</v>
      </c>
      <c r="Q143" s="13" t="s">
        <v>139</v>
      </c>
      <c r="R143" s="13" t="s">
        <v>140</v>
      </c>
      <c r="V143" s="33">
        <v>0.42826500000000001</v>
      </c>
      <c r="W143" s="33">
        <v>-2.4070999999999999E-2</v>
      </c>
      <c r="X143" s="33">
        <v>8.4887999999999999E-4</v>
      </c>
      <c r="Y143" s="33">
        <v>1.64155E-2</v>
      </c>
      <c r="Z143" s="33">
        <v>3.81348E-4</v>
      </c>
      <c r="AA143" s="33">
        <v>-5.8967999999999998E-4</v>
      </c>
      <c r="AG143" s="113">
        <f t="shared" si="622"/>
        <v>1.07</v>
      </c>
      <c r="AH143" s="113">
        <f t="shared" si="623"/>
        <v>0.5</v>
      </c>
      <c r="AI143" s="113">
        <f t="shared" si="476"/>
        <v>12.22</v>
      </c>
      <c r="AJ143" s="113">
        <f t="shared" si="748"/>
        <v>4.4400000000000004</v>
      </c>
      <c r="AK143" s="113">
        <f t="shared" si="477"/>
        <v>29.44</v>
      </c>
      <c r="AL143" s="113">
        <f t="shared" si="478"/>
        <v>15.56</v>
      </c>
      <c r="AO143" s="13">
        <f t="shared" si="633"/>
        <v>1</v>
      </c>
      <c r="AP143" s="120" t="str">
        <f t="shared" ref="AP143" si="783">IF(AO143=1,CONCATENATE(AQ143,AR143,AS143),"")</f>
        <v>CrvDblQuad     "ChlrWtrPosDispPathBAllEIRRatio_fTchwsTcwsSI"                    Coef1 =  0.428265  Coef2 = -0.024071  Coef3 =  0.000849  Coef4 =  0.016416  Coef5 =  0.000381  Coef6 = -0.000590  _x000D_
                                                                                MaxOut = 1.070   MinOut = 0.500   MaxVar1 = 12.220   MinVar1 = 4.440   MaxVar2 = 29.440   MinVar2 = 15.560   _x000D_
..</v>
      </c>
      <c r="AQ143" s="120" t="str">
        <f t="shared" ref="AQ143" si="784">IF(AO143=1,CONCATENATE(AT143,AU143,AV143,AW143,IF(AX143="-","",$AX$15&amp;AX143),IF(AY143="-","",$AY$15&amp;AY143),IF(AZ143="-","",$AZ$15&amp;AZ143),IF(BA143="-","",$BA$15&amp;BA143),IF(BB143="-","",$BB$15&amp;BB143),IF(BC143="-","",$BC$15&amp;BC143)),"")</f>
        <v xml:space="preserve">CrvDblQuad     "ChlrWtrPosDispPathBAllEIRRatio_fTchwsTcwsSI"                    Coef1 =  0.428265  Coef2 = -0.024071  Coef3 =  0.000849  Coef4 =  0.016416  Coef5 =  0.000381  Coef6 = -0.000590  </v>
      </c>
      <c r="AR143" s="120" t="str">
        <f t="shared" ref="AR143" si="785">IF(AO143=1,CONCATENATE(BD143,IF(BE143="-","",$BE$15&amp;BE143),IF(BF143="-","",$BF$15&amp;BF143),IF(BG143="-","",$BG$15&amp;BG143),IF(BH143="-","",$BH$15&amp;BH143),IF(BI143="-","",$BI$15&amp;BI143),IF(BJ143="-","",$BJ$15&amp;BJ143)),"")</f>
        <v xml:space="preserve">_x000D_
                                                                                MaxOut = 1.070   MinOut = 0.500   MaxVar1 = 12.220   MinVar1 = 4.440   MaxVar2 = 29.440   MinVar2 = 15.560   </v>
      </c>
      <c r="AS143" s="120" t="str">
        <f t="shared" ref="AS143" si="786">IF(AO143=1,CHAR(13)&amp;CHAR(10)&amp;"..","")</f>
        <v>_x000D_
..</v>
      </c>
      <c r="AT143" s="13" t="str">
        <f t="shared" ref="AT143" si="787">IF(AO143=1,VLOOKUP(O143,$AT$2:$AV$13,2,0),"")</f>
        <v>CrvDblQuad</v>
      </c>
      <c r="AU143" s="13" t="str">
        <f t="shared" si="425"/>
        <v xml:space="preserve">     </v>
      </c>
      <c r="AV143" s="13" t="str">
        <f t="shared" si="632"/>
        <v>"ChlrWtrPosDispPathBAllEIRRatio_fTchwsTcwsSI"</v>
      </c>
      <c r="AW143" s="13" t="str">
        <f t="shared" ref="AW143" si="788">REPT(" ",$AW$14-LEN(AV143))</f>
        <v xml:space="preserve">                    </v>
      </c>
      <c r="AX143" s="13" t="str">
        <f t="shared" ref="AX143" si="789">IF($AO143=1,IF(ISBLANK(V143),"-",CONCATENATE(TEXT(V143," 0.000000;-0.000000"),"  ")),"")</f>
        <v xml:space="preserve"> 0.428265  </v>
      </c>
      <c r="AY143" s="13" t="str">
        <f t="shared" ref="AY143" si="790">IF($AO143=1,IF(ISBLANK(W143),"-",CONCATENATE(TEXT(W143," 0.000000;-0.000000"),"  ")),"")</f>
        <v xml:space="preserve">-0.024071  </v>
      </c>
      <c r="AZ143" s="13" t="str">
        <f t="shared" ref="AZ143" si="791">IF($AO143=1,IF(ISBLANK(X143),"-",CONCATENATE(TEXT(X143," 0.000000;-0.000000"),"  ")),"")</f>
        <v xml:space="preserve"> 0.000849  </v>
      </c>
      <c r="BA143" s="13" t="str">
        <f t="shared" ref="BA143" si="792">IF($AO143=1,IF(ISBLANK(Y143),"-",CONCATENATE(TEXT(Y143," 0.000000;-0.000000"),"  ")),"")</f>
        <v xml:space="preserve"> 0.016416  </v>
      </c>
      <c r="BB143" s="13" t="str">
        <f t="shared" ref="BB143" si="793">IF($AO143=1,IF(ISBLANK(Z143),"-",CONCATENATE(TEXT(Z143," 0.000000;-0.000000"),"  ")),"")</f>
        <v xml:space="preserve"> 0.000381  </v>
      </c>
      <c r="BC143" s="13" t="str">
        <f t="shared" ref="BC143" si="794">IF($AO143=1,IF(ISBLANK(AA143),"-",CONCATENATE(TEXT(AA143," 0.000000;-0.000000"),"  ")),"")</f>
        <v xml:space="preserve">-0.000590  </v>
      </c>
      <c r="BD143" s="13" t="str">
        <f t="shared" si="424"/>
        <v xml:space="preserve">_x000D_
                                                                                </v>
      </c>
      <c r="BE143" s="13" t="str">
        <f t="shared" si="625"/>
        <v xml:space="preserve">1.070   </v>
      </c>
      <c r="BF143" s="13" t="str">
        <f t="shared" si="626"/>
        <v xml:space="preserve">0.500   </v>
      </c>
      <c r="BG143" s="13" t="str">
        <f t="shared" si="627"/>
        <v xml:space="preserve">12.220   </v>
      </c>
      <c r="BH143" s="13" t="str">
        <f t="shared" si="628"/>
        <v xml:space="preserve">4.440   </v>
      </c>
      <c r="BI143" s="13" t="str">
        <f t="shared" si="629"/>
        <v xml:space="preserve">29.440   </v>
      </c>
      <c r="BJ143" s="13" t="str">
        <f t="shared" si="630"/>
        <v xml:space="preserve">15.560   </v>
      </c>
      <c r="BM143" s="13" t="str">
        <f t="shared" si="641"/>
        <v>Tchws</v>
      </c>
      <c r="BN143" s="13" t="str">
        <f t="shared" si="642"/>
        <v>Tcws</v>
      </c>
      <c r="BO143" s="118">
        <f>(BO142-32)/1.8</f>
        <v>6.6666666666666661</v>
      </c>
      <c r="BP143" s="118">
        <f>(BP142-32)/1.8</f>
        <v>29.444444444444443</v>
      </c>
      <c r="BQ143" s="118">
        <f t="shared" ref="BQ143" si="795">(BQ142-32)/1.8</f>
        <v>12.222222222222221</v>
      </c>
      <c r="BR143" s="118">
        <f t="shared" ref="BR143" si="796">(BR142-32)/1.8</f>
        <v>4.4444444444444446</v>
      </c>
      <c r="BS143" s="118">
        <f t="shared" ref="BS143" si="797">(BS142-32)/1.8</f>
        <v>29.444444444444443</v>
      </c>
      <c r="BT143" s="118">
        <f t="shared" ref="BT143" si="798">(BT142-32)/1.8</f>
        <v>15.555555555555555</v>
      </c>
      <c r="BU143" s="104">
        <f t="shared" si="643"/>
        <v>1.0037322444444445</v>
      </c>
      <c r="BV143" s="104">
        <f t="shared" si="765"/>
        <v>1.0748473555555556</v>
      </c>
      <c r="BW143" s="104">
        <f t="shared" si="766"/>
        <v>0.49638891111111105</v>
      </c>
      <c r="BX143" s="13" t="s">
        <v>729</v>
      </c>
    </row>
    <row r="144" spans="4:76" hidden="1" outlineLevel="1" x14ac:dyDescent="0.3">
      <c r="E144" s="13" t="s">
        <v>369</v>
      </c>
      <c r="F144" s="22" t="s">
        <v>411</v>
      </c>
      <c r="G144" s="22" t="s">
        <v>575</v>
      </c>
      <c r="H144" s="13" t="s">
        <v>579</v>
      </c>
      <c r="I144" s="13" t="s">
        <v>659</v>
      </c>
      <c r="J144" s="13" t="s">
        <v>273</v>
      </c>
      <c r="K144" s="13" t="s">
        <v>157</v>
      </c>
      <c r="L144" s="22"/>
      <c r="N144" s="13" t="str">
        <f t="shared" si="631"/>
        <v>ChlrWtrCentPathBLt300tonEIRRatio_fTchwsTcwsIP</v>
      </c>
      <c r="O144" s="13" t="s">
        <v>165</v>
      </c>
      <c r="P144" s="13" t="s">
        <v>288</v>
      </c>
      <c r="Q144" s="13" t="s">
        <v>139</v>
      </c>
      <c r="R144" s="13" t="s">
        <v>140</v>
      </c>
      <c r="V144" s="33">
        <v>0.87311405327851699</v>
      </c>
      <c r="W144" s="33">
        <v>-2.5207557562157701E-2</v>
      </c>
      <c r="X144" s="33">
        <v>3.6861623771618403E-4</v>
      </c>
      <c r="Y144" s="33">
        <v>1.8292090581261401E-2</v>
      </c>
      <c r="Z144" s="33">
        <v>4.7034677075395002E-5</v>
      </c>
      <c r="AA144" s="33">
        <v>-3.5765587731861101E-4</v>
      </c>
      <c r="AG144" s="113">
        <f t="shared" si="622"/>
        <v>1.1299999999999999</v>
      </c>
      <c r="AH144" s="113">
        <f t="shared" si="623"/>
        <v>0.69</v>
      </c>
      <c r="AI144" s="113">
        <f t="shared" si="476"/>
        <v>54</v>
      </c>
      <c r="AJ144" s="113">
        <f t="shared" si="748"/>
        <v>40</v>
      </c>
      <c r="AK144" s="113">
        <f t="shared" si="477"/>
        <v>85</v>
      </c>
      <c r="AL144" s="113">
        <f t="shared" si="478"/>
        <v>60</v>
      </c>
      <c r="AO144" s="13">
        <f t="shared" si="633"/>
        <v>0</v>
      </c>
      <c r="AP144" s="120" t="str">
        <f t="shared" si="742"/>
        <v/>
      </c>
      <c r="AQ144" s="120" t="str">
        <f t="shared" si="635"/>
        <v/>
      </c>
      <c r="AR144" s="120" t="str">
        <f t="shared" si="743"/>
        <v/>
      </c>
      <c r="AS144" s="120" t="str">
        <f t="shared" si="744"/>
        <v/>
      </c>
      <c r="AT144" s="13" t="str">
        <f t="shared" si="745"/>
        <v/>
      </c>
      <c r="AU144" s="13" t="str">
        <f t="shared" si="425"/>
        <v xml:space="preserve">               </v>
      </c>
      <c r="AV144" s="13" t="str">
        <f t="shared" si="632"/>
        <v/>
      </c>
      <c r="AW144" s="13" t="str">
        <f t="shared" si="746"/>
        <v xml:space="preserve">                                                                 </v>
      </c>
      <c r="AX144" s="13" t="str">
        <f t="shared" si="747"/>
        <v/>
      </c>
      <c r="AY144" s="13" t="str">
        <f t="shared" si="747"/>
        <v/>
      </c>
      <c r="AZ144" s="13" t="str">
        <f t="shared" si="747"/>
        <v/>
      </c>
      <c r="BA144" s="13" t="str">
        <f t="shared" si="747"/>
        <v/>
      </c>
      <c r="BB144" s="13" t="str">
        <f t="shared" si="747"/>
        <v/>
      </c>
      <c r="BC144" s="13" t="str">
        <f t="shared" si="747"/>
        <v/>
      </c>
      <c r="BD144" s="13" t="str">
        <f t="shared" si="424"/>
        <v xml:space="preserve">_x000D_
                                                                                </v>
      </c>
      <c r="BE144" s="13" t="str">
        <f t="shared" si="625"/>
        <v/>
      </c>
      <c r="BF144" s="13" t="str">
        <f t="shared" si="626"/>
        <v/>
      </c>
      <c r="BG144" s="13" t="str">
        <f t="shared" si="627"/>
        <v/>
      </c>
      <c r="BH144" s="13" t="str">
        <f t="shared" si="628"/>
        <v/>
      </c>
      <c r="BI144" s="13" t="str">
        <f t="shared" si="629"/>
        <v/>
      </c>
      <c r="BJ144" s="13" t="str">
        <f t="shared" si="630"/>
        <v/>
      </c>
      <c r="BM144" s="13" t="str">
        <f t="shared" si="641"/>
        <v>Tchws</v>
      </c>
      <c r="BN144" s="13" t="str">
        <f t="shared" si="642"/>
        <v>Tcws</v>
      </c>
      <c r="BO144" s="13">
        <v>44</v>
      </c>
      <c r="BP144" s="13">
        <v>85</v>
      </c>
      <c r="BQ144" s="13">
        <v>54</v>
      </c>
      <c r="BR144" s="13">
        <v>40</v>
      </c>
      <c r="BS144" s="13">
        <v>85</v>
      </c>
      <c r="BT144" s="13">
        <v>60</v>
      </c>
      <c r="BU144" s="104">
        <f t="shared" si="643"/>
        <v>1.0346428168674529</v>
      </c>
      <c r="BV144" s="104">
        <f t="shared" si="765"/>
        <v>1.1332209895317737</v>
      </c>
      <c r="BW144" s="104">
        <f t="shared" si="766"/>
        <v>0.69483612393720029</v>
      </c>
      <c r="BX144" s="13" t="s">
        <v>729</v>
      </c>
    </row>
    <row r="145" spans="4:98" hidden="1" outlineLevel="1" x14ac:dyDescent="0.3">
      <c r="E145" s="13" t="s">
        <v>369</v>
      </c>
      <c r="F145" s="22" t="s">
        <v>411</v>
      </c>
      <c r="G145" s="22" t="s">
        <v>575</v>
      </c>
      <c r="H145" s="13" t="s">
        <v>579</v>
      </c>
      <c r="I145" s="13" t="s">
        <v>660</v>
      </c>
      <c r="J145" s="13" t="s">
        <v>144</v>
      </c>
      <c r="L145" s="22" t="s">
        <v>202</v>
      </c>
      <c r="M145" s="13" t="s">
        <v>249</v>
      </c>
      <c r="N145" s="13" t="str">
        <f t="shared" si="631"/>
        <v>ChlrWtrCentPathBLt300tonEIRRatio_fTchwsTcwsSI</v>
      </c>
      <c r="O145" s="13" t="s">
        <v>165</v>
      </c>
      <c r="P145" s="13" t="s">
        <v>288</v>
      </c>
      <c r="Q145" s="13" t="s">
        <v>139</v>
      </c>
      <c r="R145" s="13" t="s">
        <v>140</v>
      </c>
      <c r="V145" s="33">
        <v>0.71110799999999996</v>
      </c>
      <c r="W145" s="33">
        <v>-2.3514500000000001E-2</v>
      </c>
      <c r="X145" s="33">
        <v>1.1942599999999999E-3</v>
      </c>
      <c r="Y145" s="33">
        <v>1.7736700000000001E-2</v>
      </c>
      <c r="Z145" s="33">
        <v>1.5228E-4</v>
      </c>
      <c r="AA145" s="33">
        <v>-1.15895E-3</v>
      </c>
      <c r="AG145" s="113">
        <f t="shared" si="622"/>
        <v>1.1299999999999999</v>
      </c>
      <c r="AH145" s="113">
        <f t="shared" si="623"/>
        <v>0.69</v>
      </c>
      <c r="AI145" s="113">
        <f t="shared" si="476"/>
        <v>12.22</v>
      </c>
      <c r="AJ145" s="113">
        <f t="shared" si="748"/>
        <v>4.4400000000000004</v>
      </c>
      <c r="AK145" s="113">
        <f t="shared" si="477"/>
        <v>29.44</v>
      </c>
      <c r="AL145" s="113">
        <f t="shared" si="478"/>
        <v>15.56</v>
      </c>
      <c r="AO145" s="13">
        <f t="shared" si="633"/>
        <v>1</v>
      </c>
      <c r="AP145" s="120" t="str">
        <f t="shared" ref="AP145" si="799">IF(AO145=1,CONCATENATE(AQ145,AR145,AS145),"")</f>
        <v>CrvDblQuad     "ChlrWtrCentPathBLt300tonEIRRatio_fTchwsTcwsSI"                  Coef1 =  0.711108  Coef2 = -0.023515  Coef3 =  0.001194  Coef4 =  0.017737  Coef5 =  0.000152  Coef6 = -0.001159  _x000D_
                                                                                MaxOut = 1.130   MinOut = 0.690   MaxVar1 = 12.220   MinVar1 = 4.440   MaxVar2 = 29.440   MinVar2 = 15.560   _x000D_
..</v>
      </c>
      <c r="AQ145" s="120" t="str">
        <f t="shared" ref="AQ145" si="800">IF(AO145=1,CONCATENATE(AT145,AU145,AV145,AW145,IF(AX145="-","",$AX$15&amp;AX145),IF(AY145="-","",$AY$15&amp;AY145),IF(AZ145="-","",$AZ$15&amp;AZ145),IF(BA145="-","",$BA$15&amp;BA145),IF(BB145="-","",$BB$15&amp;BB145),IF(BC145="-","",$BC$15&amp;BC145)),"")</f>
        <v xml:space="preserve">CrvDblQuad     "ChlrWtrCentPathBLt300tonEIRRatio_fTchwsTcwsSI"                  Coef1 =  0.711108  Coef2 = -0.023515  Coef3 =  0.001194  Coef4 =  0.017737  Coef5 =  0.000152  Coef6 = -0.001159  </v>
      </c>
      <c r="AR145" s="120" t="str">
        <f t="shared" ref="AR145" si="801">IF(AO145=1,CONCATENATE(BD145,IF(BE145="-","",$BE$15&amp;BE145),IF(BF145="-","",$BF$15&amp;BF145),IF(BG145="-","",$BG$15&amp;BG145),IF(BH145="-","",$BH$15&amp;BH145),IF(BI145="-","",$BI$15&amp;BI145),IF(BJ145="-","",$BJ$15&amp;BJ145)),"")</f>
        <v xml:space="preserve">_x000D_
                                                                                MaxOut = 1.130   MinOut = 0.690   MaxVar1 = 12.220   MinVar1 = 4.440   MaxVar2 = 29.440   MinVar2 = 15.560   </v>
      </c>
      <c r="AS145" s="120" t="str">
        <f t="shared" ref="AS145" si="802">IF(AO145=1,CHAR(13)&amp;CHAR(10)&amp;"..","")</f>
        <v>_x000D_
..</v>
      </c>
      <c r="AT145" s="13" t="str">
        <f t="shared" ref="AT145" si="803">IF(AO145=1,VLOOKUP(O145,$AT$2:$AV$13,2,0),"")</f>
        <v>CrvDblQuad</v>
      </c>
      <c r="AU145" s="13" t="str">
        <f t="shared" si="425"/>
        <v xml:space="preserve">     </v>
      </c>
      <c r="AV145" s="13" t="str">
        <f t="shared" si="632"/>
        <v>"ChlrWtrCentPathBLt300tonEIRRatio_fTchwsTcwsSI"</v>
      </c>
      <c r="AW145" s="13" t="str">
        <f t="shared" ref="AW145" si="804">REPT(" ",$AW$14-LEN(AV145))</f>
        <v xml:space="preserve">                  </v>
      </c>
      <c r="AX145" s="13" t="str">
        <f t="shared" ref="AX145" si="805">IF($AO145=1,IF(ISBLANK(V145),"-",CONCATENATE(TEXT(V145," 0.000000;-0.000000"),"  ")),"")</f>
        <v xml:space="preserve"> 0.711108  </v>
      </c>
      <c r="AY145" s="13" t="str">
        <f t="shared" ref="AY145" si="806">IF($AO145=1,IF(ISBLANK(W145),"-",CONCATENATE(TEXT(W145," 0.000000;-0.000000"),"  ")),"")</f>
        <v xml:space="preserve">-0.023515  </v>
      </c>
      <c r="AZ145" s="13" t="str">
        <f t="shared" ref="AZ145" si="807">IF($AO145=1,IF(ISBLANK(X145),"-",CONCATENATE(TEXT(X145," 0.000000;-0.000000"),"  ")),"")</f>
        <v xml:space="preserve"> 0.001194  </v>
      </c>
      <c r="BA145" s="13" t="str">
        <f t="shared" ref="BA145" si="808">IF($AO145=1,IF(ISBLANK(Y145),"-",CONCATENATE(TEXT(Y145," 0.000000;-0.000000"),"  ")),"")</f>
        <v xml:space="preserve"> 0.017737  </v>
      </c>
      <c r="BB145" s="13" t="str">
        <f t="shared" ref="BB145" si="809">IF($AO145=1,IF(ISBLANK(Z145),"-",CONCATENATE(TEXT(Z145," 0.000000;-0.000000"),"  ")),"")</f>
        <v xml:space="preserve"> 0.000152  </v>
      </c>
      <c r="BC145" s="13" t="str">
        <f t="shared" ref="BC145" si="810">IF($AO145=1,IF(ISBLANK(AA145),"-",CONCATENATE(TEXT(AA145," 0.000000;-0.000000"),"  ")),"")</f>
        <v xml:space="preserve">-0.001159  </v>
      </c>
      <c r="BD145" s="13" t="str">
        <f t="shared" si="424"/>
        <v xml:space="preserve">_x000D_
                                                                                </v>
      </c>
      <c r="BE145" s="13" t="str">
        <f t="shared" si="625"/>
        <v xml:space="preserve">1.130   </v>
      </c>
      <c r="BF145" s="13" t="str">
        <f t="shared" si="626"/>
        <v xml:space="preserve">0.690   </v>
      </c>
      <c r="BG145" s="13" t="str">
        <f t="shared" si="627"/>
        <v xml:space="preserve">12.220   </v>
      </c>
      <c r="BH145" s="13" t="str">
        <f t="shared" si="628"/>
        <v xml:space="preserve">4.440   </v>
      </c>
      <c r="BI145" s="13" t="str">
        <f t="shared" si="629"/>
        <v xml:space="preserve">29.440   </v>
      </c>
      <c r="BJ145" s="13" t="str">
        <f t="shared" si="630"/>
        <v xml:space="preserve">15.560   </v>
      </c>
      <c r="BM145" s="13" t="str">
        <f t="shared" ref="BM145:BM204" si="811">Q145</f>
        <v>Tchws</v>
      </c>
      <c r="BN145" s="13" t="str">
        <f t="shared" ref="BN145:BN185" si="812">R145</f>
        <v>Tcws</v>
      </c>
      <c r="BO145" s="118">
        <f>(BO144-32)/1.8</f>
        <v>6.6666666666666661</v>
      </c>
      <c r="BP145" s="118">
        <f>(BP144-32)/1.8</f>
        <v>29.444444444444443</v>
      </c>
      <c r="BQ145" s="118">
        <f t="shared" ref="BQ145" si="813">(BQ144-32)/1.8</f>
        <v>12.222222222222221</v>
      </c>
      <c r="BR145" s="118">
        <f t="shared" ref="BR145" si="814">(BR144-32)/1.8</f>
        <v>4.4444444444444446</v>
      </c>
      <c r="BS145" s="118">
        <f t="shared" ref="BS145" si="815">(BS144-32)/1.8</f>
        <v>29.444444444444443</v>
      </c>
      <c r="BT145" s="118">
        <f t="shared" ref="BT145" si="816">(BT144-32)/1.8</f>
        <v>15.555555555555555</v>
      </c>
      <c r="BU145" s="104">
        <f t="shared" si="643"/>
        <v>1.034195574074074</v>
      </c>
      <c r="BV145" s="104">
        <f t="shared" si="765"/>
        <v>1.1327946481481481</v>
      </c>
      <c r="BW145" s="104">
        <f t="shared" si="766"/>
        <v>0.694519</v>
      </c>
      <c r="BX145" s="13" t="s">
        <v>729</v>
      </c>
    </row>
    <row r="146" spans="4:98" ht="28.8" hidden="1" outlineLevel="1" x14ac:dyDescent="0.3">
      <c r="E146" s="13" t="s">
        <v>369</v>
      </c>
      <c r="F146" s="22" t="s">
        <v>411</v>
      </c>
      <c r="G146" s="22" t="s">
        <v>576</v>
      </c>
      <c r="H146" s="13" t="s">
        <v>581</v>
      </c>
      <c r="I146" s="13" t="s">
        <v>659</v>
      </c>
      <c r="J146" s="13" t="s">
        <v>273</v>
      </c>
      <c r="K146" s="13" t="s">
        <v>157</v>
      </c>
      <c r="L146" s="22"/>
      <c r="N146" s="13" t="str">
        <f t="shared" si="631"/>
        <v>ChlrWtrCentPathBGtEql300Lt600tonEIRRatio_fTchwsTcwsIP</v>
      </c>
      <c r="O146" s="13" t="s">
        <v>165</v>
      </c>
      <c r="P146" s="13" t="s">
        <v>288</v>
      </c>
      <c r="Q146" s="13" t="s">
        <v>139</v>
      </c>
      <c r="R146" s="13" t="s">
        <v>140</v>
      </c>
      <c r="V146" s="33">
        <v>0.97431846471939199</v>
      </c>
      <c r="W146" s="33">
        <v>-4.6316816288420196E-3</v>
      </c>
      <c r="X146" s="33">
        <v>4.8004325319213303E-5</v>
      </c>
      <c r="Y146" s="33">
        <v>-2.0126259716637101E-3</v>
      </c>
      <c r="Z146" s="33">
        <v>1.58754924199956E-4</v>
      </c>
      <c r="AA146" s="33">
        <v>-2.11990512234556E-4</v>
      </c>
      <c r="AG146" s="113">
        <f t="shared" si="622"/>
        <v>1.1200000000000001</v>
      </c>
      <c r="AH146" s="113">
        <f t="shared" si="623"/>
        <v>0.63</v>
      </c>
      <c r="AI146" s="113">
        <f t="shared" si="476"/>
        <v>54</v>
      </c>
      <c r="AJ146" s="113">
        <f t="shared" si="748"/>
        <v>40</v>
      </c>
      <c r="AK146" s="113">
        <f t="shared" si="477"/>
        <v>85</v>
      </c>
      <c r="AL146" s="113">
        <f t="shared" si="478"/>
        <v>60</v>
      </c>
      <c r="AO146" s="13">
        <f t="shared" si="633"/>
        <v>0</v>
      </c>
      <c r="AP146" s="120" t="str">
        <f t="shared" si="742"/>
        <v/>
      </c>
      <c r="AQ146" s="120" t="str">
        <f t="shared" si="635"/>
        <v/>
      </c>
      <c r="AR146" s="120" t="str">
        <f t="shared" si="743"/>
        <v/>
      </c>
      <c r="AS146" s="120" t="str">
        <f t="shared" si="744"/>
        <v/>
      </c>
      <c r="AT146" s="13" t="str">
        <f t="shared" si="745"/>
        <v/>
      </c>
      <c r="AU146" s="13" t="str">
        <f t="shared" si="425"/>
        <v xml:space="preserve">               </v>
      </c>
      <c r="AV146" s="13" t="str">
        <f t="shared" si="632"/>
        <v/>
      </c>
      <c r="AW146" s="13" t="str">
        <f t="shared" si="746"/>
        <v xml:space="preserve">                                                                 </v>
      </c>
      <c r="AX146" s="13" t="str">
        <f t="shared" si="747"/>
        <v/>
      </c>
      <c r="AY146" s="13" t="str">
        <f t="shared" si="747"/>
        <v/>
      </c>
      <c r="AZ146" s="13" t="str">
        <f t="shared" si="747"/>
        <v/>
      </c>
      <c r="BA146" s="13" t="str">
        <f t="shared" si="747"/>
        <v/>
      </c>
      <c r="BB146" s="13" t="str">
        <f t="shared" si="747"/>
        <v/>
      </c>
      <c r="BC146" s="13" t="str">
        <f t="shared" si="747"/>
        <v/>
      </c>
      <c r="BD146" s="13" t="str">
        <f t="shared" si="424"/>
        <v xml:space="preserve">_x000D_
                                                                                </v>
      </c>
      <c r="BE146" s="13" t="str">
        <f t="shared" si="625"/>
        <v/>
      </c>
      <c r="BF146" s="13" t="str">
        <f t="shared" si="626"/>
        <v/>
      </c>
      <c r="BG146" s="13" t="str">
        <f t="shared" si="627"/>
        <v/>
      </c>
      <c r="BH146" s="13" t="str">
        <f t="shared" si="628"/>
        <v/>
      </c>
      <c r="BI146" s="13" t="str">
        <f t="shared" si="629"/>
        <v/>
      </c>
      <c r="BJ146" s="13" t="str">
        <f t="shared" si="630"/>
        <v/>
      </c>
      <c r="BM146" s="13" t="str">
        <f t="shared" si="811"/>
        <v>Tchws</v>
      </c>
      <c r="BN146" s="13" t="str">
        <f t="shared" si="812"/>
        <v>Tcws</v>
      </c>
      <c r="BO146" s="13">
        <v>44</v>
      </c>
      <c r="BP146" s="13">
        <v>85</v>
      </c>
      <c r="BQ146" s="13">
        <v>54</v>
      </c>
      <c r="BR146" s="13">
        <v>40</v>
      </c>
      <c r="BS146" s="13">
        <v>85</v>
      </c>
      <c r="BT146" s="13">
        <v>60</v>
      </c>
      <c r="BU146" s="104">
        <f t="shared" si="643"/>
        <v>1.0465474508643673</v>
      </c>
      <c r="BV146" s="104">
        <f t="shared" si="765"/>
        <v>1.1210214982322291</v>
      </c>
      <c r="BW146" s="104">
        <f t="shared" si="766"/>
        <v>0.62809917857280639</v>
      </c>
      <c r="BX146" s="13" t="s">
        <v>729</v>
      </c>
    </row>
    <row r="147" spans="4:98" ht="28.8" hidden="1" outlineLevel="1" x14ac:dyDescent="0.3">
      <c r="E147" s="13" t="s">
        <v>369</v>
      </c>
      <c r="F147" s="22" t="s">
        <v>411</v>
      </c>
      <c r="G147" s="22" t="s">
        <v>576</v>
      </c>
      <c r="H147" s="13" t="s">
        <v>581</v>
      </c>
      <c r="I147" s="13" t="s">
        <v>660</v>
      </c>
      <c r="J147" s="13" t="s">
        <v>144</v>
      </c>
      <c r="L147" s="22" t="s">
        <v>202</v>
      </c>
      <c r="M147" s="13" t="s">
        <v>249</v>
      </c>
      <c r="N147" s="13" t="str">
        <f t="shared" si="631"/>
        <v>ChlrWtrCentPathBGtEql300Lt600tonEIRRatio_fTchwsTcwsSI</v>
      </c>
      <c r="O147" s="13" t="s">
        <v>165</v>
      </c>
      <c r="P147" s="13" t="s">
        <v>288</v>
      </c>
      <c r="Q147" s="13" t="s">
        <v>139</v>
      </c>
      <c r="R147" s="13" t="s">
        <v>140</v>
      </c>
      <c r="V147" s="33">
        <v>0.75637600000000005</v>
      </c>
      <c r="W147" s="33">
        <v>-1.5018699999999999E-2</v>
      </c>
      <c r="X147" s="33">
        <v>1.5552E-4</v>
      </c>
      <c r="Y147" s="33">
        <v>2.4598799999999998E-3</v>
      </c>
      <c r="Z147" s="33">
        <v>5.1451199999999996E-4</v>
      </c>
      <c r="AA147" s="33">
        <v>-6.8687999999999996E-4</v>
      </c>
      <c r="AG147" s="113">
        <f t="shared" si="622"/>
        <v>1.1200000000000001</v>
      </c>
      <c r="AH147" s="113">
        <f t="shared" si="623"/>
        <v>0.63</v>
      </c>
      <c r="AI147" s="113">
        <f t="shared" si="476"/>
        <v>12.22</v>
      </c>
      <c r="AJ147" s="113">
        <f t="shared" si="748"/>
        <v>4.4400000000000004</v>
      </c>
      <c r="AK147" s="113">
        <f t="shared" si="477"/>
        <v>29.44</v>
      </c>
      <c r="AL147" s="113">
        <f t="shared" si="478"/>
        <v>15.56</v>
      </c>
      <c r="AO147" s="13">
        <f t="shared" si="633"/>
        <v>1</v>
      </c>
      <c r="AP147" s="120" t="str">
        <f t="shared" ref="AP147" si="817">IF(AO147=1,CONCATENATE(AQ147,AR147,AS147),"")</f>
        <v>CrvDblQuad     "ChlrWtrCentPathBGtEql300Lt600tonEIRRatio_fTchwsTcwsSI"          Coef1 =  0.756376  Coef2 = -0.015019  Coef3 =  0.000156  Coef4 =  0.002460  Coef5 =  0.000515  Coef6 = -0.000687  _x000D_
                                                                                MaxOut = 1.120   MinOut = 0.630   MaxVar1 = 12.220   MinVar1 = 4.440   MaxVar2 = 29.440   MinVar2 = 15.560   _x000D_
..</v>
      </c>
      <c r="AQ147" s="120" t="str">
        <f t="shared" ref="AQ147" si="818">IF(AO147=1,CONCATENATE(AT147,AU147,AV147,AW147,IF(AX147="-","",$AX$15&amp;AX147),IF(AY147="-","",$AY$15&amp;AY147),IF(AZ147="-","",$AZ$15&amp;AZ147),IF(BA147="-","",$BA$15&amp;BA147),IF(BB147="-","",$BB$15&amp;BB147),IF(BC147="-","",$BC$15&amp;BC147)),"")</f>
        <v xml:space="preserve">CrvDblQuad     "ChlrWtrCentPathBGtEql300Lt600tonEIRRatio_fTchwsTcwsSI"          Coef1 =  0.756376  Coef2 = -0.015019  Coef3 =  0.000156  Coef4 =  0.002460  Coef5 =  0.000515  Coef6 = -0.000687  </v>
      </c>
      <c r="AR147" s="120" t="str">
        <f t="shared" ref="AR147" si="819">IF(AO147=1,CONCATENATE(BD147,IF(BE147="-","",$BE$15&amp;BE147),IF(BF147="-","",$BF$15&amp;BF147),IF(BG147="-","",$BG$15&amp;BG147),IF(BH147="-","",$BH$15&amp;BH147),IF(BI147="-","",$BI$15&amp;BI147),IF(BJ147="-","",$BJ$15&amp;BJ147)),"")</f>
        <v xml:space="preserve">_x000D_
                                                                                MaxOut = 1.120   MinOut = 0.630   MaxVar1 = 12.220   MinVar1 = 4.440   MaxVar2 = 29.440   MinVar2 = 15.560   </v>
      </c>
      <c r="AS147" s="120" t="str">
        <f t="shared" ref="AS147" si="820">IF(AO147=1,CHAR(13)&amp;CHAR(10)&amp;"..","")</f>
        <v>_x000D_
..</v>
      </c>
      <c r="AT147" s="13" t="str">
        <f t="shared" ref="AT147" si="821">IF(AO147=1,VLOOKUP(O147,$AT$2:$AV$13,2,0),"")</f>
        <v>CrvDblQuad</v>
      </c>
      <c r="AU147" s="13" t="str">
        <f t="shared" si="425"/>
        <v xml:space="preserve">     </v>
      </c>
      <c r="AV147" s="13" t="str">
        <f t="shared" si="632"/>
        <v>"ChlrWtrCentPathBGtEql300Lt600tonEIRRatio_fTchwsTcwsSI"</v>
      </c>
      <c r="AW147" s="13" t="str">
        <f t="shared" ref="AW147" si="822">REPT(" ",$AW$14-LEN(AV147))</f>
        <v xml:space="preserve">          </v>
      </c>
      <c r="AX147" s="13" t="str">
        <f t="shared" ref="AX147" si="823">IF($AO147=1,IF(ISBLANK(V147),"-",CONCATENATE(TEXT(V147," 0.000000;-0.000000"),"  ")),"")</f>
        <v xml:space="preserve"> 0.756376  </v>
      </c>
      <c r="AY147" s="13" t="str">
        <f t="shared" ref="AY147" si="824">IF($AO147=1,IF(ISBLANK(W147),"-",CONCATENATE(TEXT(W147," 0.000000;-0.000000"),"  ")),"")</f>
        <v xml:space="preserve">-0.015019  </v>
      </c>
      <c r="AZ147" s="13" t="str">
        <f t="shared" ref="AZ147" si="825">IF($AO147=1,IF(ISBLANK(X147),"-",CONCATENATE(TEXT(X147," 0.000000;-0.000000"),"  ")),"")</f>
        <v xml:space="preserve"> 0.000156  </v>
      </c>
      <c r="BA147" s="13" t="str">
        <f t="shared" ref="BA147" si="826">IF($AO147=1,IF(ISBLANK(Y147),"-",CONCATENATE(TEXT(Y147," 0.000000;-0.000000"),"  ")),"")</f>
        <v xml:space="preserve"> 0.002460  </v>
      </c>
      <c r="BB147" s="13" t="str">
        <f t="shared" ref="BB147" si="827">IF($AO147=1,IF(ISBLANK(Z147),"-",CONCATENATE(TEXT(Z147," 0.000000;-0.000000"),"  ")),"")</f>
        <v xml:space="preserve"> 0.000515  </v>
      </c>
      <c r="BC147" s="13" t="str">
        <f t="shared" ref="BC147" si="828">IF($AO147=1,IF(ISBLANK(AA147),"-",CONCATENATE(TEXT(AA147," 0.000000;-0.000000"),"  ")),"")</f>
        <v xml:space="preserve">-0.000687  </v>
      </c>
      <c r="BD147" s="13" t="str">
        <f t="shared" si="424"/>
        <v xml:space="preserve">_x000D_
                                                                                </v>
      </c>
      <c r="BE147" s="13" t="str">
        <f t="shared" si="625"/>
        <v xml:space="preserve">1.120   </v>
      </c>
      <c r="BF147" s="13" t="str">
        <f t="shared" si="626"/>
        <v xml:space="preserve">0.630   </v>
      </c>
      <c r="BG147" s="13" t="str">
        <f t="shared" si="627"/>
        <v xml:space="preserve">12.220   </v>
      </c>
      <c r="BH147" s="13" t="str">
        <f t="shared" si="628"/>
        <v xml:space="preserve">4.440   </v>
      </c>
      <c r="BI147" s="13" t="str">
        <f t="shared" si="629"/>
        <v xml:space="preserve">29.440   </v>
      </c>
      <c r="BJ147" s="13" t="str">
        <f t="shared" si="630"/>
        <v xml:space="preserve">15.560   </v>
      </c>
      <c r="BM147" s="13" t="str">
        <f t="shared" si="811"/>
        <v>Tchws</v>
      </c>
      <c r="BN147" s="13" t="str">
        <f t="shared" si="812"/>
        <v>Tcws</v>
      </c>
      <c r="BO147" s="118">
        <f>(BO146-32)/1.8</f>
        <v>6.6666666666666661</v>
      </c>
      <c r="BP147" s="118">
        <f>(BP146-32)/1.8</f>
        <v>29.444444444444443</v>
      </c>
      <c r="BQ147" s="118">
        <f t="shared" ref="BQ147" si="829">(BQ146-32)/1.8</f>
        <v>12.222222222222221</v>
      </c>
      <c r="BR147" s="118">
        <f t="shared" ref="BR147" si="830">(BR146-32)/1.8</f>
        <v>4.4444444444444446</v>
      </c>
      <c r="BS147" s="118">
        <f t="shared" ref="BS147" si="831">(BS146-32)/1.8</f>
        <v>29.444444444444443</v>
      </c>
      <c r="BT147" s="118">
        <f t="shared" ref="BT147" si="832">(BT146-32)/1.8</f>
        <v>15.555555555555555</v>
      </c>
      <c r="BU147" s="104">
        <f t="shared" si="643"/>
        <v>1.0468303333333333</v>
      </c>
      <c r="BV147" s="104">
        <f t="shared" si="765"/>
        <v>1.1213092222222221</v>
      </c>
      <c r="BW147" s="104">
        <f t="shared" si="766"/>
        <v>0.62821811111111114</v>
      </c>
      <c r="BX147" s="13" t="s">
        <v>729</v>
      </c>
    </row>
    <row r="148" spans="4:98" hidden="1" outlineLevel="1" x14ac:dyDescent="0.3">
      <c r="E148" s="13" t="s">
        <v>369</v>
      </c>
      <c r="F148" s="22" t="s">
        <v>411</v>
      </c>
      <c r="G148" s="22" t="s">
        <v>606</v>
      </c>
      <c r="H148" s="13" t="s">
        <v>580</v>
      </c>
      <c r="I148" s="13" t="s">
        <v>659</v>
      </c>
      <c r="J148" s="13" t="s">
        <v>273</v>
      </c>
      <c r="K148" s="13" t="s">
        <v>157</v>
      </c>
      <c r="L148" s="22"/>
      <c r="N148" s="13" t="str">
        <f t="shared" si="631"/>
        <v>ChlrWtrCentPathBGtEql600tonEIRRatio_fTchwsTcwsIP</v>
      </c>
      <c r="O148" s="13" t="s">
        <v>165</v>
      </c>
      <c r="P148" s="13" t="s">
        <v>288</v>
      </c>
      <c r="Q148" s="13" t="s">
        <v>139</v>
      </c>
      <c r="R148" s="13" t="s">
        <v>140</v>
      </c>
      <c r="V148" s="33">
        <v>0.36702320760347801</v>
      </c>
      <c r="W148" s="33">
        <v>1.2466487978864901E-2</v>
      </c>
      <c r="X148" s="33">
        <v>-6.8822851718032595E-5</v>
      </c>
      <c r="Y148" s="33">
        <v>5.9339558672861503E-3</v>
      </c>
      <c r="Z148" s="33">
        <v>8.2446901437937793E-5</v>
      </c>
      <c r="AA148" s="33">
        <v>-2.2665353258000701E-4</v>
      </c>
      <c r="AG148" s="113">
        <f t="shared" si="622"/>
        <v>1.0900000000000001</v>
      </c>
      <c r="AH148" s="113">
        <f t="shared" si="623"/>
        <v>0.76</v>
      </c>
      <c r="AI148" s="113">
        <f t="shared" si="476"/>
        <v>54</v>
      </c>
      <c r="AJ148" s="113">
        <f t="shared" si="748"/>
        <v>40</v>
      </c>
      <c r="AK148" s="113">
        <f t="shared" si="477"/>
        <v>85</v>
      </c>
      <c r="AL148" s="113">
        <f t="shared" si="478"/>
        <v>60</v>
      </c>
      <c r="AO148" s="13">
        <f t="shared" si="633"/>
        <v>0</v>
      </c>
      <c r="AP148" s="120" t="str">
        <f t="shared" si="742"/>
        <v/>
      </c>
      <c r="AQ148" s="120" t="str">
        <f t="shared" si="635"/>
        <v/>
      </c>
      <c r="AR148" s="120" t="str">
        <f t="shared" si="743"/>
        <v/>
      </c>
      <c r="AS148" s="120" t="str">
        <f t="shared" si="744"/>
        <v/>
      </c>
      <c r="AT148" s="13" t="str">
        <f t="shared" si="745"/>
        <v/>
      </c>
      <c r="AU148" s="13" t="str">
        <f t="shared" si="425"/>
        <v xml:space="preserve">               </v>
      </c>
      <c r="AV148" s="13" t="str">
        <f t="shared" si="632"/>
        <v/>
      </c>
      <c r="AW148" s="13" t="str">
        <f t="shared" si="746"/>
        <v xml:space="preserve">                                                                 </v>
      </c>
      <c r="AX148" s="13" t="str">
        <f t="shared" si="747"/>
        <v/>
      </c>
      <c r="AY148" s="13" t="str">
        <f t="shared" si="747"/>
        <v/>
      </c>
      <c r="AZ148" s="13" t="str">
        <f t="shared" si="747"/>
        <v/>
      </c>
      <c r="BA148" s="13" t="str">
        <f t="shared" si="747"/>
        <v/>
      </c>
      <c r="BB148" s="13" t="str">
        <f t="shared" si="747"/>
        <v/>
      </c>
      <c r="BC148" s="13" t="str">
        <f t="shared" si="747"/>
        <v/>
      </c>
      <c r="BD148" s="13" t="str">
        <f t="shared" si="424"/>
        <v xml:space="preserve">_x000D_
                                                                                </v>
      </c>
      <c r="BE148" s="13" t="str">
        <f t="shared" si="625"/>
        <v/>
      </c>
      <c r="BF148" s="13" t="str">
        <f t="shared" si="626"/>
        <v/>
      </c>
      <c r="BG148" s="13" t="str">
        <f t="shared" si="627"/>
        <v/>
      </c>
      <c r="BH148" s="13" t="str">
        <f t="shared" si="628"/>
        <v/>
      </c>
      <c r="BI148" s="13" t="str">
        <f t="shared" si="629"/>
        <v/>
      </c>
      <c r="BJ148" s="13" t="str">
        <f t="shared" si="630"/>
        <v/>
      </c>
      <c r="BM148" s="13" t="str">
        <f t="shared" si="811"/>
        <v>Tchws</v>
      </c>
      <c r="BN148" s="13" t="str">
        <f t="shared" si="812"/>
        <v>Tcws</v>
      </c>
      <c r="BO148" s="13">
        <v>44</v>
      </c>
      <c r="BP148" s="13">
        <v>85</v>
      </c>
      <c r="BQ148" s="13">
        <v>54</v>
      </c>
      <c r="BR148" s="13">
        <v>40</v>
      </c>
      <c r="BS148" s="13">
        <v>85</v>
      </c>
      <c r="BT148" s="13">
        <v>60</v>
      </c>
      <c r="BU148" s="104">
        <f t="shared" si="643"/>
        <v>1.0346885375066197</v>
      </c>
      <c r="BV148" s="104">
        <f t="shared" si="765"/>
        <v>1.0850092648456213</v>
      </c>
      <c r="BW148" s="104">
        <f t="shared" si="766"/>
        <v>0.75801487450692173</v>
      </c>
      <c r="BX148" s="13" t="s">
        <v>729</v>
      </c>
      <c r="CI148" s="13" t="s">
        <v>28</v>
      </c>
    </row>
    <row r="149" spans="4:98" hidden="1" outlineLevel="1" x14ac:dyDescent="0.3">
      <c r="E149" s="13" t="s">
        <v>369</v>
      </c>
      <c r="F149" s="22" t="s">
        <v>411</v>
      </c>
      <c r="G149" s="22" t="s">
        <v>606</v>
      </c>
      <c r="H149" s="13" t="s">
        <v>580</v>
      </c>
      <c r="I149" s="13" t="s">
        <v>660</v>
      </c>
      <c r="J149" s="13" t="s">
        <v>144</v>
      </c>
      <c r="L149" s="22" t="s">
        <v>202</v>
      </c>
      <c r="M149" s="13" t="s">
        <v>249</v>
      </c>
      <c r="N149" s="13" t="str">
        <f t="shared" si="631"/>
        <v>ChlrWtrCentPathBGtEql600tonEIRRatio_fTchwsTcwsSI</v>
      </c>
      <c r="O149" s="13" t="s">
        <v>165</v>
      </c>
      <c r="P149" s="13" t="s">
        <v>288</v>
      </c>
      <c r="Q149" s="13" t="s">
        <v>139</v>
      </c>
      <c r="R149" s="13" t="s">
        <v>140</v>
      </c>
      <c r="V149" s="33">
        <v>0.73762499999999998</v>
      </c>
      <c r="W149" s="33">
        <v>1.4560199999999999E-3</v>
      </c>
      <c r="X149" s="33">
        <v>-2.22912E-4</v>
      </c>
      <c r="Y149" s="33">
        <v>7.1157599999999996E-3</v>
      </c>
      <c r="Z149" s="33">
        <v>2.6697599999999999E-4</v>
      </c>
      <c r="AA149" s="33">
        <v>-7.3450800000000004E-4</v>
      </c>
      <c r="AG149" s="113">
        <f t="shared" si="622"/>
        <v>1.08</v>
      </c>
      <c r="AH149" s="113">
        <f t="shared" si="623"/>
        <v>0.76</v>
      </c>
      <c r="AI149" s="113">
        <f t="shared" si="476"/>
        <v>12.22</v>
      </c>
      <c r="AJ149" s="113">
        <f t="shared" si="748"/>
        <v>4.4400000000000004</v>
      </c>
      <c r="AK149" s="113">
        <f t="shared" si="477"/>
        <v>29.44</v>
      </c>
      <c r="AL149" s="113">
        <f t="shared" si="478"/>
        <v>15.56</v>
      </c>
      <c r="AO149" s="13">
        <f t="shared" si="633"/>
        <v>1</v>
      </c>
      <c r="AP149" s="120" t="str">
        <f t="shared" ref="AP149" si="833">IF(AO149=1,CONCATENATE(AQ149,AR149,AS149),"")</f>
        <v>CrvDblQuad     "ChlrWtrCentPathBGtEql600tonEIRRatio_fTchwsTcwsSI"               Coef1 =  0.737625  Coef2 =  0.001456  Coef3 = -0.000223  Coef4 =  0.007116  Coef5 =  0.000267  Coef6 = -0.000735  _x000D_
                                                                                MaxOut = 1.080   MinOut = 0.760   MaxVar1 = 12.220   MinVar1 = 4.440   MaxVar2 = 29.440   MinVar2 = 15.560   _x000D_
..</v>
      </c>
      <c r="AQ149" s="120" t="str">
        <f t="shared" ref="AQ149" si="834">IF(AO149=1,CONCATENATE(AT149,AU149,AV149,AW149,IF(AX149="-","",$AX$15&amp;AX149),IF(AY149="-","",$AY$15&amp;AY149),IF(AZ149="-","",$AZ$15&amp;AZ149),IF(BA149="-","",$BA$15&amp;BA149),IF(BB149="-","",$BB$15&amp;BB149),IF(BC149="-","",$BC$15&amp;BC149)),"")</f>
        <v xml:space="preserve">CrvDblQuad     "ChlrWtrCentPathBGtEql600tonEIRRatio_fTchwsTcwsSI"               Coef1 =  0.737625  Coef2 =  0.001456  Coef3 = -0.000223  Coef4 =  0.007116  Coef5 =  0.000267  Coef6 = -0.000735  </v>
      </c>
      <c r="AR149" s="120" t="str">
        <f t="shared" ref="AR149" si="835">IF(AO149=1,CONCATENATE(BD149,IF(BE149="-","",$BE$15&amp;BE149),IF(BF149="-","",$BF$15&amp;BF149),IF(BG149="-","",$BG$15&amp;BG149),IF(BH149="-","",$BH$15&amp;BH149),IF(BI149="-","",$BI$15&amp;BI149),IF(BJ149="-","",$BJ$15&amp;BJ149)),"")</f>
        <v xml:space="preserve">_x000D_
                                                                                MaxOut = 1.080   MinOut = 0.760   MaxVar1 = 12.220   MinVar1 = 4.440   MaxVar2 = 29.440   MinVar2 = 15.560   </v>
      </c>
      <c r="AS149" s="120" t="str">
        <f t="shared" ref="AS149" si="836">IF(AO149=1,CHAR(13)&amp;CHAR(10)&amp;"..","")</f>
        <v>_x000D_
..</v>
      </c>
      <c r="AT149" s="13" t="str">
        <f t="shared" ref="AT149" si="837">IF(AO149=1,VLOOKUP(O149,$AT$2:$AV$13,2,0),"")</f>
        <v>CrvDblQuad</v>
      </c>
      <c r="AU149" s="13" t="str">
        <f t="shared" si="425"/>
        <v xml:space="preserve">     </v>
      </c>
      <c r="AV149" s="13" t="str">
        <f t="shared" si="632"/>
        <v>"ChlrWtrCentPathBGtEql600tonEIRRatio_fTchwsTcwsSI"</v>
      </c>
      <c r="AW149" s="13" t="str">
        <f t="shared" ref="AW149" si="838">REPT(" ",$AW$14-LEN(AV149))</f>
        <v xml:space="preserve">               </v>
      </c>
      <c r="AX149" s="13" t="str">
        <f t="shared" ref="AX149" si="839">IF($AO149=1,IF(ISBLANK(V149),"-",CONCATENATE(TEXT(V149," 0.000000;-0.000000"),"  ")),"")</f>
        <v xml:space="preserve"> 0.737625  </v>
      </c>
      <c r="AY149" s="13" t="str">
        <f t="shared" ref="AY149" si="840">IF($AO149=1,IF(ISBLANK(W149),"-",CONCATENATE(TEXT(W149," 0.000000;-0.000000"),"  ")),"")</f>
        <v xml:space="preserve"> 0.001456  </v>
      </c>
      <c r="AZ149" s="13" t="str">
        <f t="shared" ref="AZ149" si="841">IF($AO149=1,IF(ISBLANK(X149),"-",CONCATENATE(TEXT(X149," 0.000000;-0.000000"),"  ")),"")</f>
        <v xml:space="preserve">-0.000223  </v>
      </c>
      <c r="BA149" s="13" t="str">
        <f t="shared" ref="BA149" si="842">IF($AO149=1,IF(ISBLANK(Y149),"-",CONCATENATE(TEXT(Y149," 0.000000;-0.000000"),"  ")),"")</f>
        <v xml:space="preserve"> 0.007116  </v>
      </c>
      <c r="BB149" s="13" t="str">
        <f t="shared" ref="BB149" si="843">IF($AO149=1,IF(ISBLANK(Z149),"-",CONCATENATE(TEXT(Z149," 0.000000;-0.000000"),"  ")),"")</f>
        <v xml:space="preserve"> 0.000267  </v>
      </c>
      <c r="BC149" s="13" t="str">
        <f t="shared" ref="BC149" si="844">IF($AO149=1,IF(ISBLANK(AA149),"-",CONCATENATE(TEXT(AA149," 0.000000;-0.000000"),"  ")),"")</f>
        <v xml:space="preserve">-0.000735  </v>
      </c>
      <c r="BD149" s="13" t="str">
        <f t="shared" si="424"/>
        <v xml:space="preserve">_x000D_
                                                                                </v>
      </c>
      <c r="BE149" s="13" t="str">
        <f t="shared" si="625"/>
        <v xml:space="preserve">1.080   </v>
      </c>
      <c r="BF149" s="13" t="str">
        <f t="shared" si="626"/>
        <v xml:space="preserve">0.760   </v>
      </c>
      <c r="BG149" s="13" t="str">
        <f t="shared" si="627"/>
        <v xml:space="preserve">12.220   </v>
      </c>
      <c r="BH149" s="13" t="str">
        <f t="shared" si="628"/>
        <v xml:space="preserve">4.440   </v>
      </c>
      <c r="BI149" s="13" t="str">
        <f t="shared" si="629"/>
        <v xml:space="preserve">29.440   </v>
      </c>
      <c r="BJ149" s="13" t="str">
        <f t="shared" si="630"/>
        <v xml:space="preserve">15.560   </v>
      </c>
      <c r="BM149" s="13" t="str">
        <f t="shared" si="811"/>
        <v>Tchws</v>
      </c>
      <c r="BN149" s="13" t="str">
        <f t="shared" si="812"/>
        <v>Tcws</v>
      </c>
      <c r="BO149" s="118">
        <f>(BO148-32)/1.8</f>
        <v>6.6666666666666661</v>
      </c>
      <c r="BP149" s="118">
        <f>(BP148-32)/1.8</f>
        <v>29.444444444444443</v>
      </c>
      <c r="BQ149" s="118">
        <f t="shared" ref="BQ149" si="845">(BQ148-32)/1.8</f>
        <v>12.222222222222221</v>
      </c>
      <c r="BR149" s="118">
        <f t="shared" ref="BR149" si="846">(BR148-32)/1.8</f>
        <v>4.4444444444444446</v>
      </c>
      <c r="BS149" s="118">
        <f t="shared" ref="BS149" si="847">(BS148-32)/1.8</f>
        <v>29.444444444444443</v>
      </c>
      <c r="BT149" s="118">
        <f t="shared" ref="BT149" si="848">(BT148-32)/1.8</f>
        <v>15.555555555555555</v>
      </c>
      <c r="BU149" s="104">
        <f t="shared" si="643"/>
        <v>1.0342245999999999</v>
      </c>
      <c r="BV149" s="104">
        <f t="shared" si="765"/>
        <v>1.0845533999999999</v>
      </c>
      <c r="BW149" s="104">
        <f t="shared" si="766"/>
        <v>0.75776560000000015</v>
      </c>
      <c r="BX149" s="13" t="s">
        <v>729</v>
      </c>
      <c r="CI149" s="13">
        <v>0</v>
      </c>
      <c r="CJ149" s="13">
        <v>0.1</v>
      </c>
      <c r="CK149" s="13">
        <v>0.2</v>
      </c>
      <c r="CL149" s="13">
        <v>0.3</v>
      </c>
      <c r="CM149" s="13">
        <v>0.4</v>
      </c>
      <c r="CN149" s="13">
        <v>0.5</v>
      </c>
      <c r="CO149" s="13">
        <v>0.6</v>
      </c>
      <c r="CP149" s="13">
        <v>0.7</v>
      </c>
      <c r="CQ149" s="13">
        <v>0.8</v>
      </c>
      <c r="CR149" s="13">
        <v>0.9</v>
      </c>
      <c r="CS149" s="13">
        <v>1</v>
      </c>
      <c r="CT149" s="13">
        <v>1.1000000000000001</v>
      </c>
    </row>
    <row r="150" spans="4:98" ht="28.8" hidden="1" outlineLevel="1" x14ac:dyDescent="0.3">
      <c r="D150" s="22" t="s">
        <v>371</v>
      </c>
      <c r="E150" s="13" t="s">
        <v>369</v>
      </c>
      <c r="F150" s="22" t="s">
        <v>410</v>
      </c>
      <c r="G150" s="22" t="s">
        <v>573</v>
      </c>
      <c r="H150" s="13" t="s">
        <v>571</v>
      </c>
      <c r="J150" s="13" t="s">
        <v>272</v>
      </c>
      <c r="K150" s="13" t="s">
        <v>568</v>
      </c>
      <c r="L150" s="22" t="s">
        <v>202</v>
      </c>
      <c r="M150" s="13" t="s">
        <v>250</v>
      </c>
      <c r="N150" s="13" t="str">
        <f t="shared" si="631"/>
        <v>ChlrWtrPosDispPathAAllEIRRatio_fQRatio</v>
      </c>
      <c r="O150" s="13" t="s">
        <v>162</v>
      </c>
      <c r="P150" s="13" t="s">
        <v>288</v>
      </c>
      <c r="Q150" s="13" t="s">
        <v>160</v>
      </c>
      <c r="V150" s="33">
        <v>0.31096454297266818</v>
      </c>
      <c r="W150" s="33">
        <v>0.32251867620911578</v>
      </c>
      <c r="X150" s="33">
        <v>0.37274466425643099</v>
      </c>
      <c r="AG150" s="113" t="str">
        <f t="shared" ref="AG150:AG161" si="849">IF(BV150&gt;0,ROUND(BV150,2),"")</f>
        <v/>
      </c>
      <c r="AH150" s="113">
        <f t="shared" ref="AH150:AH161" si="850">IF(BW150&gt;0,ROUND(BW150,2),"")</f>
        <v>0.35</v>
      </c>
      <c r="AI150" s="113" t="str">
        <f t="shared" ref="AI150:AI161" si="851">IF(BQ150&gt;0,ROUND(BQ150,2),"")</f>
        <v/>
      </c>
      <c r="AJ150" s="113">
        <f t="shared" si="748"/>
        <v>0.1</v>
      </c>
      <c r="AK150" s="113" t="str">
        <f t="shared" ref="AK150:AK161" si="852">IF(BS150&gt;0,ROUND(BS150,2),"")</f>
        <v/>
      </c>
      <c r="AL150" s="113" t="str">
        <f t="shared" ref="AL150:AL161" si="853">IF(BT150&gt;0,ROUND(BT150,2),"")</f>
        <v/>
      </c>
      <c r="AO150" s="13">
        <f t="shared" si="633"/>
        <v>1</v>
      </c>
      <c r="AP150" s="120" t="str">
        <f t="shared" si="548"/>
        <v>CrvQuad        "ChlrWtrPosDispPathAAllEIRRatio_fQRatio"                         Coef1 =  0.310965  Coef2 =  0.322519  Coef3 =  0.372745  _x000D_
                                                                                MinOut = 0.350   MinVar1 = 0.100   _x000D_
..</v>
      </c>
      <c r="AQ150" s="120" t="str">
        <f t="shared" si="635"/>
        <v xml:space="preserve">CrvQuad        "ChlrWtrPosDispPathAAllEIRRatio_fQRatio"                         Coef1 =  0.310965  Coef2 =  0.322519  Coef3 =  0.372745  </v>
      </c>
      <c r="AR150" s="120" t="str">
        <f t="shared" si="549"/>
        <v xml:space="preserve">_x000D_
                                                                                MinOut = 0.350   MinVar1 = 0.100   </v>
      </c>
      <c r="AS150" s="120" t="str">
        <f t="shared" si="501"/>
        <v>_x000D_
..</v>
      </c>
      <c r="AT150" s="13" t="str">
        <f t="shared" ref="AT150:AT186" si="854">IF(AO150=1,VLOOKUP(O150,$AT$2:$AV$13,2,0),"")</f>
        <v>CrvQuad</v>
      </c>
      <c r="AU150" s="13" t="str">
        <f t="shared" si="425"/>
        <v xml:space="preserve">        </v>
      </c>
      <c r="AV150" s="13" t="str">
        <f t="shared" si="632"/>
        <v>"ChlrWtrPosDispPathAAllEIRRatio_fQRatio"</v>
      </c>
      <c r="AW150" s="13" t="str">
        <f t="shared" si="624"/>
        <v xml:space="preserve">                         </v>
      </c>
      <c r="AX150" s="13" t="str">
        <f t="shared" si="604"/>
        <v xml:space="preserve"> 0.310965  </v>
      </c>
      <c r="AY150" s="13" t="str">
        <f t="shared" si="605"/>
        <v xml:space="preserve"> 0.322519  </v>
      </c>
      <c r="AZ150" s="13" t="str">
        <f t="shared" si="606"/>
        <v xml:space="preserve"> 0.372745  </v>
      </c>
      <c r="BA150" s="13" t="str">
        <f t="shared" si="607"/>
        <v>-</v>
      </c>
      <c r="BB150" s="13" t="str">
        <f t="shared" si="608"/>
        <v>-</v>
      </c>
      <c r="BC150" s="13" t="str">
        <f t="shared" si="609"/>
        <v>-</v>
      </c>
      <c r="BD150" s="13" t="str">
        <f>IF(MAX(AG150:AL150)=0,REPT(" ",1),CHAR(13)&amp;CHAR(10)&amp;REPT(" ",BD$14))</f>
        <v xml:space="preserve">_x000D_
                                                                                </v>
      </c>
      <c r="BE150" s="13" t="str">
        <f t="shared" si="625"/>
        <v>-</v>
      </c>
      <c r="BF150" s="13" t="str">
        <f t="shared" si="626"/>
        <v xml:space="preserve">0.350   </v>
      </c>
      <c r="BG150" s="13" t="str">
        <f t="shared" si="627"/>
        <v>-</v>
      </c>
      <c r="BH150" s="13" t="str">
        <f t="shared" si="628"/>
        <v xml:space="preserve">0.100   </v>
      </c>
      <c r="BI150" s="13" t="str">
        <f t="shared" si="629"/>
        <v>-</v>
      </c>
      <c r="BJ150" s="13" t="str">
        <f t="shared" si="630"/>
        <v>-</v>
      </c>
      <c r="BM150" s="13" t="str">
        <f t="shared" si="811"/>
        <v>QRatio</v>
      </c>
      <c r="BO150" s="13">
        <v>1</v>
      </c>
      <c r="BR150" s="13">
        <v>0.1</v>
      </c>
      <c r="BU150" s="104">
        <f t="shared" ref="BU150:BU155" si="855">$V150+$W150*BO150+$X150*BO150^2+$Y150*BO150^3</f>
        <v>1.006227883438215</v>
      </c>
      <c r="BV150" s="104"/>
      <c r="BW150" s="104">
        <f t="shared" ref="BW150:BW155" si="856">$V150+$W150*BR150+$X150*BR150^2+$Y150*BR150^3</f>
        <v>0.34694385723614407</v>
      </c>
      <c r="CH150" s="133" t="s">
        <v>917</v>
      </c>
      <c r="CJ150" s="13">
        <f>CJ$149/($AX150+$AY150*CJ$149+$AZ150*CJ$149^2)</f>
        <v>0.28823066292908361</v>
      </c>
      <c r="CK150" s="13">
        <f t="shared" ref="CK150:CT155" si="857">CK$149/($AX150+$AY150*CK$149+$AZ150*CK$149^2)</f>
        <v>0.5123231652554725</v>
      </c>
      <c r="CL150" s="13">
        <f t="shared" si="857"/>
        <v>0.67985933710315338</v>
      </c>
      <c r="CM150" s="13">
        <f t="shared" si="857"/>
        <v>0.80062160261226822</v>
      </c>
      <c r="CN150" s="13">
        <f t="shared" si="857"/>
        <v>0.88431286458561331</v>
      </c>
      <c r="CO150" s="13">
        <f t="shared" si="857"/>
        <v>0.93946024251226712</v>
      </c>
      <c r="CP150" s="13">
        <f t="shared" si="857"/>
        <v>0.97306913023675401</v>
      </c>
      <c r="CQ150" s="13">
        <f t="shared" si="857"/>
        <v>0.99066668152666704</v>
      </c>
      <c r="CR150" s="13">
        <f t="shared" si="857"/>
        <v>0.99650608358659798</v>
      </c>
      <c r="CS150" s="13">
        <f t="shared" si="857"/>
        <v>0.99380956024920786</v>
      </c>
      <c r="CT150" s="13">
        <f t="shared" si="857"/>
        <v>0.98499463648034191</v>
      </c>
    </row>
    <row r="151" spans="4:98" ht="28.8" hidden="1" outlineLevel="1" x14ac:dyDescent="0.3">
      <c r="E151" s="13" t="s">
        <v>369</v>
      </c>
      <c r="F151" s="22" t="s">
        <v>410</v>
      </c>
      <c r="G151" s="22" t="s">
        <v>574</v>
      </c>
      <c r="H151" s="13" t="s">
        <v>572</v>
      </c>
      <c r="J151" s="13" t="s">
        <v>272</v>
      </c>
      <c r="K151" s="13" t="s">
        <v>568</v>
      </c>
      <c r="L151" s="22" t="s">
        <v>202</v>
      </c>
      <c r="M151" s="13" t="s">
        <v>250</v>
      </c>
      <c r="N151" s="13" t="str">
        <f t="shared" si="631"/>
        <v>ChlrWtrCentPathAAllEIRRatio_fQRatio</v>
      </c>
      <c r="O151" s="13" t="s">
        <v>162</v>
      </c>
      <c r="P151" s="13" t="s">
        <v>288</v>
      </c>
      <c r="Q151" s="13" t="s">
        <v>160</v>
      </c>
      <c r="V151" s="33">
        <v>0.22214905999999995</v>
      </c>
      <c r="W151" s="33">
        <v>0.50315595000000002</v>
      </c>
      <c r="X151" s="33">
        <v>0.25690463000000002</v>
      </c>
      <c r="AG151" s="113" t="str">
        <f t="shared" si="849"/>
        <v/>
      </c>
      <c r="AH151" s="113">
        <f t="shared" si="850"/>
        <v>0.28000000000000003</v>
      </c>
      <c r="AI151" s="113" t="str">
        <f t="shared" si="851"/>
        <v/>
      </c>
      <c r="AJ151" s="113">
        <f t="shared" si="748"/>
        <v>0.1</v>
      </c>
      <c r="AK151" s="113" t="str">
        <f t="shared" si="852"/>
        <v/>
      </c>
      <c r="AL151" s="113" t="str">
        <f t="shared" si="853"/>
        <v/>
      </c>
      <c r="AO151" s="13">
        <f t="shared" si="633"/>
        <v>1</v>
      </c>
      <c r="AP151" s="120" t="str">
        <f t="shared" si="548"/>
        <v>CrvQuad        "ChlrWtrCentPathAAllEIRRatio_fQRatio"                            Coef1 =  0.222149  Coef2 =  0.503156  Coef3 =  0.256905  _x000D_
                                                                                MinOut = 0.280   MinVar1 = 0.100   _x000D_
..</v>
      </c>
      <c r="AQ151" s="120" t="str">
        <f t="shared" si="635"/>
        <v xml:space="preserve">CrvQuad        "ChlrWtrCentPathAAllEIRRatio_fQRatio"                            Coef1 =  0.222149  Coef2 =  0.503156  Coef3 =  0.256905  </v>
      </c>
      <c r="AR151" s="120" t="str">
        <f t="shared" si="549"/>
        <v xml:space="preserve">_x000D_
                                                                                MinOut = 0.280   MinVar1 = 0.100   </v>
      </c>
      <c r="AS151" s="120" t="str">
        <f t="shared" si="501"/>
        <v>_x000D_
..</v>
      </c>
      <c r="AT151" s="13" t="str">
        <f t="shared" si="854"/>
        <v>CrvQuad</v>
      </c>
      <c r="AU151" s="13" t="str">
        <f t="shared" si="425"/>
        <v xml:space="preserve">        </v>
      </c>
      <c r="AV151" s="13" t="str">
        <f t="shared" si="632"/>
        <v>"ChlrWtrCentPathAAllEIRRatio_fQRatio"</v>
      </c>
      <c r="AW151" s="13" t="str">
        <f t="shared" si="624"/>
        <v xml:space="preserve">                            </v>
      </c>
      <c r="AX151" s="13" t="str">
        <f t="shared" si="604"/>
        <v xml:space="preserve"> 0.222149  </v>
      </c>
      <c r="AY151" s="13" t="str">
        <f t="shared" si="605"/>
        <v xml:space="preserve"> 0.503156  </v>
      </c>
      <c r="AZ151" s="13" t="str">
        <f t="shared" si="606"/>
        <v xml:space="preserve"> 0.256905  </v>
      </c>
      <c r="BA151" s="13" t="str">
        <f t="shared" si="607"/>
        <v>-</v>
      </c>
      <c r="BB151" s="13" t="str">
        <f t="shared" si="608"/>
        <v>-</v>
      </c>
      <c r="BC151" s="13" t="str">
        <f t="shared" si="609"/>
        <v>-</v>
      </c>
      <c r="BD151" s="13" t="str">
        <f t="shared" ref="BD151:BD204" si="858">IF(MAX(AG151:AL151)=0,REPT(" ",1),CHAR(13)&amp;CHAR(10)&amp;REPT(" ",BD$14))</f>
        <v xml:space="preserve">_x000D_
                                                                                </v>
      </c>
      <c r="BE151" s="13" t="str">
        <f t="shared" si="625"/>
        <v>-</v>
      </c>
      <c r="BF151" s="13" t="str">
        <f t="shared" si="626"/>
        <v xml:space="preserve">0.280   </v>
      </c>
      <c r="BG151" s="13" t="str">
        <f t="shared" si="627"/>
        <v>-</v>
      </c>
      <c r="BH151" s="13" t="str">
        <f t="shared" si="628"/>
        <v xml:space="preserve">0.100   </v>
      </c>
      <c r="BI151" s="13" t="str">
        <f t="shared" si="629"/>
        <v>-</v>
      </c>
      <c r="BJ151" s="13" t="str">
        <f t="shared" si="630"/>
        <v>-</v>
      </c>
      <c r="BM151" s="13" t="str">
        <f t="shared" si="811"/>
        <v>QRatio</v>
      </c>
      <c r="BO151" s="13">
        <v>1</v>
      </c>
      <c r="BR151" s="13">
        <v>0.1</v>
      </c>
      <c r="BU151" s="104">
        <f t="shared" si="855"/>
        <v>0.98220963999999999</v>
      </c>
      <c r="BV151" s="104"/>
      <c r="BW151" s="104">
        <f t="shared" si="856"/>
        <v>0.27503370129999993</v>
      </c>
      <c r="CH151" s="133" t="s">
        <v>919</v>
      </c>
      <c r="CJ151" s="13">
        <f t="shared" ref="CJ151:CJ155" si="859">CJ$149/($AX151+$AY151*CJ$149+$AZ151*CJ$149^2)</f>
        <v>0.36359187321260505</v>
      </c>
      <c r="CK151" s="13">
        <f t="shared" si="857"/>
        <v>0.60049889448153526</v>
      </c>
      <c r="CL151" s="13">
        <f t="shared" si="857"/>
        <v>0.75716037098334299</v>
      </c>
      <c r="CM151" s="13">
        <f t="shared" si="857"/>
        <v>0.86111097955248916</v>
      </c>
      <c r="CN151" s="13">
        <f t="shared" si="857"/>
        <v>0.92944879503934585</v>
      </c>
      <c r="CO151" s="13">
        <f t="shared" si="857"/>
        <v>0.97319117821660772</v>
      </c>
      <c r="CP151" s="13">
        <f t="shared" si="857"/>
        <v>0.99965490484606268</v>
      </c>
      <c r="CQ151" s="13">
        <f t="shared" si="857"/>
        <v>1.0138221983974005</v>
      </c>
      <c r="CR151" s="13">
        <f t="shared" si="857"/>
        <v>1.0191573844548716</v>
      </c>
      <c r="CS151" s="13">
        <f t="shared" si="857"/>
        <v>1.0181122163284837</v>
      </c>
      <c r="CT151" s="13">
        <f t="shared" si="857"/>
        <v>1.0124479089798284</v>
      </c>
    </row>
    <row r="152" spans="4:98" ht="28.8" hidden="1" outlineLevel="1" x14ac:dyDescent="0.3">
      <c r="E152" s="13" t="s">
        <v>369</v>
      </c>
      <c r="F152" s="22" t="s">
        <v>410</v>
      </c>
      <c r="G152" s="22" t="s">
        <v>578</v>
      </c>
      <c r="H152" s="13" t="s">
        <v>577</v>
      </c>
      <c r="J152" s="13" t="s">
        <v>272</v>
      </c>
      <c r="K152" s="13" t="s">
        <v>568</v>
      </c>
      <c r="L152" s="22" t="s">
        <v>202</v>
      </c>
      <c r="M152" s="13" t="s">
        <v>250</v>
      </c>
      <c r="N152" s="13" t="str">
        <f t="shared" si="631"/>
        <v>ChlrWtrPosDispPathBAllEIRRatio_fQRatio</v>
      </c>
      <c r="O152" s="13" t="s">
        <v>162</v>
      </c>
      <c r="P152" s="13" t="s">
        <v>288</v>
      </c>
      <c r="Q152" s="13" t="s">
        <v>160</v>
      </c>
      <c r="V152" s="33">
        <v>0</v>
      </c>
      <c r="W152" s="33">
        <v>0.62060000000000004</v>
      </c>
      <c r="X152" s="33">
        <v>0.38929999999999998</v>
      </c>
      <c r="AG152" s="113" t="str">
        <f t="shared" si="849"/>
        <v/>
      </c>
      <c r="AH152" s="113">
        <f t="shared" si="850"/>
        <v>7.0000000000000007E-2</v>
      </c>
      <c r="AI152" s="113" t="str">
        <f t="shared" si="851"/>
        <v/>
      </c>
      <c r="AJ152" s="113">
        <f t="shared" si="748"/>
        <v>0.1</v>
      </c>
      <c r="AK152" s="113" t="str">
        <f t="shared" si="852"/>
        <v/>
      </c>
      <c r="AL152" s="113" t="str">
        <f t="shared" si="853"/>
        <v/>
      </c>
      <c r="AO152" s="13">
        <f t="shared" si="633"/>
        <v>1</v>
      </c>
      <c r="AP152" s="120" t="str">
        <f t="shared" si="548"/>
        <v>CrvQuad        "ChlrWtrPosDispPathBAllEIRRatio_fQRatio"                         Coef1 =  0.000000  Coef2 =  0.620600  Coef3 =  0.389300  _x000D_
                                                                                MinOut = 0.070   MinVar1 = 0.100   _x000D_
..</v>
      </c>
      <c r="AQ152" s="120" t="str">
        <f t="shared" ref="AQ152:AQ186" si="860">IF(AO152=1,CONCATENATE(AT152,AU152,AV152,AW152,IF(AX152="-","",$AX$15&amp;AX152),IF(AY152="-","",$AY$15&amp;AY152),IF(AZ152="-","",$AZ$15&amp;AZ152),IF(BA152="-","",$BA$15&amp;BA152),IF(BB152="-","",$BB$15&amp;BB152),IF(BC152="-","",$BC$15&amp;BC152)),"")</f>
        <v xml:space="preserve">CrvQuad        "ChlrWtrPosDispPathBAllEIRRatio_fQRatio"                         Coef1 =  0.000000  Coef2 =  0.620600  Coef3 =  0.389300  </v>
      </c>
      <c r="AR152" s="120" t="str">
        <f t="shared" si="549"/>
        <v xml:space="preserve">_x000D_
                                                                                MinOut = 0.070   MinVar1 = 0.100   </v>
      </c>
      <c r="AS152" s="120" t="str">
        <f t="shared" si="501"/>
        <v>_x000D_
..</v>
      </c>
      <c r="AT152" s="13" t="str">
        <f t="shared" si="854"/>
        <v>CrvQuad</v>
      </c>
      <c r="AU152" s="13" t="str">
        <f t="shared" si="425"/>
        <v xml:space="preserve">        </v>
      </c>
      <c r="AV152" s="13" t="str">
        <f t="shared" si="632"/>
        <v>"ChlrWtrPosDispPathBAllEIRRatio_fQRatio"</v>
      </c>
      <c r="AW152" s="13" t="str">
        <f t="shared" si="624"/>
        <v xml:space="preserve">                         </v>
      </c>
      <c r="AX152" s="13" t="str">
        <f t="shared" si="604"/>
        <v xml:space="preserve"> 0.000000  </v>
      </c>
      <c r="AY152" s="13" t="str">
        <f t="shared" si="605"/>
        <v xml:space="preserve"> 0.620600  </v>
      </c>
      <c r="AZ152" s="13" t="str">
        <f t="shared" si="606"/>
        <v xml:space="preserve"> 0.389300  </v>
      </c>
      <c r="BA152" s="13" t="str">
        <f t="shared" si="607"/>
        <v>-</v>
      </c>
      <c r="BB152" s="13" t="str">
        <f t="shared" si="608"/>
        <v>-</v>
      </c>
      <c r="BC152" s="13" t="str">
        <f t="shared" si="609"/>
        <v>-</v>
      </c>
      <c r="BD152" s="13" t="str">
        <f t="shared" si="858"/>
        <v xml:space="preserve">_x000D_
                                                                                </v>
      </c>
      <c r="BE152" s="13" t="str">
        <f t="shared" si="625"/>
        <v>-</v>
      </c>
      <c r="BF152" s="13" t="str">
        <f t="shared" si="626"/>
        <v xml:space="preserve">0.070   </v>
      </c>
      <c r="BG152" s="13" t="str">
        <f t="shared" si="627"/>
        <v>-</v>
      </c>
      <c r="BH152" s="13" t="str">
        <f t="shared" si="628"/>
        <v xml:space="preserve">0.100   </v>
      </c>
      <c r="BI152" s="13" t="str">
        <f t="shared" si="629"/>
        <v>-</v>
      </c>
      <c r="BJ152" s="13" t="str">
        <f t="shared" si="630"/>
        <v>-</v>
      </c>
      <c r="BM152" s="13" t="str">
        <f t="shared" si="811"/>
        <v>QRatio</v>
      </c>
      <c r="BO152" s="13">
        <v>1</v>
      </c>
      <c r="BR152" s="13">
        <v>0.1</v>
      </c>
      <c r="BU152" s="104">
        <f t="shared" si="855"/>
        <v>1.0099</v>
      </c>
      <c r="BV152" s="104"/>
      <c r="BW152" s="104">
        <f t="shared" si="856"/>
        <v>6.5953000000000012E-2</v>
      </c>
      <c r="CH152" s="133" t="s">
        <v>918</v>
      </c>
      <c r="CJ152" s="13">
        <f t="shared" si="859"/>
        <v>1.5162312555911026</v>
      </c>
      <c r="CK152" s="13">
        <f t="shared" si="857"/>
        <v>1.4317212152449674</v>
      </c>
      <c r="CL152" s="13">
        <f t="shared" si="857"/>
        <v>1.356134474294471</v>
      </c>
      <c r="CM152" s="13">
        <f t="shared" si="857"/>
        <v>1.288128606760099</v>
      </c>
      <c r="CN152" s="13">
        <f t="shared" si="857"/>
        <v>1.2266176019625881</v>
      </c>
      <c r="CO152" s="13">
        <f t="shared" si="857"/>
        <v>1.1707134327659277</v>
      </c>
      <c r="CP152" s="13">
        <f t="shared" si="857"/>
        <v>1.1196829058010771</v>
      </c>
      <c r="CQ152" s="13">
        <f t="shared" si="857"/>
        <v>1.0729153255225097</v>
      </c>
      <c r="CR152" s="13">
        <f t="shared" si="857"/>
        <v>1.0298979371144319</v>
      </c>
      <c r="CS152" s="13">
        <f t="shared" si="857"/>
        <v>0.99019704921279328</v>
      </c>
      <c r="CT152" s="13">
        <f t="shared" si="857"/>
        <v>0.95344336069715774</v>
      </c>
    </row>
    <row r="153" spans="4:98" hidden="1" outlineLevel="1" x14ac:dyDescent="0.3">
      <c r="E153" s="13" t="s">
        <v>369</v>
      </c>
      <c r="F153" s="22" t="s">
        <v>410</v>
      </c>
      <c r="G153" s="22" t="s">
        <v>575</v>
      </c>
      <c r="H153" s="13" t="s">
        <v>579</v>
      </c>
      <c r="J153" s="13" t="s">
        <v>272</v>
      </c>
      <c r="K153" s="13" t="s">
        <v>568</v>
      </c>
      <c r="L153" s="22" t="s">
        <v>202</v>
      </c>
      <c r="M153" s="13" t="s">
        <v>250</v>
      </c>
      <c r="N153" s="13" t="str">
        <f t="shared" si="631"/>
        <v>ChlrWtrCentPathBLt300tonEIRRatio_fQRatio</v>
      </c>
      <c r="O153" s="13" t="s">
        <v>162</v>
      </c>
      <c r="P153" s="13" t="s">
        <v>288</v>
      </c>
      <c r="Q153" s="13" t="s">
        <v>160</v>
      </c>
      <c r="V153" s="33">
        <v>0.20838935431540859</v>
      </c>
      <c r="W153" s="33">
        <v>-0.12140415439980182</v>
      </c>
      <c r="X153" s="33">
        <v>0.91845464841410596</v>
      </c>
      <c r="AG153" s="113" t="str">
        <f t="shared" si="849"/>
        <v/>
      </c>
      <c r="AH153" s="113">
        <f t="shared" si="850"/>
        <v>0.21</v>
      </c>
      <c r="AI153" s="113" t="str">
        <f t="shared" si="851"/>
        <v/>
      </c>
      <c r="AJ153" s="113">
        <f t="shared" si="748"/>
        <v>0.1</v>
      </c>
      <c r="AK153" s="113" t="str">
        <f t="shared" si="852"/>
        <v/>
      </c>
      <c r="AL153" s="113" t="str">
        <f t="shared" si="853"/>
        <v/>
      </c>
      <c r="AO153" s="13">
        <f t="shared" si="633"/>
        <v>1</v>
      </c>
      <c r="AP153" s="120" t="str">
        <f t="shared" si="548"/>
        <v>CrvQuad        "ChlrWtrCentPathBLt300tonEIRRatio_fQRatio"                       Coef1 =  0.208389  Coef2 = -0.121404  Coef3 =  0.918455  _x000D_
                                                                                MinOut = 0.210   MinVar1 = 0.100   _x000D_
..</v>
      </c>
      <c r="AQ153" s="120" t="str">
        <f t="shared" si="860"/>
        <v xml:space="preserve">CrvQuad        "ChlrWtrCentPathBLt300tonEIRRatio_fQRatio"                       Coef1 =  0.208389  Coef2 = -0.121404  Coef3 =  0.918455  </v>
      </c>
      <c r="AR153" s="120" t="str">
        <f t="shared" si="549"/>
        <v xml:space="preserve">_x000D_
                                                                                MinOut = 0.210   MinVar1 = 0.100   </v>
      </c>
      <c r="AS153" s="120" t="str">
        <f t="shared" si="501"/>
        <v>_x000D_
..</v>
      </c>
      <c r="AT153" s="13" t="str">
        <f t="shared" si="854"/>
        <v>CrvQuad</v>
      </c>
      <c r="AU153" s="13" t="str">
        <f t="shared" si="425"/>
        <v xml:space="preserve">        </v>
      </c>
      <c r="AV153" s="13" t="str">
        <f t="shared" si="632"/>
        <v>"ChlrWtrCentPathBLt300tonEIRRatio_fQRatio"</v>
      </c>
      <c r="AW153" s="13" t="str">
        <f t="shared" si="624"/>
        <v xml:space="preserve">                       </v>
      </c>
      <c r="AX153" s="13" t="str">
        <f t="shared" si="604"/>
        <v xml:space="preserve"> 0.208389  </v>
      </c>
      <c r="AY153" s="13" t="str">
        <f t="shared" si="605"/>
        <v xml:space="preserve">-0.121404  </v>
      </c>
      <c r="AZ153" s="13" t="str">
        <f t="shared" si="606"/>
        <v xml:space="preserve"> 0.918455  </v>
      </c>
      <c r="BA153" s="13" t="str">
        <f t="shared" si="607"/>
        <v>-</v>
      </c>
      <c r="BB153" s="13" t="str">
        <f t="shared" si="608"/>
        <v>-</v>
      </c>
      <c r="BC153" s="13" t="str">
        <f t="shared" si="609"/>
        <v>-</v>
      </c>
      <c r="BD153" s="13" t="str">
        <f t="shared" si="858"/>
        <v xml:space="preserve">_x000D_
                                                                                </v>
      </c>
      <c r="BE153" s="13" t="str">
        <f t="shared" si="625"/>
        <v>-</v>
      </c>
      <c r="BF153" s="13" t="str">
        <f t="shared" si="626"/>
        <v xml:space="preserve">0.210   </v>
      </c>
      <c r="BG153" s="13" t="str">
        <f t="shared" si="627"/>
        <v>-</v>
      </c>
      <c r="BH153" s="13" t="str">
        <f t="shared" si="628"/>
        <v xml:space="preserve">0.100   </v>
      </c>
      <c r="BI153" s="13" t="str">
        <f t="shared" si="629"/>
        <v>-</v>
      </c>
      <c r="BJ153" s="13" t="str">
        <f t="shared" si="630"/>
        <v>-</v>
      </c>
      <c r="BM153" s="13" t="str">
        <f t="shared" si="811"/>
        <v>QRatio</v>
      </c>
      <c r="BO153" s="13">
        <v>1</v>
      </c>
      <c r="BR153" s="13">
        <v>0.1</v>
      </c>
      <c r="BU153" s="104">
        <f t="shared" si="855"/>
        <v>1.0054398483297127</v>
      </c>
      <c r="BV153" s="104"/>
      <c r="BW153" s="104">
        <f t="shared" si="856"/>
        <v>0.20543348535956946</v>
      </c>
      <c r="CH153" s="133" t="s">
        <v>920</v>
      </c>
      <c r="CJ153" s="13">
        <f t="shared" si="859"/>
        <v>0.48677635522796592</v>
      </c>
      <c r="CK153" s="13">
        <f t="shared" si="857"/>
        <v>0.90560679277543132</v>
      </c>
      <c r="CL153" s="13">
        <f t="shared" si="857"/>
        <v>1.178185888278523</v>
      </c>
      <c r="CM153" s="13">
        <f t="shared" si="857"/>
        <v>1.3038651125463769</v>
      </c>
      <c r="CN153" s="13">
        <f t="shared" si="857"/>
        <v>1.325202772589241</v>
      </c>
      <c r="CO153" s="13">
        <f t="shared" si="857"/>
        <v>1.287027789504031</v>
      </c>
      <c r="CP153" s="13">
        <f t="shared" si="857"/>
        <v>1.2206836473643741</v>
      </c>
      <c r="CQ153" s="13">
        <f t="shared" si="857"/>
        <v>1.1443660712625361</v>
      </c>
      <c r="CR153" s="13">
        <f t="shared" si="857"/>
        <v>1.0675220127487037</v>
      </c>
      <c r="CS153" s="13">
        <f t="shared" si="857"/>
        <v>0.99458943348185858</v>
      </c>
      <c r="CT153" s="13">
        <f t="shared" si="857"/>
        <v>0.92735040014959003</v>
      </c>
    </row>
    <row r="154" spans="4:98" ht="28.8" hidden="1" outlineLevel="1" x14ac:dyDescent="0.3">
      <c r="E154" s="13" t="s">
        <v>369</v>
      </c>
      <c r="F154" s="22" t="s">
        <v>410</v>
      </c>
      <c r="G154" s="22" t="s">
        <v>576</v>
      </c>
      <c r="H154" s="13" t="s">
        <v>581</v>
      </c>
      <c r="J154" s="13" t="s">
        <v>272</v>
      </c>
      <c r="K154" s="13" t="s">
        <v>568</v>
      </c>
      <c r="L154" s="22" t="s">
        <v>202</v>
      </c>
      <c r="M154" s="13" t="s">
        <v>250</v>
      </c>
      <c r="N154" s="13" t="str">
        <f t="shared" si="631"/>
        <v>ChlrWtrCentPathBGtEql300Lt600tonEIRRatio_fQRatio</v>
      </c>
      <c r="O154" s="13" t="s">
        <v>162</v>
      </c>
      <c r="P154" s="13" t="s">
        <v>288</v>
      </c>
      <c r="Q154" s="13" t="s">
        <v>160</v>
      </c>
      <c r="V154" s="33">
        <v>5.5482890962909211E-2</v>
      </c>
      <c r="W154" s="33">
        <v>0.45186601300589457</v>
      </c>
      <c r="X154" s="33">
        <v>0.48824167689654702</v>
      </c>
      <c r="AG154" s="113" t="str">
        <f t="shared" si="849"/>
        <v/>
      </c>
      <c r="AH154" s="113">
        <f t="shared" si="850"/>
        <v>0.11</v>
      </c>
      <c r="AI154" s="113" t="str">
        <f t="shared" si="851"/>
        <v/>
      </c>
      <c r="AJ154" s="113">
        <f t="shared" si="748"/>
        <v>0.1</v>
      </c>
      <c r="AK154" s="113" t="str">
        <f t="shared" si="852"/>
        <v/>
      </c>
      <c r="AL154" s="113" t="str">
        <f t="shared" si="853"/>
        <v/>
      </c>
      <c r="AO154" s="13">
        <f t="shared" si="633"/>
        <v>1</v>
      </c>
      <c r="AP154" s="120" t="str">
        <f t="shared" si="548"/>
        <v>CrvQuad        "ChlrWtrCentPathBGtEql300Lt600tonEIRRatio_fQRatio"               Coef1 =  0.055483  Coef2 =  0.451866  Coef3 =  0.488242  _x000D_
                                                                                MinOut = 0.110   MinVar1 = 0.100   _x000D_
..</v>
      </c>
      <c r="AQ154" s="120" t="str">
        <f t="shared" si="860"/>
        <v xml:space="preserve">CrvQuad        "ChlrWtrCentPathBGtEql300Lt600tonEIRRatio_fQRatio"               Coef1 =  0.055483  Coef2 =  0.451866  Coef3 =  0.488242  </v>
      </c>
      <c r="AR154" s="120" t="str">
        <f t="shared" si="549"/>
        <v xml:space="preserve">_x000D_
                                                                                MinOut = 0.110   MinVar1 = 0.100   </v>
      </c>
      <c r="AS154" s="120" t="str">
        <f t="shared" si="501"/>
        <v>_x000D_
..</v>
      </c>
      <c r="AT154" s="13" t="str">
        <f t="shared" si="854"/>
        <v>CrvQuad</v>
      </c>
      <c r="AU154" s="13" t="str">
        <f t="shared" si="425"/>
        <v xml:space="preserve">        </v>
      </c>
      <c r="AV154" s="13" t="str">
        <f t="shared" si="632"/>
        <v>"ChlrWtrCentPathBGtEql300Lt600tonEIRRatio_fQRatio"</v>
      </c>
      <c r="AW154" s="13" t="str">
        <f t="shared" si="624"/>
        <v xml:space="preserve">               </v>
      </c>
      <c r="AX154" s="13" t="str">
        <f t="shared" si="604"/>
        <v xml:space="preserve"> 0.055483  </v>
      </c>
      <c r="AY154" s="13" t="str">
        <f t="shared" si="605"/>
        <v xml:space="preserve"> 0.451866  </v>
      </c>
      <c r="AZ154" s="13" t="str">
        <f t="shared" si="606"/>
        <v xml:space="preserve"> 0.488242  </v>
      </c>
      <c r="BA154" s="13" t="str">
        <f t="shared" si="607"/>
        <v>-</v>
      </c>
      <c r="BB154" s="13" t="str">
        <f t="shared" si="608"/>
        <v>-</v>
      </c>
      <c r="BC154" s="13" t="str">
        <f t="shared" si="609"/>
        <v>-</v>
      </c>
      <c r="BD154" s="13" t="str">
        <f t="shared" si="858"/>
        <v xml:space="preserve">_x000D_
                                                                                </v>
      </c>
      <c r="BE154" s="13" t="str">
        <f t="shared" si="625"/>
        <v>-</v>
      </c>
      <c r="BF154" s="13" t="str">
        <f t="shared" si="626"/>
        <v xml:space="preserve">0.110   </v>
      </c>
      <c r="BG154" s="13" t="str">
        <f t="shared" si="627"/>
        <v>-</v>
      </c>
      <c r="BH154" s="13" t="str">
        <f t="shared" si="628"/>
        <v xml:space="preserve">0.100   </v>
      </c>
      <c r="BI154" s="13" t="str">
        <f t="shared" si="629"/>
        <v>-</v>
      </c>
      <c r="BJ154" s="13" t="str">
        <f t="shared" si="630"/>
        <v>-</v>
      </c>
      <c r="BM154" s="13" t="str">
        <f t="shared" si="811"/>
        <v>QRatio</v>
      </c>
      <c r="BO154" s="13">
        <v>1</v>
      </c>
      <c r="BR154" s="13">
        <v>0.1</v>
      </c>
      <c r="BU154" s="104">
        <f t="shared" si="855"/>
        <v>0.9955905808653509</v>
      </c>
      <c r="BV154" s="104"/>
      <c r="BW154" s="104">
        <f t="shared" si="856"/>
        <v>0.10555190903246414</v>
      </c>
      <c r="CH154" s="133" t="s">
        <v>921</v>
      </c>
      <c r="CJ154" s="13">
        <f t="shared" si="859"/>
        <v>0.94740015397147315</v>
      </c>
      <c r="CK154" s="13">
        <f t="shared" si="857"/>
        <v>1.2092930787078076</v>
      </c>
      <c r="CL154" s="13">
        <f t="shared" si="857"/>
        <v>1.2766795165878544</v>
      </c>
      <c r="CM154" s="13">
        <f t="shared" si="857"/>
        <v>1.2724746055424159</v>
      </c>
      <c r="CN154" s="13">
        <f t="shared" si="857"/>
        <v>1.2392295462065324</v>
      </c>
      <c r="CO154" s="13">
        <f t="shared" si="857"/>
        <v>1.1943394996020065</v>
      </c>
      <c r="CP154" s="13">
        <f t="shared" si="857"/>
        <v>1.1456107609379071</v>
      </c>
      <c r="CQ154" s="13">
        <f t="shared" si="857"/>
        <v>1.0967156819978563</v>
      </c>
      <c r="CR154" s="13">
        <f t="shared" si="857"/>
        <v>1.0493932862755846</v>
      </c>
      <c r="CS154" s="13">
        <f t="shared" si="857"/>
        <v>1.0044285253683491</v>
      </c>
      <c r="CT154" s="13">
        <f t="shared" si="857"/>
        <v>0.96212009004534405</v>
      </c>
    </row>
    <row r="155" spans="4:98" hidden="1" outlineLevel="1" x14ac:dyDescent="0.3">
      <c r="E155" s="13" t="s">
        <v>369</v>
      </c>
      <c r="F155" s="22" t="s">
        <v>410</v>
      </c>
      <c r="G155" s="22" t="s">
        <v>569</v>
      </c>
      <c r="H155" s="13" t="s">
        <v>580</v>
      </c>
      <c r="J155" s="13" t="s">
        <v>272</v>
      </c>
      <c r="K155" s="13" t="s">
        <v>568</v>
      </c>
      <c r="L155" s="22" t="s">
        <v>202</v>
      </c>
      <c r="M155" s="13" t="s">
        <v>250</v>
      </c>
      <c r="N155" s="13" t="str">
        <f t="shared" ref="N155:N186" si="861">IF(ISBLANK(E155),"-",E155&amp;H155&amp;P155&amp;"_f"&amp;Q155&amp;R155&amp;S155&amp;T155&amp;U155&amp;I155)</f>
        <v>ChlrWtrCentPathBGtEql600tonEIRRatio_fQRatio</v>
      </c>
      <c r="O155" s="13" t="s">
        <v>162</v>
      </c>
      <c r="P155" s="13" t="s">
        <v>288</v>
      </c>
      <c r="Q155" s="13" t="s">
        <v>160</v>
      </c>
      <c r="V155" s="33">
        <v>0.10742613951636103</v>
      </c>
      <c r="W155" s="33">
        <v>0.15677533396163701</v>
      </c>
      <c r="X155" s="33">
        <v>0.73934477949997901</v>
      </c>
      <c r="AG155" s="113" t="str">
        <f t="shared" si="849"/>
        <v/>
      </c>
      <c r="AH155" s="113">
        <f t="shared" si="850"/>
        <v>0.13</v>
      </c>
      <c r="AI155" s="113" t="str">
        <f t="shared" si="851"/>
        <v/>
      </c>
      <c r="AJ155" s="113">
        <f t="shared" si="748"/>
        <v>0.1</v>
      </c>
      <c r="AK155" s="113" t="str">
        <f t="shared" si="852"/>
        <v/>
      </c>
      <c r="AL155" s="113" t="str">
        <f t="shared" si="853"/>
        <v/>
      </c>
      <c r="AO155" s="13">
        <f t="shared" si="633"/>
        <v>1</v>
      </c>
      <c r="AP155" s="120" t="str">
        <f t="shared" si="548"/>
        <v>CrvQuad        "ChlrWtrCentPathBGtEql600tonEIRRatio_fQRatio"                    Coef1 =  0.107426  Coef2 =  0.156775  Coef3 =  0.739345  _x000D_
                                                                                MinOut = 0.130   MinVar1 = 0.100   _x000D_
..</v>
      </c>
      <c r="AQ155" s="120" t="str">
        <f t="shared" si="860"/>
        <v xml:space="preserve">CrvQuad        "ChlrWtrCentPathBGtEql600tonEIRRatio_fQRatio"                    Coef1 =  0.107426  Coef2 =  0.156775  Coef3 =  0.739345  </v>
      </c>
      <c r="AR155" s="120" t="str">
        <f t="shared" si="549"/>
        <v xml:space="preserve">_x000D_
                                                                                MinOut = 0.130   MinVar1 = 0.100   </v>
      </c>
      <c r="AS155" s="120" t="str">
        <f t="shared" si="501"/>
        <v>_x000D_
..</v>
      </c>
      <c r="AT155" s="13" t="str">
        <f t="shared" si="854"/>
        <v>CrvQuad</v>
      </c>
      <c r="AU155" s="13" t="str">
        <f t="shared" si="425"/>
        <v xml:space="preserve">        </v>
      </c>
      <c r="AV155" s="13" t="str">
        <f t="shared" ref="AV155:AV186" si="862">IF(AO155=1,CONCATENATE("""",N155,""""),"")</f>
        <v>"ChlrWtrCentPathBGtEql600tonEIRRatio_fQRatio"</v>
      </c>
      <c r="AW155" s="13" t="str">
        <f t="shared" si="624"/>
        <v xml:space="preserve">                    </v>
      </c>
      <c r="AX155" s="13" t="str">
        <f t="shared" si="604"/>
        <v xml:space="preserve"> 0.107426  </v>
      </c>
      <c r="AY155" s="13" t="str">
        <f t="shared" si="605"/>
        <v xml:space="preserve"> 0.156775  </v>
      </c>
      <c r="AZ155" s="13" t="str">
        <f t="shared" si="606"/>
        <v xml:space="preserve"> 0.739345  </v>
      </c>
      <c r="BA155" s="13" t="str">
        <f t="shared" si="607"/>
        <v>-</v>
      </c>
      <c r="BB155" s="13" t="str">
        <f t="shared" si="608"/>
        <v>-</v>
      </c>
      <c r="BC155" s="13" t="str">
        <f t="shared" si="609"/>
        <v>-</v>
      </c>
      <c r="BD155" s="13" t="str">
        <f t="shared" si="858"/>
        <v xml:space="preserve">_x000D_
                                                                                </v>
      </c>
      <c r="BE155" s="13" t="str">
        <f t="shared" si="625"/>
        <v>-</v>
      </c>
      <c r="BF155" s="13" t="str">
        <f t="shared" si="626"/>
        <v xml:space="preserve">0.130   </v>
      </c>
      <c r="BG155" s="13" t="str">
        <f t="shared" si="627"/>
        <v>-</v>
      </c>
      <c r="BH155" s="13" t="str">
        <f t="shared" si="628"/>
        <v xml:space="preserve">0.100   </v>
      </c>
      <c r="BI155" s="13" t="str">
        <f t="shared" si="629"/>
        <v>-</v>
      </c>
      <c r="BJ155" s="13" t="str">
        <f t="shared" si="630"/>
        <v>-</v>
      </c>
      <c r="BM155" s="13" t="str">
        <f t="shared" si="811"/>
        <v>QRatio</v>
      </c>
      <c r="BO155" s="13">
        <v>1</v>
      </c>
      <c r="BR155" s="13">
        <v>0.1</v>
      </c>
      <c r="BU155" s="104">
        <f t="shared" si="855"/>
        <v>1.0035462529779771</v>
      </c>
      <c r="BV155" s="104"/>
      <c r="BW155" s="104">
        <f t="shared" si="856"/>
        <v>0.13049712070752453</v>
      </c>
      <c r="CH155" s="133" t="s">
        <v>922</v>
      </c>
      <c r="CJ155" s="13">
        <f t="shared" si="859"/>
        <v>0.7663014346312309</v>
      </c>
      <c r="CK155" s="13">
        <f t="shared" si="857"/>
        <v>1.1879673166431846</v>
      </c>
      <c r="CL155" s="13">
        <f t="shared" si="857"/>
        <v>1.3574688274252142</v>
      </c>
      <c r="CM155" s="13">
        <f t="shared" si="857"/>
        <v>1.3868125223623518</v>
      </c>
      <c r="CN155" s="13">
        <f t="shared" si="857"/>
        <v>1.3489824288293732</v>
      </c>
      <c r="CO155" s="13">
        <f t="shared" si="857"/>
        <v>1.2829965324880381</v>
      </c>
      <c r="CP155" s="13">
        <f t="shared" si="857"/>
        <v>1.2080472166980427</v>
      </c>
      <c r="CQ155" s="13">
        <f t="shared" si="857"/>
        <v>1.133101463003954</v>
      </c>
      <c r="CR155" s="13">
        <f t="shared" si="857"/>
        <v>1.0620810569641865</v>
      </c>
      <c r="CS155" s="13">
        <f t="shared" si="857"/>
        <v>0.99646652968573435</v>
      </c>
      <c r="CT155" s="13">
        <f t="shared" si="857"/>
        <v>0.93657995653332415</v>
      </c>
    </row>
    <row r="156" spans="4:98" ht="28.8" hidden="1" outlineLevel="1" x14ac:dyDescent="0.3">
      <c r="D156" s="22" t="s">
        <v>371</v>
      </c>
      <c r="E156" s="13" t="s">
        <v>369</v>
      </c>
      <c r="F156" s="22" t="s">
        <v>607</v>
      </c>
      <c r="G156" s="22" t="s">
        <v>573</v>
      </c>
      <c r="H156" s="13" t="s">
        <v>571</v>
      </c>
      <c r="I156" s="13" t="s">
        <v>659</v>
      </c>
      <c r="J156" s="13" t="s">
        <v>273</v>
      </c>
      <c r="K156" s="13" t="s">
        <v>586</v>
      </c>
      <c r="L156" s="22"/>
      <c r="N156" s="13" t="str">
        <f t="shared" si="861"/>
        <v>ChlrWtrPosDispPathAAllEIRRatio_fQRatioDelTIP</v>
      </c>
      <c r="O156" s="13" t="s">
        <v>165</v>
      </c>
      <c r="P156" s="13" t="s">
        <v>288</v>
      </c>
      <c r="Q156" s="13" t="s">
        <v>160</v>
      </c>
      <c r="R156" s="13" t="s">
        <v>439</v>
      </c>
      <c r="V156" s="33">
        <v>0.27680422622696699</v>
      </c>
      <c r="W156" s="33">
        <v>0.27037332727331598</v>
      </c>
      <c r="X156" s="33">
        <v>0.37274466425643099</v>
      </c>
      <c r="Y156" s="33">
        <v>4.81928948948648E-3</v>
      </c>
      <c r="Z156" s="33">
        <v>-1.5556368261007101E-4</v>
      </c>
      <c r="AA156" s="33">
        <v>2.6072674467899899E-3</v>
      </c>
      <c r="AG156" s="113">
        <f t="shared" si="849"/>
        <v>0.96</v>
      </c>
      <c r="AH156" s="113">
        <f t="shared" si="850"/>
        <v>0.37</v>
      </c>
      <c r="AI156" s="113">
        <f t="shared" si="851"/>
        <v>1</v>
      </c>
      <c r="AJ156" s="113">
        <f t="shared" si="748"/>
        <v>0.15</v>
      </c>
      <c r="AK156" s="113">
        <f t="shared" si="852"/>
        <v>41</v>
      </c>
      <c r="AL156" s="113">
        <f t="shared" si="853"/>
        <v>16</v>
      </c>
      <c r="AO156" s="13">
        <f t="shared" si="633"/>
        <v>0</v>
      </c>
      <c r="AP156" s="120" t="str">
        <f t="shared" ref="AP156:AP161" si="863">IF(AO156=1,CONCATENATE(AQ156,AR156,AS156),"")</f>
        <v/>
      </c>
      <c r="AQ156" s="120" t="str">
        <f t="shared" si="860"/>
        <v/>
      </c>
      <c r="AR156" s="120" t="str">
        <f t="shared" ref="AR156:AR161" si="864">IF(AO156=1,CONCATENATE(BD156,IF(BE156="-","",$BE$15&amp;BE156),IF(BF156="-","",$BF$15&amp;BF156),IF(BG156="-","",$BG$15&amp;BG156),IF(BH156="-","",$BH$15&amp;BH156),IF(BI156="-","",$BI$15&amp;BI156),IF(BJ156="-","",$BJ$15&amp;BJ156)),"")</f>
        <v/>
      </c>
      <c r="AS156" s="120" t="str">
        <f t="shared" ref="AS156:AS161" si="865">IF(AO156=1,CHAR(13)&amp;CHAR(10)&amp;"..","")</f>
        <v/>
      </c>
      <c r="AT156" s="13" t="str">
        <f t="shared" ref="AT156:AT161" si="866">IF(AO156=1,VLOOKUP(O156,$AT$2:$AV$13,2,0),"")</f>
        <v/>
      </c>
      <c r="AU156" s="13" t="str">
        <f t="shared" si="425"/>
        <v xml:space="preserve">               </v>
      </c>
      <c r="AV156" s="13" t="str">
        <f t="shared" si="862"/>
        <v/>
      </c>
      <c r="AW156" s="13" t="str">
        <f t="shared" ref="AW156:AW161" si="867">REPT(" ",$AW$14-LEN(AV156))</f>
        <v xml:space="preserve">                                                                 </v>
      </c>
      <c r="AX156" s="13" t="str">
        <f t="shared" ref="AX156:AX161" si="868">IF($AO156=1,IF(ISBLANK(V156),"-",CONCATENATE(TEXT(V156," 0.000000;-0.000000"),"  ")),"")</f>
        <v/>
      </c>
      <c r="AY156" s="13" t="str">
        <f t="shared" ref="AY156:AY161" si="869">IF($AO156=1,IF(ISBLANK(W156),"-",CONCATENATE(TEXT(W156," 0.000000;-0.000000"),"  ")),"")</f>
        <v/>
      </c>
      <c r="AZ156" s="13" t="str">
        <f t="shared" ref="AZ156:AZ161" si="870">IF($AO156=1,IF(ISBLANK(X156),"-",CONCATENATE(TEXT(X156," 0.000000;-0.000000"),"  ")),"")</f>
        <v/>
      </c>
      <c r="BA156" s="13" t="str">
        <f t="shared" ref="BA156:BA161" si="871">IF($AO156=1,IF(ISBLANK(Y156),"-",CONCATENATE(TEXT(Y156," 0.000000;-0.000000"),"  ")),"")</f>
        <v/>
      </c>
      <c r="BB156" s="13" t="str">
        <f t="shared" ref="BB156:BB161" si="872">IF($AO156=1,IF(ISBLANK(Z156),"-",CONCATENATE(TEXT(Z156," 0.000000;-0.000000"),"  ")),"")</f>
        <v/>
      </c>
      <c r="BC156" s="13" t="str">
        <f t="shared" ref="BC156:BC161" si="873">IF($AO156=1,IF(ISBLANK(AA156),"-",CONCATENATE(TEXT(AA156," 0.000000;-0.000000"),"  ")),"")</f>
        <v/>
      </c>
      <c r="BD156" s="13" t="str">
        <f t="shared" si="858"/>
        <v xml:space="preserve">_x000D_
                                                                                </v>
      </c>
      <c r="BE156" s="13" t="str">
        <f t="shared" si="625"/>
        <v/>
      </c>
      <c r="BF156" s="13" t="str">
        <f t="shared" si="626"/>
        <v/>
      </c>
      <c r="BG156" s="13" t="str">
        <f t="shared" si="627"/>
        <v/>
      </c>
      <c r="BH156" s="13" t="str">
        <f t="shared" si="628"/>
        <v/>
      </c>
      <c r="BI156" s="13" t="str">
        <f t="shared" si="629"/>
        <v/>
      </c>
      <c r="BJ156" s="13" t="str">
        <f t="shared" si="630"/>
        <v/>
      </c>
      <c r="BM156" s="13" t="str">
        <f t="shared" si="811"/>
        <v>QRatio</v>
      </c>
      <c r="BN156" s="13" t="str">
        <f t="shared" si="812"/>
        <v>DelT</v>
      </c>
      <c r="BO156" s="13">
        <v>1</v>
      </c>
      <c r="BP156" s="13">
        <f>85-44</f>
        <v>41</v>
      </c>
      <c r="BQ156" s="13">
        <v>1</v>
      </c>
      <c r="BR156" s="13">
        <v>0.15</v>
      </c>
      <c r="BS156" s="13">
        <f t="shared" ref="BS156:BS161" si="874">85-44</f>
        <v>41</v>
      </c>
      <c r="BT156" s="13">
        <f>60-44</f>
        <v>16</v>
      </c>
      <c r="BU156" s="104">
        <f t="shared" ref="BU156:BU161" si="875">$V156+$W156*BO156+$X156*BO156^2+$Y156*BP156+$Z156*BP156^2+$AA156*BO156*BP156</f>
        <v>0.96290850167651976</v>
      </c>
      <c r="BV156" s="104">
        <f t="shared" ref="BV156:BW161" si="876">$V156+$W156*BQ156+$X156*BQ156^2+$Y156*BS156+$Z156*BS156^2+$AA156*BQ156*BS156</f>
        <v>0.96290850167651976</v>
      </c>
      <c r="BW156" s="104">
        <f t="shared" si="876"/>
        <v>0.36928875121963556</v>
      </c>
    </row>
    <row r="157" spans="4:98" ht="28.8" hidden="1" outlineLevel="1" x14ac:dyDescent="0.3">
      <c r="E157" s="13" t="s">
        <v>369</v>
      </c>
      <c r="F157" s="22" t="s">
        <v>607</v>
      </c>
      <c r="G157" s="22" t="s">
        <v>574</v>
      </c>
      <c r="H157" s="13" t="s">
        <v>572</v>
      </c>
      <c r="I157" s="13" t="s">
        <v>659</v>
      </c>
      <c r="J157" s="13" t="s">
        <v>273</v>
      </c>
      <c r="K157" s="13" t="s">
        <v>586</v>
      </c>
      <c r="L157" s="22"/>
      <c r="N157" s="13" t="str">
        <f t="shared" si="861"/>
        <v>ChlrWtrCentPathAAllEIRRatio_fQRatioDelTIP</v>
      </c>
      <c r="O157" s="13" t="s">
        <v>165</v>
      </c>
      <c r="P157" s="13" t="s">
        <v>288</v>
      </c>
      <c r="Q157" s="13" t="s">
        <v>160</v>
      </c>
      <c r="R157" s="13" t="s">
        <v>439</v>
      </c>
      <c r="V157" s="33">
        <v>0.27969645999999998</v>
      </c>
      <c r="W157" s="33">
        <v>0.57375735000000005</v>
      </c>
      <c r="X157" s="33">
        <v>0.25690463000000002</v>
      </c>
      <c r="Y157" s="33">
        <v>-5.8071700000000004E-3</v>
      </c>
      <c r="Z157" s="33">
        <v>1.4648999999999999E-4</v>
      </c>
      <c r="AA157" s="33">
        <v>-3.5300700000000002E-3</v>
      </c>
      <c r="AG157" s="113">
        <f t="shared" si="849"/>
        <v>0.97</v>
      </c>
      <c r="AH157" s="113">
        <f t="shared" si="850"/>
        <v>0.31</v>
      </c>
      <c r="AI157" s="113">
        <f t="shared" si="851"/>
        <v>1</v>
      </c>
      <c r="AJ157" s="113">
        <f t="shared" si="748"/>
        <v>0.15</v>
      </c>
      <c r="AK157" s="113">
        <f t="shared" si="852"/>
        <v>41</v>
      </c>
      <c r="AL157" s="113">
        <f t="shared" si="853"/>
        <v>16</v>
      </c>
      <c r="AO157" s="13">
        <f t="shared" si="633"/>
        <v>0</v>
      </c>
      <c r="AP157" s="120" t="str">
        <f t="shared" si="863"/>
        <v/>
      </c>
      <c r="AQ157" s="120" t="str">
        <f t="shared" si="860"/>
        <v/>
      </c>
      <c r="AR157" s="120" t="str">
        <f t="shared" si="864"/>
        <v/>
      </c>
      <c r="AS157" s="120" t="str">
        <f t="shared" si="865"/>
        <v/>
      </c>
      <c r="AT157" s="13" t="str">
        <f t="shared" si="866"/>
        <v/>
      </c>
      <c r="AU157" s="13" t="str">
        <f t="shared" si="425"/>
        <v xml:space="preserve">               </v>
      </c>
      <c r="AV157" s="13" t="str">
        <f t="shared" si="862"/>
        <v/>
      </c>
      <c r="AW157" s="13" t="str">
        <f t="shared" si="867"/>
        <v xml:space="preserve">                                                                 </v>
      </c>
      <c r="AX157" s="13" t="str">
        <f t="shared" si="868"/>
        <v/>
      </c>
      <c r="AY157" s="13" t="str">
        <f t="shared" si="869"/>
        <v/>
      </c>
      <c r="AZ157" s="13" t="str">
        <f t="shared" si="870"/>
        <v/>
      </c>
      <c r="BA157" s="13" t="str">
        <f t="shared" si="871"/>
        <v/>
      </c>
      <c r="BB157" s="13" t="str">
        <f t="shared" si="872"/>
        <v/>
      </c>
      <c r="BC157" s="13" t="str">
        <f t="shared" si="873"/>
        <v/>
      </c>
      <c r="BD157" s="13" t="str">
        <f t="shared" si="858"/>
        <v xml:space="preserve">_x000D_
                                                                                </v>
      </c>
      <c r="BE157" s="13" t="str">
        <f t="shared" si="625"/>
        <v/>
      </c>
      <c r="BF157" s="13" t="str">
        <f t="shared" si="626"/>
        <v/>
      </c>
      <c r="BG157" s="13" t="str">
        <f t="shared" si="627"/>
        <v/>
      </c>
      <c r="BH157" s="13" t="str">
        <f t="shared" si="628"/>
        <v/>
      </c>
      <c r="BI157" s="13" t="str">
        <f t="shared" si="629"/>
        <v/>
      </c>
      <c r="BJ157" s="13" t="str">
        <f t="shared" si="630"/>
        <v/>
      </c>
      <c r="BM157" s="13" t="str">
        <f t="shared" si="811"/>
        <v>QRatio</v>
      </c>
      <c r="BN157" s="13" t="str">
        <f t="shared" si="812"/>
        <v>DelT</v>
      </c>
      <c r="BO157" s="13">
        <v>1</v>
      </c>
      <c r="BP157" s="13">
        <f t="shared" ref="BP157:BP161" si="877">85-44</f>
        <v>41</v>
      </c>
      <c r="BQ157" s="13">
        <v>1</v>
      </c>
      <c r="BR157" s="13">
        <v>0.15</v>
      </c>
      <c r="BS157" s="13">
        <f t="shared" si="874"/>
        <v>41</v>
      </c>
      <c r="BT157" s="13">
        <f t="shared" ref="BT157:BT161" si="878">60-44</f>
        <v>16</v>
      </c>
      <c r="BU157" s="104">
        <f t="shared" si="875"/>
        <v>0.97378128999999991</v>
      </c>
      <c r="BV157" s="104">
        <f t="shared" si="876"/>
        <v>0.97378128999999991</v>
      </c>
      <c r="BW157" s="104">
        <f t="shared" si="876"/>
        <v>0.30765496867499997</v>
      </c>
    </row>
    <row r="158" spans="4:98" ht="28.8" hidden="1" outlineLevel="1" x14ac:dyDescent="0.3">
      <c r="E158" s="13" t="s">
        <v>369</v>
      </c>
      <c r="F158" s="22" t="s">
        <v>607</v>
      </c>
      <c r="G158" s="22" t="s">
        <v>578</v>
      </c>
      <c r="H158" s="13" t="s">
        <v>577</v>
      </c>
      <c r="I158" s="13" t="s">
        <v>659</v>
      </c>
      <c r="J158" s="13" t="s">
        <v>273</v>
      </c>
      <c r="K158" s="13" t="s">
        <v>586</v>
      </c>
      <c r="L158" s="22"/>
      <c r="N158" s="13" t="str">
        <f t="shared" si="861"/>
        <v>ChlrWtrPosDispPathBAllEIRRatio_fQRatioDelTIP</v>
      </c>
      <c r="O158" s="13" t="s">
        <v>165</v>
      </c>
      <c r="P158" s="13" t="s">
        <v>288</v>
      </c>
      <c r="Q158" s="13" t="s">
        <v>160</v>
      </c>
      <c r="R158" s="13" t="s">
        <v>439</v>
      </c>
      <c r="V158" s="33">
        <v>-0.20120632905317576</v>
      </c>
      <c r="W158" s="33">
        <v>1.0939141395105423</v>
      </c>
      <c r="X158" s="33">
        <v>0.1112859854753714</v>
      </c>
      <c r="Y158" s="33">
        <v>4.3863187303915668E-3</v>
      </c>
      <c r="Z158" s="33">
        <v>5.4295132741123726E-8</v>
      </c>
      <c r="AA158" s="33">
        <v>-4.4602921532097975E-3</v>
      </c>
      <c r="AG158" s="113">
        <f t="shared" si="849"/>
        <v>1</v>
      </c>
      <c r="AH158" s="113">
        <f t="shared" si="850"/>
        <v>0.02</v>
      </c>
      <c r="AI158" s="113">
        <f t="shared" si="851"/>
        <v>1</v>
      </c>
      <c r="AJ158" s="113">
        <f t="shared" si="748"/>
        <v>0.15</v>
      </c>
      <c r="AK158" s="113">
        <f t="shared" si="852"/>
        <v>41</v>
      </c>
      <c r="AL158" s="113">
        <f t="shared" si="853"/>
        <v>16</v>
      </c>
      <c r="AO158" s="13">
        <f t="shared" si="633"/>
        <v>0</v>
      </c>
      <c r="AP158" s="120" t="str">
        <f t="shared" si="863"/>
        <v/>
      </c>
      <c r="AQ158" s="120" t="str">
        <f t="shared" ref="AQ158:AQ161" si="879">IF(AO158=1,CONCATENATE(AT158,AU158,AV158,AW158,IF(AX158="-","",$AX$15&amp;AX158),IF(AY158="-","",$AY$15&amp;AY158),IF(AZ158="-","",$AZ$15&amp;AZ158),IF(BA158="-","",$BA$15&amp;BA158),IF(BB158="-","",$BB$15&amp;BB158),IF(BC158="-","",$BC$15&amp;BC158)),"")</f>
        <v/>
      </c>
      <c r="AR158" s="120" t="str">
        <f t="shared" si="864"/>
        <v/>
      </c>
      <c r="AS158" s="120" t="str">
        <f t="shared" si="865"/>
        <v/>
      </c>
      <c r="AT158" s="13" t="str">
        <f t="shared" si="866"/>
        <v/>
      </c>
      <c r="AU158" s="13" t="str">
        <f t="shared" si="425"/>
        <v xml:space="preserve">               </v>
      </c>
      <c r="AV158" s="13" t="str">
        <f t="shared" si="862"/>
        <v/>
      </c>
      <c r="AW158" s="13" t="str">
        <f t="shared" si="867"/>
        <v xml:space="preserve">                                                                 </v>
      </c>
      <c r="AX158" s="13" t="str">
        <f t="shared" si="868"/>
        <v/>
      </c>
      <c r="AY158" s="13" t="str">
        <f t="shared" si="869"/>
        <v/>
      </c>
      <c r="AZ158" s="13" t="str">
        <f t="shared" si="870"/>
        <v/>
      </c>
      <c r="BA158" s="13" t="str">
        <f t="shared" si="871"/>
        <v/>
      </c>
      <c r="BB158" s="13" t="str">
        <f t="shared" si="872"/>
        <v/>
      </c>
      <c r="BC158" s="13" t="str">
        <f t="shared" si="873"/>
        <v/>
      </c>
      <c r="BD158" s="13" t="str">
        <f t="shared" si="858"/>
        <v xml:space="preserve">_x000D_
                                                                                </v>
      </c>
      <c r="BE158" s="13" t="str">
        <f t="shared" si="625"/>
        <v/>
      </c>
      <c r="BF158" s="13" t="str">
        <f t="shared" si="626"/>
        <v/>
      </c>
      <c r="BG158" s="13" t="str">
        <f t="shared" si="627"/>
        <v/>
      </c>
      <c r="BH158" s="13" t="str">
        <f t="shared" si="628"/>
        <v/>
      </c>
      <c r="BI158" s="13" t="str">
        <f t="shared" si="629"/>
        <v/>
      </c>
      <c r="BJ158" s="13" t="str">
        <f t="shared" si="630"/>
        <v/>
      </c>
      <c r="BM158" s="13" t="str">
        <f t="shared" si="811"/>
        <v>QRatio</v>
      </c>
      <c r="BN158" s="13" t="str">
        <f t="shared" si="812"/>
        <v>DelT</v>
      </c>
      <c r="BO158" s="13">
        <v>1</v>
      </c>
      <c r="BP158" s="13">
        <f t="shared" si="877"/>
        <v>41</v>
      </c>
      <c r="BQ158" s="13">
        <v>1</v>
      </c>
      <c r="BR158" s="13">
        <v>0.15</v>
      </c>
      <c r="BS158" s="13">
        <f t="shared" si="874"/>
        <v>41</v>
      </c>
      <c r="BT158" s="13">
        <f t="shared" si="878"/>
        <v>16</v>
      </c>
      <c r="BU158" s="104">
        <f t="shared" si="875"/>
        <v>1.0010521557153282</v>
      </c>
      <c r="BV158" s="104">
        <f t="shared" si="876"/>
        <v>1.0010521557153282</v>
      </c>
      <c r="BW158" s="104">
        <f t="shared" si="876"/>
        <v>2.4875024619144724E-2</v>
      </c>
    </row>
    <row r="159" spans="4:98" hidden="1" outlineLevel="1" x14ac:dyDescent="0.3">
      <c r="E159" s="13" t="s">
        <v>369</v>
      </c>
      <c r="F159" s="22" t="s">
        <v>607</v>
      </c>
      <c r="G159" s="22" t="s">
        <v>575</v>
      </c>
      <c r="H159" s="13" t="s">
        <v>579</v>
      </c>
      <c r="I159" s="13" t="s">
        <v>659</v>
      </c>
      <c r="J159" s="13" t="s">
        <v>273</v>
      </c>
      <c r="K159" s="13" t="s">
        <v>586</v>
      </c>
      <c r="L159" s="22"/>
      <c r="N159" s="13" t="str">
        <f t="shared" si="861"/>
        <v>ChlrWtrCentPathBLt300tonEIRRatio_fQRatioDelTIP</v>
      </c>
      <c r="O159" s="13" t="s">
        <v>165</v>
      </c>
      <c r="P159" s="13" t="s">
        <v>288</v>
      </c>
      <c r="Q159" s="13" t="s">
        <v>160</v>
      </c>
      <c r="R159" s="13" t="s">
        <v>439</v>
      </c>
      <c r="V159" s="33">
        <v>9.9220759266582005E-3</v>
      </c>
      <c r="W159" s="33">
        <v>5.4002044968155999E-2</v>
      </c>
      <c r="X159" s="33">
        <v>0.91845464841410596</v>
      </c>
      <c r="Y159" s="33">
        <v>1.05967474705167E-2</v>
      </c>
      <c r="Z159" s="33">
        <v>-3.3669177553959002E-5</v>
      </c>
      <c r="AA159" s="33">
        <v>-8.7703099683978901E-3</v>
      </c>
      <c r="AG159" s="113">
        <f t="shared" si="849"/>
        <v>1</v>
      </c>
      <c r="AH159" s="113">
        <f t="shared" si="850"/>
        <v>0.18</v>
      </c>
      <c r="AI159" s="113">
        <f t="shared" si="851"/>
        <v>1</v>
      </c>
      <c r="AJ159" s="113">
        <f t="shared" si="748"/>
        <v>0.15</v>
      </c>
      <c r="AK159" s="113">
        <f t="shared" si="852"/>
        <v>41</v>
      </c>
      <c r="AL159" s="113">
        <f t="shared" si="853"/>
        <v>16</v>
      </c>
      <c r="AO159" s="13">
        <f t="shared" si="633"/>
        <v>0</v>
      </c>
      <c r="AP159" s="120" t="str">
        <f t="shared" si="863"/>
        <v/>
      </c>
      <c r="AQ159" s="120" t="str">
        <f t="shared" si="879"/>
        <v/>
      </c>
      <c r="AR159" s="120" t="str">
        <f t="shared" si="864"/>
        <v/>
      </c>
      <c r="AS159" s="120" t="str">
        <f t="shared" si="865"/>
        <v/>
      </c>
      <c r="AT159" s="13" t="str">
        <f t="shared" si="866"/>
        <v/>
      </c>
      <c r="AU159" s="13" t="str">
        <f t="shared" si="425"/>
        <v xml:space="preserve">               </v>
      </c>
      <c r="AV159" s="13" t="str">
        <f t="shared" si="862"/>
        <v/>
      </c>
      <c r="AW159" s="13" t="str">
        <f t="shared" si="867"/>
        <v xml:space="preserve">                                                                 </v>
      </c>
      <c r="AX159" s="13" t="str">
        <f t="shared" si="868"/>
        <v/>
      </c>
      <c r="AY159" s="13" t="str">
        <f t="shared" si="869"/>
        <v/>
      </c>
      <c r="AZ159" s="13" t="str">
        <f t="shared" si="870"/>
        <v/>
      </c>
      <c r="BA159" s="13" t="str">
        <f t="shared" si="871"/>
        <v/>
      </c>
      <c r="BB159" s="13" t="str">
        <f t="shared" si="872"/>
        <v/>
      </c>
      <c r="BC159" s="13" t="str">
        <f t="shared" si="873"/>
        <v/>
      </c>
      <c r="BD159" s="13" t="str">
        <f t="shared" si="858"/>
        <v xml:space="preserve">_x000D_
                                                                                </v>
      </c>
      <c r="BE159" s="13" t="str">
        <f t="shared" si="625"/>
        <v/>
      </c>
      <c r="BF159" s="13" t="str">
        <f t="shared" si="626"/>
        <v/>
      </c>
      <c r="BG159" s="13" t="str">
        <f t="shared" si="627"/>
        <v/>
      </c>
      <c r="BH159" s="13" t="str">
        <f t="shared" si="628"/>
        <v/>
      </c>
      <c r="BI159" s="13" t="str">
        <f t="shared" si="629"/>
        <v/>
      </c>
      <c r="BJ159" s="13" t="str">
        <f t="shared" si="630"/>
        <v/>
      </c>
      <c r="BM159" s="13" t="str">
        <f t="shared" si="811"/>
        <v>QRatio</v>
      </c>
      <c r="BN159" s="13" t="str">
        <f t="shared" si="812"/>
        <v>DelT</v>
      </c>
      <c r="BO159" s="13">
        <v>1</v>
      </c>
      <c r="BP159" s="13">
        <f t="shared" si="877"/>
        <v>41</v>
      </c>
      <c r="BQ159" s="13">
        <v>1</v>
      </c>
      <c r="BR159" s="13">
        <v>0.15</v>
      </c>
      <c r="BS159" s="13">
        <f t="shared" si="874"/>
        <v>41</v>
      </c>
      <c r="BT159" s="13">
        <f t="shared" si="878"/>
        <v>16</v>
      </c>
      <c r="BU159" s="104">
        <f t="shared" si="875"/>
        <v>1.0006648194275862</v>
      </c>
      <c r="BV159" s="104">
        <f t="shared" si="876"/>
        <v>1.0006648194275862</v>
      </c>
      <c r="BW159" s="104">
        <f t="shared" si="876"/>
        <v>0.17856751841149776</v>
      </c>
    </row>
    <row r="160" spans="4:98" ht="28.8" hidden="1" outlineLevel="1" x14ac:dyDescent="0.3">
      <c r="E160" s="13" t="s">
        <v>369</v>
      </c>
      <c r="F160" s="22" t="s">
        <v>607</v>
      </c>
      <c r="G160" s="22" t="s">
        <v>576</v>
      </c>
      <c r="H160" s="13" t="s">
        <v>581</v>
      </c>
      <c r="I160" s="13" t="s">
        <v>659</v>
      </c>
      <c r="J160" s="13" t="s">
        <v>273</v>
      </c>
      <c r="K160" s="13" t="s">
        <v>586</v>
      </c>
      <c r="L160" s="22"/>
      <c r="N160" s="13" t="str">
        <f t="shared" si="861"/>
        <v>ChlrWtrCentPathBGtEql300Lt600tonEIRRatio_fQRatioDelTIP</v>
      </c>
      <c r="O160" s="13" t="s">
        <v>165</v>
      </c>
      <c r="P160" s="13" t="s">
        <v>288</v>
      </c>
      <c r="Q160" s="13" t="s">
        <v>160</v>
      </c>
      <c r="R160" s="13" t="s">
        <v>439</v>
      </c>
      <c r="V160" s="33">
        <v>-3.6011974257651798E-2</v>
      </c>
      <c r="W160" s="33">
        <v>0.55779209997475898</v>
      </c>
      <c r="X160" s="33">
        <v>0.48824167689654702</v>
      </c>
      <c r="Y160" s="33">
        <v>3.8291205118540302E-3</v>
      </c>
      <c r="Z160" s="33">
        <v>3.7281137458701002E-5</v>
      </c>
      <c r="AA160" s="33">
        <v>-5.2963043484432204E-3</v>
      </c>
      <c r="AG160" s="113">
        <f t="shared" si="849"/>
        <v>1.01</v>
      </c>
      <c r="AH160" s="113">
        <f t="shared" si="850"/>
        <v>0.12</v>
      </c>
      <c r="AI160" s="113">
        <f t="shared" si="851"/>
        <v>1</v>
      </c>
      <c r="AJ160" s="113">
        <f t="shared" si="748"/>
        <v>0.15</v>
      </c>
      <c r="AK160" s="113">
        <f t="shared" si="852"/>
        <v>41</v>
      </c>
      <c r="AL160" s="113">
        <f t="shared" si="853"/>
        <v>16</v>
      </c>
      <c r="AO160" s="13">
        <f t="shared" si="633"/>
        <v>0</v>
      </c>
      <c r="AP160" s="120" t="str">
        <f t="shared" si="863"/>
        <v/>
      </c>
      <c r="AQ160" s="120" t="str">
        <f t="shared" si="879"/>
        <v/>
      </c>
      <c r="AR160" s="120" t="str">
        <f t="shared" si="864"/>
        <v/>
      </c>
      <c r="AS160" s="120" t="str">
        <f t="shared" si="865"/>
        <v/>
      </c>
      <c r="AT160" s="13" t="str">
        <f t="shared" si="866"/>
        <v/>
      </c>
      <c r="AU160" s="13" t="str">
        <f t="shared" si="425"/>
        <v xml:space="preserve">               </v>
      </c>
      <c r="AV160" s="13" t="str">
        <f t="shared" si="862"/>
        <v/>
      </c>
      <c r="AW160" s="13" t="str">
        <f t="shared" si="867"/>
        <v xml:space="preserve">                                                                 </v>
      </c>
      <c r="AX160" s="13" t="str">
        <f t="shared" si="868"/>
        <v/>
      </c>
      <c r="AY160" s="13" t="str">
        <f t="shared" si="869"/>
        <v/>
      </c>
      <c r="AZ160" s="13" t="str">
        <f t="shared" si="870"/>
        <v/>
      </c>
      <c r="BA160" s="13" t="str">
        <f t="shared" si="871"/>
        <v/>
      </c>
      <c r="BB160" s="13" t="str">
        <f t="shared" si="872"/>
        <v/>
      </c>
      <c r="BC160" s="13" t="str">
        <f t="shared" si="873"/>
        <v/>
      </c>
      <c r="BD160" s="13" t="str">
        <f t="shared" si="858"/>
        <v xml:space="preserve">_x000D_
                                                                                </v>
      </c>
      <c r="BE160" s="13" t="str">
        <f t="shared" si="625"/>
        <v/>
      </c>
      <c r="BF160" s="13" t="str">
        <f t="shared" si="626"/>
        <v/>
      </c>
      <c r="BG160" s="13" t="str">
        <f t="shared" si="627"/>
        <v/>
      </c>
      <c r="BH160" s="13" t="str">
        <f t="shared" si="628"/>
        <v/>
      </c>
      <c r="BI160" s="13" t="str">
        <f t="shared" si="629"/>
        <v/>
      </c>
      <c r="BJ160" s="13" t="str">
        <f t="shared" si="630"/>
        <v/>
      </c>
      <c r="BM160" s="13" t="str">
        <f t="shared" si="811"/>
        <v>QRatio</v>
      </c>
      <c r="BN160" s="13" t="str">
        <f t="shared" si="812"/>
        <v>DelT</v>
      </c>
      <c r="BO160" s="13">
        <v>1</v>
      </c>
      <c r="BP160" s="13">
        <f t="shared" si="877"/>
        <v>41</v>
      </c>
      <c r="BQ160" s="13">
        <v>1</v>
      </c>
      <c r="BR160" s="13">
        <v>0.15</v>
      </c>
      <c r="BS160" s="13">
        <f t="shared" si="874"/>
        <v>41</v>
      </c>
      <c r="BT160" s="13">
        <f t="shared" si="878"/>
        <v>16</v>
      </c>
      <c r="BU160" s="104">
        <f t="shared" si="875"/>
        <v>1.0125368573815738</v>
      </c>
      <c r="BV160" s="104">
        <f t="shared" si="876"/>
        <v>1.0125368573815738</v>
      </c>
      <c r="BW160" s="104">
        <f t="shared" si="876"/>
        <v>0.11674104741156255</v>
      </c>
    </row>
    <row r="161" spans="1:75" hidden="1" outlineLevel="1" x14ac:dyDescent="0.3">
      <c r="E161" s="13" t="s">
        <v>369</v>
      </c>
      <c r="F161" s="22" t="s">
        <v>607</v>
      </c>
      <c r="G161" s="22" t="s">
        <v>569</v>
      </c>
      <c r="H161" s="13" t="s">
        <v>580</v>
      </c>
      <c r="I161" s="13" t="s">
        <v>659</v>
      </c>
      <c r="J161" s="13" t="s">
        <v>273</v>
      </c>
      <c r="K161" s="13" t="s">
        <v>586</v>
      </c>
      <c r="L161" s="22"/>
      <c r="N161" s="13" t="str">
        <f t="shared" si="861"/>
        <v>ChlrWtrCentPathBGtEql600tonEIRRatio_fQRatioDelTIP</v>
      </c>
      <c r="O161" s="13" t="s">
        <v>165</v>
      </c>
      <c r="P161" s="13" t="s">
        <v>288</v>
      </c>
      <c r="Q161" s="13" t="s">
        <v>160</v>
      </c>
      <c r="R161" s="13" t="s">
        <v>439</v>
      </c>
      <c r="V161" s="33">
        <v>-8.9542569868818006E-2</v>
      </c>
      <c r="W161" s="33">
        <v>0.32091096088232701</v>
      </c>
      <c r="X161" s="33">
        <v>0.73934477949997901</v>
      </c>
      <c r="Y161" s="33">
        <v>9.5380879647118597E-3</v>
      </c>
      <c r="Z161" s="33">
        <v>1.55173752273546E-5</v>
      </c>
      <c r="AA161" s="33">
        <v>-8.2067813460344995E-3</v>
      </c>
      <c r="AG161" s="113">
        <f t="shared" si="849"/>
        <v>1.05</v>
      </c>
      <c r="AH161" s="113">
        <f t="shared" si="850"/>
        <v>0.11</v>
      </c>
      <c r="AI161" s="113">
        <f t="shared" si="851"/>
        <v>1</v>
      </c>
      <c r="AJ161" s="113">
        <f t="shared" si="748"/>
        <v>0.15</v>
      </c>
      <c r="AK161" s="113">
        <f t="shared" si="852"/>
        <v>41</v>
      </c>
      <c r="AL161" s="113">
        <f t="shared" si="853"/>
        <v>16</v>
      </c>
      <c r="AO161" s="13">
        <f t="shared" si="633"/>
        <v>0</v>
      </c>
      <c r="AP161" s="120" t="str">
        <f t="shared" si="863"/>
        <v/>
      </c>
      <c r="AQ161" s="120" t="str">
        <f t="shared" si="879"/>
        <v/>
      </c>
      <c r="AR161" s="120" t="str">
        <f t="shared" si="864"/>
        <v/>
      </c>
      <c r="AS161" s="120" t="str">
        <f t="shared" si="865"/>
        <v/>
      </c>
      <c r="AT161" s="13" t="str">
        <f t="shared" si="866"/>
        <v/>
      </c>
      <c r="AU161" s="13" t="str">
        <f t="shared" si="425"/>
        <v xml:space="preserve">               </v>
      </c>
      <c r="AV161" s="13" t="str">
        <f t="shared" si="862"/>
        <v/>
      </c>
      <c r="AW161" s="13" t="str">
        <f t="shared" si="867"/>
        <v xml:space="preserve">                                                                 </v>
      </c>
      <c r="AX161" s="13" t="str">
        <f t="shared" si="868"/>
        <v/>
      </c>
      <c r="AY161" s="13" t="str">
        <f t="shared" si="869"/>
        <v/>
      </c>
      <c r="AZ161" s="13" t="str">
        <f t="shared" si="870"/>
        <v/>
      </c>
      <c r="BA161" s="13" t="str">
        <f t="shared" si="871"/>
        <v/>
      </c>
      <c r="BB161" s="13" t="str">
        <f t="shared" si="872"/>
        <v/>
      </c>
      <c r="BC161" s="13" t="str">
        <f t="shared" si="873"/>
        <v/>
      </c>
      <c r="BD161" s="13" t="str">
        <f t="shared" si="858"/>
        <v xml:space="preserve">_x000D_
                                                                                </v>
      </c>
      <c r="BE161" s="13" t="str">
        <f t="shared" si="625"/>
        <v/>
      </c>
      <c r="BF161" s="13" t="str">
        <f t="shared" si="626"/>
        <v/>
      </c>
      <c r="BG161" s="13" t="str">
        <f t="shared" si="627"/>
        <v/>
      </c>
      <c r="BH161" s="13" t="str">
        <f t="shared" si="628"/>
        <v/>
      </c>
      <c r="BI161" s="13" t="str">
        <f t="shared" si="629"/>
        <v/>
      </c>
      <c r="BJ161" s="13" t="str">
        <f t="shared" si="630"/>
        <v/>
      </c>
      <c r="BM161" s="13" t="str">
        <f t="shared" si="811"/>
        <v>QRatio</v>
      </c>
      <c r="BN161" s="13" t="str">
        <f t="shared" si="812"/>
        <v>DelT</v>
      </c>
      <c r="BO161" s="13">
        <v>1</v>
      </c>
      <c r="BP161" s="13">
        <f t="shared" si="877"/>
        <v>41</v>
      </c>
      <c r="BQ161" s="13">
        <v>1</v>
      </c>
      <c r="BR161" s="13">
        <v>0.15</v>
      </c>
      <c r="BS161" s="13">
        <f t="shared" si="874"/>
        <v>41</v>
      </c>
      <c r="BT161" s="13">
        <f t="shared" si="878"/>
        <v>16</v>
      </c>
      <c r="BU161" s="104">
        <f t="shared" si="875"/>
        <v>1.0513814496364429</v>
      </c>
      <c r="BV161" s="104">
        <f t="shared" si="876"/>
        <v>1.0513814496364429</v>
      </c>
      <c r="BW161" s="104">
        <f t="shared" si="876"/>
        <v>0.1121149120653903</v>
      </c>
    </row>
    <row r="162" spans="1:75" hidden="1" outlineLevel="1" x14ac:dyDescent="0.3">
      <c r="A162" s="16" t="s">
        <v>381</v>
      </c>
      <c r="C162" s="38"/>
      <c r="N162" s="13" t="str">
        <f t="shared" si="861"/>
        <v>-</v>
      </c>
      <c r="AG162" s="113"/>
      <c r="AH162" s="113"/>
      <c r="AI162" s="113"/>
      <c r="AJ162" s="113"/>
      <c r="AK162" s="113"/>
      <c r="AL162" s="113"/>
      <c r="AO162" s="13" t="str">
        <f t="shared" si="633"/>
        <v/>
      </c>
      <c r="AP162" s="120" t="str">
        <f t="shared" si="548"/>
        <v/>
      </c>
      <c r="AQ162" s="120" t="str">
        <f t="shared" si="860"/>
        <v/>
      </c>
      <c r="AR162" s="120" t="str">
        <f t="shared" si="549"/>
        <v/>
      </c>
      <c r="AS162" s="120" t="str">
        <f t="shared" si="501"/>
        <v/>
      </c>
      <c r="AT162" s="13" t="str">
        <f t="shared" si="854"/>
        <v/>
      </c>
      <c r="AU162" s="13" t="str">
        <f t="shared" si="425"/>
        <v xml:space="preserve">               </v>
      </c>
      <c r="AV162" s="13" t="str">
        <f t="shared" si="862"/>
        <v/>
      </c>
      <c r="AW162" s="13" t="str">
        <f t="shared" si="624"/>
        <v xml:space="preserve">                                                                 </v>
      </c>
      <c r="AX162" s="13" t="str">
        <f t="shared" si="604"/>
        <v/>
      </c>
      <c r="AY162" s="13" t="str">
        <f t="shared" si="605"/>
        <v/>
      </c>
      <c r="AZ162" s="13" t="str">
        <f t="shared" si="606"/>
        <v/>
      </c>
      <c r="BA162" s="13" t="str">
        <f t="shared" si="607"/>
        <v/>
      </c>
      <c r="BB162" s="13" t="str">
        <f t="shared" si="608"/>
        <v/>
      </c>
      <c r="BC162" s="13" t="str">
        <f t="shared" si="609"/>
        <v/>
      </c>
      <c r="BD162" s="13" t="str">
        <f t="shared" si="858"/>
        <v xml:space="preserve"> </v>
      </c>
      <c r="BE162" s="13" t="str">
        <f t="shared" si="625"/>
        <v/>
      </c>
      <c r="BF162" s="13" t="str">
        <f t="shared" si="626"/>
        <v/>
      </c>
      <c r="BG162" s="13" t="str">
        <f t="shared" si="627"/>
        <v/>
      </c>
      <c r="BH162" s="13" t="str">
        <f t="shared" si="628"/>
        <v/>
      </c>
      <c r="BI162" s="13" t="str">
        <f t="shared" si="629"/>
        <v/>
      </c>
      <c r="BJ162" s="13" t="str">
        <f t="shared" si="630"/>
        <v/>
      </c>
      <c r="BM162" s="13">
        <f t="shared" si="811"/>
        <v>0</v>
      </c>
      <c r="BN162" s="13">
        <f t="shared" si="812"/>
        <v>0</v>
      </c>
      <c r="BU162" s="104"/>
      <c r="BV162" s="104"/>
      <c r="BW162" s="104"/>
    </row>
    <row r="163" spans="1:75" ht="28.8" hidden="1" outlineLevel="1" x14ac:dyDescent="0.3">
      <c r="B163" s="13" t="s">
        <v>137</v>
      </c>
      <c r="C163" s="38" t="s">
        <v>150</v>
      </c>
      <c r="D163" s="22" t="s">
        <v>390</v>
      </c>
      <c r="E163" s="13" t="s">
        <v>369</v>
      </c>
      <c r="F163" s="22" t="s">
        <v>403</v>
      </c>
      <c r="G163" s="22" t="s">
        <v>75</v>
      </c>
      <c r="H163" s="13" t="s">
        <v>613</v>
      </c>
      <c r="I163" s="13" t="s">
        <v>659</v>
      </c>
      <c r="J163" s="13" t="s">
        <v>273</v>
      </c>
      <c r="K163" s="13" t="s">
        <v>142</v>
      </c>
      <c r="L163" s="85"/>
      <c r="M163" s="85"/>
      <c r="N163" s="13" t="str">
        <f t="shared" si="861"/>
        <v>ChlrAbsorbSglStgQRatio_fTchwsTcwsIP</v>
      </c>
      <c r="O163" s="13" t="s">
        <v>165</v>
      </c>
      <c r="P163" s="13" t="s">
        <v>160</v>
      </c>
      <c r="Q163" s="13" t="s">
        <v>139</v>
      </c>
      <c r="R163" s="13" t="s">
        <v>140</v>
      </c>
      <c r="V163" s="33">
        <v>0.72341200000000005</v>
      </c>
      <c r="W163" s="33">
        <v>7.9006000000000007E-2</v>
      </c>
      <c r="X163" s="33">
        <v>8.9700000000000001E-4</v>
      </c>
      <c r="Y163" s="33">
        <v>2.5284999999999998E-2</v>
      </c>
      <c r="Z163" s="33">
        <v>4.8000000000000001E-5</v>
      </c>
      <c r="AA163" s="33">
        <v>2.7599999999999999E-4</v>
      </c>
      <c r="AG163" s="113"/>
      <c r="AH163" s="113"/>
      <c r="AI163" s="113"/>
      <c r="AJ163" s="113"/>
      <c r="AK163" s="113"/>
      <c r="AL163" s="113"/>
      <c r="AO163" s="13">
        <f t="shared" si="633"/>
        <v>0</v>
      </c>
      <c r="AP163" s="120" t="str">
        <f t="shared" si="548"/>
        <v/>
      </c>
      <c r="AQ163" s="120" t="str">
        <f t="shared" si="860"/>
        <v/>
      </c>
      <c r="AR163" s="120" t="str">
        <f t="shared" si="549"/>
        <v/>
      </c>
      <c r="AS163" s="120" t="str">
        <f t="shared" si="501"/>
        <v/>
      </c>
      <c r="AT163" s="13" t="str">
        <f t="shared" si="854"/>
        <v/>
      </c>
      <c r="AU163" s="13" t="str">
        <f t="shared" si="425"/>
        <v xml:space="preserve">               </v>
      </c>
      <c r="AV163" s="13" t="str">
        <f t="shared" si="862"/>
        <v/>
      </c>
      <c r="AW163" s="13" t="str">
        <f t="shared" si="624"/>
        <v xml:space="preserve">                                                                 </v>
      </c>
      <c r="AX163" s="13" t="str">
        <f t="shared" si="604"/>
        <v/>
      </c>
      <c r="AY163" s="13" t="str">
        <f t="shared" si="605"/>
        <v/>
      </c>
      <c r="AZ163" s="13" t="str">
        <f t="shared" si="606"/>
        <v/>
      </c>
      <c r="BA163" s="13" t="str">
        <f t="shared" si="607"/>
        <v/>
      </c>
      <c r="BB163" s="13" t="str">
        <f t="shared" si="608"/>
        <v/>
      </c>
      <c r="BC163" s="13" t="str">
        <f t="shared" si="609"/>
        <v/>
      </c>
      <c r="BD163" s="13" t="str">
        <f t="shared" ref="BD163:BD186" si="880">IF(MAX(AG163:AL163)=0,REPT(" ",1),CHAR(13)&amp;CHAR(10)&amp;REPT(" ",BD$14))</f>
        <v xml:space="preserve"> </v>
      </c>
      <c r="BE163" s="13" t="str">
        <f t="shared" si="625"/>
        <v/>
      </c>
      <c r="BF163" s="13" t="str">
        <f t="shared" si="626"/>
        <v/>
      </c>
      <c r="BG163" s="13" t="str">
        <f t="shared" si="627"/>
        <v/>
      </c>
      <c r="BH163" s="13" t="str">
        <f t="shared" si="628"/>
        <v/>
      </c>
      <c r="BI163" s="13" t="str">
        <f t="shared" si="629"/>
        <v/>
      </c>
      <c r="BJ163" s="13" t="str">
        <f t="shared" si="630"/>
        <v/>
      </c>
      <c r="BM163" s="13" t="str">
        <f t="shared" si="811"/>
        <v>Tchws</v>
      </c>
      <c r="BN163" s="13" t="str">
        <f t="shared" si="812"/>
        <v>Tcws</v>
      </c>
      <c r="BO163" s="13">
        <v>1</v>
      </c>
      <c r="BR163" s="13">
        <v>0</v>
      </c>
      <c r="BU163" s="104">
        <f t="shared" ref="BU163:BU186" si="881">$V163+$W163*BO163+$X163*BO163^2</f>
        <v>0.80331500000000011</v>
      </c>
      <c r="BV163" s="115"/>
      <c r="BW163" s="104">
        <f t="shared" ref="BW163:BW186" si="882">$V163+$W163*BR163+$X163*BR163^2</f>
        <v>0.72341200000000005</v>
      </c>
    </row>
    <row r="164" spans="1:75" hidden="1" outlineLevel="1" x14ac:dyDescent="0.3">
      <c r="C164" s="38"/>
      <c r="E164" s="13" t="s">
        <v>369</v>
      </c>
      <c r="F164" s="22" t="s">
        <v>835</v>
      </c>
      <c r="G164" s="22" t="s">
        <v>832</v>
      </c>
      <c r="H164" s="13" t="s">
        <v>831</v>
      </c>
      <c r="I164" s="13" t="s">
        <v>660</v>
      </c>
      <c r="J164" s="13" t="s">
        <v>144</v>
      </c>
      <c r="L164" s="85" t="s">
        <v>185</v>
      </c>
      <c r="M164" s="85"/>
      <c r="N164" s="13" t="str">
        <f t="shared" si="861"/>
        <v>ChlrAbsorbSglStgIndirQRatio_fTcwsSI</v>
      </c>
      <c r="O164" s="13" t="s">
        <v>162</v>
      </c>
      <c r="P164" s="13" t="s">
        <v>160</v>
      </c>
      <c r="Q164" s="13" t="s">
        <v>140</v>
      </c>
      <c r="V164" s="33">
        <v>5.0196667000000001</v>
      </c>
      <c r="W164" s="33">
        <v>-0.21922220000000001</v>
      </c>
      <c r="X164" s="33">
        <v>2.8888999999999998E-3</v>
      </c>
      <c r="AG164" s="113"/>
      <c r="AH164" s="113"/>
      <c r="AI164" s="113">
        <v>34</v>
      </c>
      <c r="AJ164" s="113">
        <v>10</v>
      </c>
      <c r="AK164" s="113"/>
      <c r="AL164" s="113"/>
      <c r="AO164" s="13">
        <f t="shared" ref="AO164:AO165" si="883">IF(ISTEXT(A164),"",IF(I164="IP",0,1))</f>
        <v>1</v>
      </c>
      <c r="AP164" s="120" t="str">
        <f t="shared" si="548"/>
        <v>CrvQuad        "ChlrAbsorbSglStgIndirQRatio_fTcwsSI"                            Coef1 =  5.019667  Coef2 = -0.219222  Coef3 =  0.002889  _x000D_
                                                                                MaxVar1 = 34.000   MinVar1 = 10.000   _x000D_
..</v>
      </c>
      <c r="AQ164" s="120" t="str">
        <f t="shared" si="860"/>
        <v xml:space="preserve">CrvQuad        "ChlrAbsorbSglStgIndirQRatio_fTcwsSI"                            Coef1 =  5.019667  Coef2 = -0.219222  Coef3 =  0.002889  </v>
      </c>
      <c r="AR164" s="120" t="str">
        <f t="shared" si="549"/>
        <v xml:space="preserve">_x000D_
                                                                                MaxVar1 = 34.000   MinVar1 = 10.000   </v>
      </c>
      <c r="AS164" s="120" t="str">
        <f t="shared" si="501"/>
        <v>_x000D_
..</v>
      </c>
      <c r="AT164" s="13" t="str">
        <f t="shared" si="854"/>
        <v>CrvQuad</v>
      </c>
      <c r="AU164" s="13" t="str">
        <f t="shared" ref="AU164:AU186" si="884">REPT(" ",AU$14-LEN(AT164))</f>
        <v xml:space="preserve">        </v>
      </c>
      <c r="AV164" s="13" t="str">
        <f t="shared" si="862"/>
        <v>"ChlrAbsorbSglStgIndirQRatio_fTcwsSI"</v>
      </c>
      <c r="AW164" s="13" t="str">
        <f t="shared" si="624"/>
        <v xml:space="preserve">                            </v>
      </c>
      <c r="AX164" s="13" t="str">
        <f t="shared" si="604"/>
        <v xml:space="preserve"> 5.019667  </v>
      </c>
      <c r="AY164" s="13" t="str">
        <f t="shared" si="605"/>
        <v xml:space="preserve">-0.219222  </v>
      </c>
      <c r="AZ164" s="13" t="str">
        <f t="shared" si="606"/>
        <v xml:space="preserve"> 0.002889  </v>
      </c>
      <c r="BA164" s="13" t="str">
        <f t="shared" si="607"/>
        <v>-</v>
      </c>
      <c r="BB164" s="13" t="str">
        <f t="shared" si="608"/>
        <v>-</v>
      </c>
      <c r="BC164" s="13" t="str">
        <f t="shared" si="609"/>
        <v>-</v>
      </c>
      <c r="BD164" s="13" t="str">
        <f t="shared" si="880"/>
        <v xml:space="preserve">_x000D_
                                                                                </v>
      </c>
      <c r="BE164" s="13" t="str">
        <f t="shared" si="625"/>
        <v>-</v>
      </c>
      <c r="BF164" s="13" t="str">
        <f t="shared" si="626"/>
        <v>-</v>
      </c>
      <c r="BG164" s="13" t="str">
        <f t="shared" si="627"/>
        <v xml:space="preserve">34.000   </v>
      </c>
      <c r="BH164" s="13" t="str">
        <f t="shared" si="628"/>
        <v xml:space="preserve">10.000   </v>
      </c>
      <c r="BI164" s="13" t="str">
        <f t="shared" si="629"/>
        <v>-</v>
      </c>
      <c r="BJ164" s="13" t="str">
        <f t="shared" si="630"/>
        <v>-</v>
      </c>
      <c r="BM164" s="13" t="str">
        <f t="shared" si="811"/>
        <v>Tcws</v>
      </c>
      <c r="BO164" s="13">
        <v>1</v>
      </c>
      <c r="BR164" s="13">
        <v>0</v>
      </c>
      <c r="BU164" s="104">
        <f t="shared" si="881"/>
        <v>4.8033334000000005</v>
      </c>
      <c r="BV164" s="115"/>
      <c r="BW164" s="104">
        <f t="shared" si="882"/>
        <v>5.0196667000000001</v>
      </c>
    </row>
    <row r="165" spans="1:75" hidden="1" outlineLevel="1" x14ac:dyDescent="0.3">
      <c r="C165" s="38"/>
      <c r="E165" s="13" t="s">
        <v>369</v>
      </c>
      <c r="F165" s="22" t="s">
        <v>836</v>
      </c>
      <c r="G165" s="22" t="s">
        <v>832</v>
      </c>
      <c r="H165" s="13" t="s">
        <v>831</v>
      </c>
      <c r="I165" s="13" t="s">
        <v>660</v>
      </c>
      <c r="J165" s="13" t="s">
        <v>144</v>
      </c>
      <c r="L165" s="85" t="s">
        <v>185</v>
      </c>
      <c r="M165" s="85"/>
      <c r="N165" s="13" t="str">
        <f t="shared" si="861"/>
        <v>ChlrAbsorbSglStgIndirQRatio_fTchwsSI</v>
      </c>
      <c r="O165" s="13" t="s">
        <v>162</v>
      </c>
      <c r="P165" s="13" t="s">
        <v>160</v>
      </c>
      <c r="Q165" s="13" t="s">
        <v>139</v>
      </c>
      <c r="V165" s="33">
        <v>0.69057100000000005</v>
      </c>
      <c r="W165" s="33">
        <v>6.5571000000000004E-2</v>
      </c>
      <c r="X165" s="33">
        <v>-2.8900000000000002E-3</v>
      </c>
      <c r="AG165" s="113"/>
      <c r="AH165" s="113"/>
      <c r="AI165" s="113">
        <v>10</v>
      </c>
      <c r="AJ165" s="113">
        <v>4</v>
      </c>
      <c r="AK165" s="113"/>
      <c r="AL165" s="113"/>
      <c r="AO165" s="13">
        <f t="shared" si="883"/>
        <v>1</v>
      </c>
      <c r="AP165" s="120" t="str">
        <f t="shared" si="548"/>
        <v>CrvQuad        "ChlrAbsorbSglStgIndirQRatio_fTchwsSI"                           Coef1 =  0.690571  Coef2 =  0.065571  Coef3 = -0.002890  _x000D_
                                                                                MaxVar1 = 10.000   MinVar1 = 4.000   _x000D_
..</v>
      </c>
      <c r="AQ165" s="120" t="str">
        <f t="shared" si="860"/>
        <v xml:space="preserve">CrvQuad        "ChlrAbsorbSglStgIndirQRatio_fTchwsSI"                           Coef1 =  0.690571  Coef2 =  0.065571  Coef3 = -0.002890  </v>
      </c>
      <c r="AR165" s="120" t="str">
        <f t="shared" si="549"/>
        <v xml:space="preserve">_x000D_
                                                                                MaxVar1 = 10.000   MinVar1 = 4.000   </v>
      </c>
      <c r="AS165" s="120" t="str">
        <f t="shared" si="501"/>
        <v>_x000D_
..</v>
      </c>
      <c r="AT165" s="13" t="str">
        <f t="shared" si="854"/>
        <v>CrvQuad</v>
      </c>
      <c r="AU165" s="13" t="str">
        <f t="shared" si="884"/>
        <v xml:space="preserve">        </v>
      </c>
      <c r="AV165" s="13" t="str">
        <f t="shared" si="862"/>
        <v>"ChlrAbsorbSglStgIndirQRatio_fTchwsSI"</v>
      </c>
      <c r="AW165" s="13" t="str">
        <f t="shared" si="624"/>
        <v xml:space="preserve">                           </v>
      </c>
      <c r="AX165" s="13" t="str">
        <f t="shared" si="604"/>
        <v xml:space="preserve"> 0.690571  </v>
      </c>
      <c r="AY165" s="13" t="str">
        <f t="shared" si="605"/>
        <v xml:space="preserve"> 0.065571  </v>
      </c>
      <c r="AZ165" s="13" t="str">
        <f t="shared" si="606"/>
        <v xml:space="preserve">-0.002890  </v>
      </c>
      <c r="BA165" s="13" t="str">
        <f t="shared" si="607"/>
        <v>-</v>
      </c>
      <c r="BB165" s="13" t="str">
        <f t="shared" si="608"/>
        <v>-</v>
      </c>
      <c r="BC165" s="13" t="str">
        <f t="shared" si="609"/>
        <v>-</v>
      </c>
      <c r="BD165" s="13" t="str">
        <f t="shared" si="880"/>
        <v xml:space="preserve">_x000D_
                                                                                </v>
      </c>
      <c r="BE165" s="13" t="str">
        <f t="shared" si="625"/>
        <v>-</v>
      </c>
      <c r="BF165" s="13" t="str">
        <f t="shared" si="626"/>
        <v>-</v>
      </c>
      <c r="BG165" s="13" t="str">
        <f t="shared" si="627"/>
        <v xml:space="preserve">10.000   </v>
      </c>
      <c r="BH165" s="13" t="str">
        <f t="shared" si="628"/>
        <v xml:space="preserve">4.000   </v>
      </c>
      <c r="BI165" s="13" t="str">
        <f t="shared" si="629"/>
        <v>-</v>
      </c>
      <c r="BJ165" s="13" t="str">
        <f t="shared" si="630"/>
        <v>-</v>
      </c>
      <c r="BM165" s="13" t="str">
        <f t="shared" si="811"/>
        <v>Tchws</v>
      </c>
      <c r="BO165" s="13">
        <v>1</v>
      </c>
      <c r="BR165" s="13">
        <v>0</v>
      </c>
      <c r="BU165" s="104">
        <f t="shared" si="881"/>
        <v>0.75325200000000014</v>
      </c>
      <c r="BV165" s="115"/>
      <c r="BW165" s="104">
        <f t="shared" si="882"/>
        <v>0.69057100000000005</v>
      </c>
    </row>
    <row r="166" spans="1:75" hidden="1" outlineLevel="1" x14ac:dyDescent="0.3">
      <c r="C166" s="38"/>
      <c r="E166" s="13" t="s">
        <v>369</v>
      </c>
      <c r="F166" s="22" t="s">
        <v>839</v>
      </c>
      <c r="G166" s="22" t="s">
        <v>832</v>
      </c>
      <c r="H166" s="13" t="s">
        <v>831</v>
      </c>
      <c r="I166" s="13" t="s">
        <v>660</v>
      </c>
      <c r="J166" s="13" t="s">
        <v>144</v>
      </c>
      <c r="L166" s="85" t="s">
        <v>185</v>
      </c>
      <c r="M166" s="85"/>
      <c r="N166" s="13" t="str">
        <f t="shared" si="861"/>
        <v>ChlrAbsorbSglStgIndirQRatio_fTgenSI</v>
      </c>
      <c r="O166" s="13" t="s">
        <v>230</v>
      </c>
      <c r="P166" s="13" t="s">
        <v>160</v>
      </c>
      <c r="Q166" s="13" t="s">
        <v>837</v>
      </c>
      <c r="V166" s="33">
        <v>25.359010000000001</v>
      </c>
      <c r="W166" s="33">
        <v>-1.045196</v>
      </c>
      <c r="X166" s="33">
        <v>1.4005999999999999E-2</v>
      </c>
      <c r="Y166" s="33">
        <v>-5.9899999999999999E-5</v>
      </c>
      <c r="AG166" s="113"/>
      <c r="AH166" s="113"/>
      <c r="AI166" s="113">
        <v>95</v>
      </c>
      <c r="AJ166" s="113">
        <v>70</v>
      </c>
      <c r="AK166" s="113"/>
      <c r="AL166" s="113"/>
      <c r="AO166" s="13">
        <f t="shared" ref="AO166" si="885">IF(ISTEXT(A166),"",IF(I166="IP",0,1))</f>
        <v>1</v>
      </c>
      <c r="AP166" s="120" t="str">
        <f t="shared" ref="AP166" si="886">IF(AO166=1,CONCATENATE(AQ166,AR166,AS166),"")</f>
        <v>CrvCubic       "ChlrAbsorbSglStgIndirQRatio_fTgenSI"                            Coef1 =  25.359010  Coef2 = -1.045196  Coef3 =  0.014006  Coef4 = -0.000060  _x000D_
                                                                                MaxVar1 = 95.000   MinVar1 = 70.000   _x000D_
..</v>
      </c>
      <c r="AQ166" s="120" t="str">
        <f t="shared" ref="AQ166" si="887">IF(AO166=1,CONCATENATE(AT166,AU166,AV166,AW166,IF(AX166="-","",$AX$15&amp;AX166),IF(AY166="-","",$AY$15&amp;AY166),IF(AZ166="-","",$AZ$15&amp;AZ166),IF(BA166="-","",$BA$15&amp;BA166),IF(BB166="-","",$BB$15&amp;BB166),IF(BC166="-","",$BC$15&amp;BC166)),"")</f>
        <v xml:space="preserve">CrvCubic       "ChlrAbsorbSglStgIndirQRatio_fTgenSI"                            Coef1 =  25.359010  Coef2 = -1.045196  Coef3 =  0.014006  Coef4 = -0.000060  </v>
      </c>
      <c r="AR166" s="120" t="str">
        <f t="shared" ref="AR166" si="888">IF(AO166=1,CONCATENATE(BD166,IF(BE166="-","",$BE$15&amp;BE166),IF(BF166="-","",$BF$15&amp;BF166),IF(BG166="-","",$BG$15&amp;BG166),IF(BH166="-","",$BH$15&amp;BH166),IF(BI166="-","",$BI$15&amp;BI166),IF(BJ166="-","",$BJ$15&amp;BJ166)),"")</f>
        <v xml:space="preserve">_x000D_
                                                                                MaxVar1 = 95.000   MinVar1 = 70.000   </v>
      </c>
      <c r="AS166" s="120" t="str">
        <f t="shared" ref="AS166" si="889">IF(AO166=1,CHAR(13)&amp;CHAR(10)&amp;"..","")</f>
        <v>_x000D_
..</v>
      </c>
      <c r="AT166" s="13" t="str">
        <f t="shared" ref="AT166" si="890">IF(AO166=1,VLOOKUP(O166,$AT$2:$AV$13,2,0),"")</f>
        <v>CrvCubic</v>
      </c>
      <c r="AU166" s="13" t="str">
        <f t="shared" ref="AU166" si="891">REPT(" ",AU$14-LEN(AT166))</f>
        <v xml:space="preserve">       </v>
      </c>
      <c r="AV166" s="13" t="str">
        <f t="shared" si="862"/>
        <v>"ChlrAbsorbSglStgIndirQRatio_fTgenSI"</v>
      </c>
      <c r="AW166" s="13" t="str">
        <f t="shared" ref="AW166" si="892">REPT(" ",$AW$14-LEN(AV166))</f>
        <v xml:space="preserve">                            </v>
      </c>
      <c r="AX166" s="13" t="str">
        <f t="shared" ref="AX166" si="893">IF($AO166=1,IF(ISBLANK(V166),"-",CONCATENATE(TEXT(V166," 0.000000;-0.000000"),"  ")),"")</f>
        <v xml:space="preserve"> 25.359010  </v>
      </c>
      <c r="AY166" s="13" t="str">
        <f t="shared" ref="AY166" si="894">IF($AO166=1,IF(ISBLANK(W166),"-",CONCATENATE(TEXT(W166," 0.000000;-0.000000"),"  ")),"")</f>
        <v xml:space="preserve">-1.045196  </v>
      </c>
      <c r="AZ166" s="13" t="str">
        <f t="shared" ref="AZ166" si="895">IF($AO166=1,IF(ISBLANK(X166),"-",CONCATENATE(TEXT(X166," 0.000000;-0.000000"),"  ")),"")</f>
        <v xml:space="preserve"> 0.014006  </v>
      </c>
      <c r="BA166" s="13" t="str">
        <f t="shared" ref="BA166" si="896">IF($AO166=1,IF(ISBLANK(Y166),"-",CONCATENATE(TEXT(Y166," 0.000000;-0.000000"),"  ")),"")</f>
        <v xml:space="preserve">-0.000060  </v>
      </c>
      <c r="BB166" s="13" t="str">
        <f t="shared" ref="BB166" si="897">IF($AO166=1,IF(ISBLANK(Z166),"-",CONCATENATE(TEXT(Z166," 0.000000;-0.000000"),"  ")),"")</f>
        <v>-</v>
      </c>
      <c r="BC166" s="13" t="str">
        <f t="shared" ref="BC166" si="898">IF($AO166=1,IF(ISBLANK(AA166),"-",CONCATENATE(TEXT(AA166," 0.000000;-0.000000"),"  ")),"")</f>
        <v>-</v>
      </c>
      <c r="BD166" s="13" t="str">
        <f t="shared" ref="BD166" si="899">IF(MAX(AG166:AL166)=0,REPT(" ",1),CHAR(13)&amp;CHAR(10)&amp;REPT(" ",BD$14))</f>
        <v xml:space="preserve">_x000D_
                                                                                </v>
      </c>
      <c r="BE166" s="13" t="str">
        <f t="shared" ref="BE166" si="900">IF($AO166=1,IF(AG166="","-",CONCATENATE(TEXT(AG166,"0.000"),"   ")),"")</f>
        <v>-</v>
      </c>
      <c r="BF166" s="13" t="str">
        <f t="shared" ref="BF166" si="901">IF($AO166=1,IF(AH166="","-",CONCATENATE(TEXT(AH166,"0.000"),"   ")),"")</f>
        <v>-</v>
      </c>
      <c r="BG166" s="13" t="str">
        <f t="shared" ref="BG166" si="902">IF($AO166=1,IF(AI166="","-",CONCATENATE(TEXT(AI166,"0.000"),"   ")),"")</f>
        <v xml:space="preserve">95.000   </v>
      </c>
      <c r="BH166" s="13" t="str">
        <f t="shared" ref="BH166" si="903">IF($AO166=1,IF(AJ166="","-",CONCATENATE(TEXT(AJ166,"0.000"),"   ")),"")</f>
        <v xml:space="preserve">70.000   </v>
      </c>
      <c r="BI166" s="13" t="str">
        <f t="shared" ref="BI166" si="904">IF($AO166=1,IF(AK166="","-",CONCATENATE(TEXT(AK166,"0.000"),"   ")),"")</f>
        <v>-</v>
      </c>
      <c r="BJ166" s="13" t="str">
        <f t="shared" ref="BJ166" si="905">IF($AO166=1,IF(AL166="","-",CONCATENATE(TEXT(AL166,"0.000"),"   ")),"")</f>
        <v>-</v>
      </c>
      <c r="BM166" s="13" t="str">
        <f t="shared" si="811"/>
        <v>Tgen</v>
      </c>
      <c r="BO166" s="13">
        <v>1</v>
      </c>
      <c r="BR166" s="13">
        <v>0</v>
      </c>
      <c r="BU166" s="104">
        <f t="shared" ref="BU166" si="906">$V166+$W166*BO166+$X166*BO166^2</f>
        <v>24.327819999999999</v>
      </c>
      <c r="BV166" s="115"/>
      <c r="BW166" s="104">
        <f t="shared" ref="BW166" si="907">$V166+$W166*BR166+$X166*BR166^2</f>
        <v>25.359010000000001</v>
      </c>
    </row>
    <row r="167" spans="1:75" hidden="1" outlineLevel="1" x14ac:dyDescent="0.3">
      <c r="E167" s="13" t="s">
        <v>369</v>
      </c>
      <c r="F167" s="22" t="s">
        <v>403</v>
      </c>
      <c r="G167" s="22" t="s">
        <v>76</v>
      </c>
      <c r="H167" s="13" t="s">
        <v>614</v>
      </c>
      <c r="I167" s="13" t="s">
        <v>659</v>
      </c>
      <c r="J167" s="13" t="s">
        <v>273</v>
      </c>
      <c r="K167" s="13" t="s">
        <v>142</v>
      </c>
      <c r="L167" s="85"/>
      <c r="M167" s="85"/>
      <c r="N167" s="13" t="str">
        <f t="shared" si="861"/>
        <v>ChlrAbsorbDblStgQRatio_fTchwsTcwsIP</v>
      </c>
      <c r="O167" s="13" t="s">
        <v>165</v>
      </c>
      <c r="P167" s="13" t="s">
        <v>160</v>
      </c>
      <c r="Q167" s="13" t="s">
        <v>139</v>
      </c>
      <c r="R167" s="13" t="s">
        <v>140</v>
      </c>
      <c r="V167" s="33">
        <v>-0.81603899999999996</v>
      </c>
      <c r="W167" s="33">
        <v>-3.8706999999999998E-2</v>
      </c>
      <c r="X167" s="33">
        <v>4.4999999999999999E-4</v>
      </c>
      <c r="Y167" s="33">
        <v>7.1490999999999999E-2</v>
      </c>
      <c r="Z167" s="33">
        <v>-6.3600000000000001E-5</v>
      </c>
      <c r="AA167" s="33">
        <v>3.1199999999999999E-5</v>
      </c>
      <c r="AG167" s="113"/>
      <c r="AH167" s="113"/>
      <c r="AI167" s="113"/>
      <c r="AJ167" s="113"/>
      <c r="AK167" s="113"/>
      <c r="AL167" s="113"/>
      <c r="AO167" s="13">
        <f>IF(ISTEXT(A167),"",IF(I167="IP",0,1))</f>
        <v>0</v>
      </c>
      <c r="AP167" s="120" t="str">
        <f t="shared" si="548"/>
        <v/>
      </c>
      <c r="AQ167" s="120" t="str">
        <f t="shared" si="860"/>
        <v/>
      </c>
      <c r="AR167" s="120" t="str">
        <f t="shared" si="549"/>
        <v/>
      </c>
      <c r="AS167" s="120" t="str">
        <f t="shared" si="501"/>
        <v/>
      </c>
      <c r="AT167" s="13" t="str">
        <f t="shared" si="854"/>
        <v/>
      </c>
      <c r="AU167" s="13" t="str">
        <f t="shared" si="884"/>
        <v xml:space="preserve">               </v>
      </c>
      <c r="AV167" s="13" t="str">
        <f t="shared" si="862"/>
        <v/>
      </c>
      <c r="AW167" s="13" t="str">
        <f t="shared" si="624"/>
        <v xml:space="preserve">                                                                 </v>
      </c>
      <c r="AX167" s="13" t="str">
        <f t="shared" si="604"/>
        <v/>
      </c>
      <c r="AY167" s="13" t="str">
        <f t="shared" si="605"/>
        <v/>
      </c>
      <c r="AZ167" s="13" t="str">
        <f t="shared" si="606"/>
        <v/>
      </c>
      <c r="BA167" s="13" t="str">
        <f t="shared" si="607"/>
        <v/>
      </c>
      <c r="BB167" s="13" t="str">
        <f t="shared" si="608"/>
        <v/>
      </c>
      <c r="BC167" s="13" t="str">
        <f t="shared" si="609"/>
        <v/>
      </c>
      <c r="BD167" s="13" t="str">
        <f t="shared" si="880"/>
        <v xml:space="preserve"> </v>
      </c>
      <c r="BE167" s="13" t="str">
        <f t="shared" si="625"/>
        <v/>
      </c>
      <c r="BF167" s="13" t="str">
        <f t="shared" si="626"/>
        <v/>
      </c>
      <c r="BG167" s="13" t="str">
        <f t="shared" si="627"/>
        <v/>
      </c>
      <c r="BH167" s="13" t="str">
        <f t="shared" si="628"/>
        <v/>
      </c>
      <c r="BI167" s="13" t="str">
        <f t="shared" si="629"/>
        <v/>
      </c>
      <c r="BJ167" s="13" t="str">
        <f t="shared" si="630"/>
        <v/>
      </c>
      <c r="BM167" s="13" t="str">
        <f t="shared" si="811"/>
        <v>Tchws</v>
      </c>
      <c r="BN167" s="13" t="str">
        <f t="shared" si="812"/>
        <v>Tcws</v>
      </c>
      <c r="BO167" s="13">
        <v>1</v>
      </c>
      <c r="BR167" s="13">
        <v>0</v>
      </c>
      <c r="BU167" s="104">
        <f t="shared" si="881"/>
        <v>-0.85429600000000006</v>
      </c>
      <c r="BV167" s="115"/>
      <c r="BW167" s="104">
        <f t="shared" si="882"/>
        <v>-0.81603899999999996</v>
      </c>
    </row>
    <row r="168" spans="1:75" hidden="1" outlineLevel="1" x14ac:dyDescent="0.3">
      <c r="E168" s="13" t="s">
        <v>369</v>
      </c>
      <c r="F168" s="22" t="s">
        <v>403</v>
      </c>
      <c r="G168" s="22" t="s">
        <v>77</v>
      </c>
      <c r="H168" s="13" t="s">
        <v>615</v>
      </c>
      <c r="I168" s="13" t="s">
        <v>659</v>
      </c>
      <c r="J168" s="13" t="s">
        <v>273</v>
      </c>
      <c r="K168" s="13" t="s">
        <v>142</v>
      </c>
      <c r="L168" s="85"/>
      <c r="M168" s="85"/>
      <c r="N168" s="13" t="str">
        <f t="shared" si="861"/>
        <v>ChlrAbsorbDirectQRatio_fTchwsTcwsIP</v>
      </c>
      <c r="O168" s="13" t="s">
        <v>165</v>
      </c>
      <c r="P168" s="13" t="s">
        <v>160</v>
      </c>
      <c r="Q168" s="13" t="s">
        <v>139</v>
      </c>
      <c r="R168" s="13" t="s">
        <v>140</v>
      </c>
      <c r="V168" s="33">
        <v>1</v>
      </c>
      <c r="W168" s="33">
        <v>0</v>
      </c>
      <c r="X168" s="33">
        <v>0</v>
      </c>
      <c r="Y168" s="33">
        <v>0</v>
      </c>
      <c r="Z168" s="33">
        <v>0</v>
      </c>
      <c r="AA168" s="33">
        <v>0</v>
      </c>
      <c r="AG168" s="113"/>
      <c r="AH168" s="113"/>
      <c r="AI168" s="113"/>
      <c r="AJ168" s="113"/>
      <c r="AK168" s="113"/>
      <c r="AL168" s="113"/>
      <c r="AO168" s="13">
        <f>IF(ISTEXT(A168),"",IF(I168="IP",0,1))</f>
        <v>0</v>
      </c>
      <c r="AP168" s="120" t="str">
        <f t="shared" si="548"/>
        <v/>
      </c>
      <c r="AQ168" s="120" t="str">
        <f t="shared" si="860"/>
        <v/>
      </c>
      <c r="AR168" s="120" t="str">
        <f t="shared" si="549"/>
        <v/>
      </c>
      <c r="AS168" s="120" t="str">
        <f t="shared" si="501"/>
        <v/>
      </c>
      <c r="AT168" s="13" t="str">
        <f t="shared" si="854"/>
        <v/>
      </c>
      <c r="AU168" s="13" t="str">
        <f t="shared" si="884"/>
        <v xml:space="preserve">               </v>
      </c>
      <c r="AV168" s="13" t="str">
        <f t="shared" si="862"/>
        <v/>
      </c>
      <c r="AW168" s="13" t="str">
        <f t="shared" si="624"/>
        <v xml:space="preserve">                                                                 </v>
      </c>
      <c r="AX168" s="13" t="str">
        <f t="shared" si="604"/>
        <v/>
      </c>
      <c r="AY168" s="13" t="str">
        <f t="shared" si="605"/>
        <v/>
      </c>
      <c r="AZ168" s="13" t="str">
        <f t="shared" si="606"/>
        <v/>
      </c>
      <c r="BA168" s="13" t="str">
        <f t="shared" si="607"/>
        <v/>
      </c>
      <c r="BB168" s="13" t="str">
        <f t="shared" si="608"/>
        <v/>
      </c>
      <c r="BC168" s="13" t="str">
        <f t="shared" si="609"/>
        <v/>
      </c>
      <c r="BD168" s="13" t="str">
        <f t="shared" si="880"/>
        <v xml:space="preserve"> </v>
      </c>
      <c r="BE168" s="13" t="str">
        <f t="shared" si="625"/>
        <v/>
      </c>
      <c r="BF168" s="13" t="str">
        <f t="shared" si="626"/>
        <v/>
      </c>
      <c r="BG168" s="13" t="str">
        <f t="shared" si="627"/>
        <v/>
      </c>
      <c r="BH168" s="13" t="str">
        <f t="shared" si="628"/>
        <v/>
      </c>
      <c r="BI168" s="13" t="str">
        <f t="shared" si="629"/>
        <v/>
      </c>
      <c r="BJ168" s="13" t="str">
        <f t="shared" si="630"/>
        <v/>
      </c>
      <c r="BM168" s="13" t="str">
        <f t="shared" si="811"/>
        <v>Tchws</v>
      </c>
      <c r="BN168" s="13" t="str">
        <f t="shared" si="812"/>
        <v>Tcws</v>
      </c>
      <c r="BO168" s="13">
        <v>1</v>
      </c>
      <c r="BR168" s="13">
        <v>0</v>
      </c>
      <c r="BU168" s="104">
        <f t="shared" si="881"/>
        <v>1</v>
      </c>
      <c r="BV168" s="115"/>
      <c r="BW168" s="104">
        <f t="shared" si="882"/>
        <v>1</v>
      </c>
    </row>
    <row r="169" spans="1:75" hidden="1" outlineLevel="1" x14ac:dyDescent="0.3">
      <c r="E169" s="13" t="s">
        <v>369</v>
      </c>
      <c r="F169" s="22" t="s">
        <v>403</v>
      </c>
      <c r="G169" s="22" t="s">
        <v>141</v>
      </c>
      <c r="H169" s="13" t="s">
        <v>616</v>
      </c>
      <c r="I169" s="13" t="s">
        <v>659</v>
      </c>
      <c r="J169" s="13" t="s">
        <v>273</v>
      </c>
      <c r="K169" s="13" t="s">
        <v>142</v>
      </c>
      <c r="L169" s="85"/>
      <c r="M169" s="85"/>
      <c r="N169" s="13" t="str">
        <f t="shared" si="861"/>
        <v>ChlrEngDrvSpdAllQRatio_fTchwsTcwsIP</v>
      </c>
      <c r="O169" s="13" t="s">
        <v>165</v>
      </c>
      <c r="P169" s="13" t="s">
        <v>160</v>
      </c>
      <c r="Q169" s="13" t="s">
        <v>139</v>
      </c>
      <c r="R169" s="13" t="s">
        <v>140</v>
      </c>
      <c r="V169" s="33">
        <v>0.57359700000000002</v>
      </c>
      <c r="W169" s="33">
        <v>1.8680200000000001E-2</v>
      </c>
      <c r="X169" s="33">
        <v>0</v>
      </c>
      <c r="Y169" s="33">
        <v>-4.6532500000000003E-3</v>
      </c>
      <c r="Z169" s="33">
        <v>0</v>
      </c>
      <c r="AA169" s="33">
        <v>0</v>
      </c>
      <c r="AG169" s="113"/>
      <c r="AH169" s="113"/>
      <c r="AI169" s="113"/>
      <c r="AJ169" s="113"/>
      <c r="AK169" s="113"/>
      <c r="AL169" s="113"/>
      <c r="AO169" s="13">
        <f>IF(ISTEXT(A169),"",IF(I169="IP",0,1))</f>
        <v>0</v>
      </c>
      <c r="AP169" s="120" t="str">
        <f t="shared" si="548"/>
        <v/>
      </c>
      <c r="AQ169" s="120" t="str">
        <f t="shared" si="860"/>
        <v/>
      </c>
      <c r="AR169" s="120" t="str">
        <f t="shared" si="549"/>
        <v/>
      </c>
      <c r="AS169" s="120" t="str">
        <f t="shared" si="501"/>
        <v/>
      </c>
      <c r="AT169" s="13" t="str">
        <f t="shared" si="854"/>
        <v/>
      </c>
      <c r="AU169" s="13" t="str">
        <f t="shared" si="884"/>
        <v xml:space="preserve">               </v>
      </c>
      <c r="AV169" s="13" t="str">
        <f t="shared" si="862"/>
        <v/>
      </c>
      <c r="AW169" s="13" t="str">
        <f t="shared" si="624"/>
        <v xml:space="preserve">                                                                 </v>
      </c>
      <c r="AX169" s="13" t="str">
        <f t="shared" si="604"/>
        <v/>
      </c>
      <c r="AY169" s="13" t="str">
        <f t="shared" si="605"/>
        <v/>
      </c>
      <c r="AZ169" s="13" t="str">
        <f t="shared" si="606"/>
        <v/>
      </c>
      <c r="BA169" s="13" t="str">
        <f t="shared" si="607"/>
        <v/>
      </c>
      <c r="BB169" s="13" t="str">
        <f t="shared" si="608"/>
        <v/>
      </c>
      <c r="BC169" s="13" t="str">
        <f t="shared" si="609"/>
        <v/>
      </c>
      <c r="BD169" s="13" t="str">
        <f t="shared" si="880"/>
        <v xml:space="preserve"> </v>
      </c>
      <c r="BE169" s="13" t="str">
        <f t="shared" si="625"/>
        <v/>
      </c>
      <c r="BF169" s="13" t="str">
        <f t="shared" si="626"/>
        <v/>
      </c>
      <c r="BG169" s="13" t="str">
        <f t="shared" si="627"/>
        <v/>
      </c>
      <c r="BH169" s="13" t="str">
        <f t="shared" si="628"/>
        <v/>
      </c>
      <c r="BI169" s="13" t="str">
        <f t="shared" si="629"/>
        <v/>
      </c>
      <c r="BJ169" s="13" t="str">
        <f t="shared" si="630"/>
        <v/>
      </c>
      <c r="BM169" s="13" t="str">
        <f t="shared" si="811"/>
        <v>Tchws</v>
      </c>
      <c r="BN169" s="13" t="str">
        <f t="shared" si="812"/>
        <v>Tcws</v>
      </c>
      <c r="BO169" s="13">
        <v>1</v>
      </c>
      <c r="BR169" s="13">
        <v>0</v>
      </c>
      <c r="BU169" s="104">
        <f t="shared" si="881"/>
        <v>0.59227720000000006</v>
      </c>
      <c r="BV169" s="115"/>
      <c r="BW169" s="104">
        <f t="shared" si="882"/>
        <v>0.57359700000000002</v>
      </c>
    </row>
    <row r="170" spans="1:75" ht="28.8" hidden="1" outlineLevel="1" x14ac:dyDescent="0.3">
      <c r="B170" s="13" t="s">
        <v>137</v>
      </c>
      <c r="C170" s="38" t="s">
        <v>393</v>
      </c>
      <c r="D170" s="22" t="s">
        <v>74</v>
      </c>
      <c r="E170" s="13" t="s">
        <v>369</v>
      </c>
      <c r="F170" s="22" t="s">
        <v>412</v>
      </c>
      <c r="G170" s="22" t="s">
        <v>75</v>
      </c>
      <c r="H170" s="13" t="s">
        <v>613</v>
      </c>
      <c r="I170" s="13" t="s">
        <v>659</v>
      </c>
      <c r="J170" s="13" t="s">
        <v>273</v>
      </c>
      <c r="K170" s="13" t="s">
        <v>143</v>
      </c>
      <c r="L170" s="85"/>
      <c r="M170" s="85"/>
      <c r="N170" s="13" t="str">
        <f t="shared" si="861"/>
        <v>ChlrAbsorbSglStgFIRRatio_fQRatioIP</v>
      </c>
      <c r="O170" s="13" t="s">
        <v>230</v>
      </c>
      <c r="P170" s="13" t="s">
        <v>391</v>
      </c>
      <c r="Q170" s="13" t="s">
        <v>160</v>
      </c>
      <c r="V170" s="33">
        <v>9.8585000000000006E-2</v>
      </c>
      <c r="W170" s="33">
        <v>0.58384999999999998</v>
      </c>
      <c r="X170" s="33">
        <v>0.56065799999999999</v>
      </c>
      <c r="Y170" s="33">
        <v>-0.243093</v>
      </c>
      <c r="AG170" s="113"/>
      <c r="AH170" s="113"/>
      <c r="AI170" s="113"/>
      <c r="AJ170" s="113"/>
      <c r="AK170" s="113"/>
      <c r="AL170" s="113"/>
      <c r="AO170" s="13">
        <f t="shared" ref="AO170:AO186" si="908">IF(ISTEXT(A170),"",IF(I170="IP",0,1))</f>
        <v>0</v>
      </c>
      <c r="AP170" s="120" t="str">
        <f t="shared" si="548"/>
        <v/>
      </c>
      <c r="AQ170" s="120" t="str">
        <f t="shared" si="860"/>
        <v/>
      </c>
      <c r="AR170" s="120" t="str">
        <f t="shared" si="549"/>
        <v/>
      </c>
      <c r="AS170" s="120" t="str">
        <f t="shared" si="501"/>
        <v/>
      </c>
      <c r="AT170" s="13" t="str">
        <f t="shared" si="854"/>
        <v/>
      </c>
      <c r="AU170" s="13" t="str">
        <f t="shared" si="884"/>
        <v xml:space="preserve">               </v>
      </c>
      <c r="AV170" s="13" t="str">
        <f t="shared" si="862"/>
        <v/>
      </c>
      <c r="AW170" s="13" t="str">
        <f t="shared" si="624"/>
        <v xml:space="preserve">                                                                 </v>
      </c>
      <c r="AX170" s="13" t="str">
        <f t="shared" si="604"/>
        <v/>
      </c>
      <c r="AY170" s="13" t="str">
        <f t="shared" si="605"/>
        <v/>
      </c>
      <c r="AZ170" s="13" t="str">
        <f t="shared" si="606"/>
        <v/>
      </c>
      <c r="BA170" s="13" t="str">
        <f t="shared" si="607"/>
        <v/>
      </c>
      <c r="BB170" s="13" t="str">
        <f t="shared" si="608"/>
        <v/>
      </c>
      <c r="BC170" s="13" t="str">
        <f t="shared" si="609"/>
        <v/>
      </c>
      <c r="BD170" s="13" t="str">
        <f t="shared" si="880"/>
        <v xml:space="preserve"> </v>
      </c>
      <c r="BE170" s="13" t="str">
        <f t="shared" si="625"/>
        <v/>
      </c>
      <c r="BF170" s="13" t="str">
        <f t="shared" si="626"/>
        <v/>
      </c>
      <c r="BG170" s="13" t="str">
        <f t="shared" si="627"/>
        <v/>
      </c>
      <c r="BH170" s="13" t="str">
        <f t="shared" si="628"/>
        <v/>
      </c>
      <c r="BI170" s="13" t="str">
        <f t="shared" si="629"/>
        <v/>
      </c>
      <c r="BJ170" s="13" t="str">
        <f t="shared" si="630"/>
        <v/>
      </c>
      <c r="BM170" s="13" t="str">
        <f t="shared" si="811"/>
        <v>QRatio</v>
      </c>
      <c r="BO170" s="13">
        <v>1</v>
      </c>
      <c r="BR170" s="13">
        <v>0</v>
      </c>
      <c r="BU170" s="104">
        <f t="shared" si="881"/>
        <v>1.243093</v>
      </c>
      <c r="BV170" s="115"/>
      <c r="BW170" s="104">
        <f t="shared" si="882"/>
        <v>9.8585000000000006E-2</v>
      </c>
    </row>
    <row r="171" spans="1:75" hidden="1" outlineLevel="1" x14ac:dyDescent="0.3">
      <c r="C171" s="38"/>
      <c r="E171" s="13" t="s">
        <v>369</v>
      </c>
      <c r="F171" s="22" t="s">
        <v>409</v>
      </c>
      <c r="G171" s="22" t="s">
        <v>832</v>
      </c>
      <c r="H171" s="13" t="s">
        <v>831</v>
      </c>
      <c r="I171" s="13" t="s">
        <v>660</v>
      </c>
      <c r="J171" s="13" t="s">
        <v>144</v>
      </c>
      <c r="L171" s="85" t="s">
        <v>185</v>
      </c>
      <c r="M171" s="85"/>
      <c r="N171" s="13" t="str">
        <f t="shared" si="861"/>
        <v>ChlrAbsorbSglStgIndirHIRRatio_fQRatioSI</v>
      </c>
      <c r="O171" s="13" t="s">
        <v>230</v>
      </c>
      <c r="P171" s="13" t="s">
        <v>838</v>
      </c>
      <c r="Q171" s="13" t="s">
        <v>160</v>
      </c>
      <c r="V171" s="33">
        <v>0.96753</v>
      </c>
      <c r="W171" s="33">
        <v>1.0143599999999999</v>
      </c>
      <c r="X171" s="33">
        <v>-1.1663600000000001</v>
      </c>
      <c r="Y171" s="33">
        <v>0.50792000000000004</v>
      </c>
      <c r="AG171" s="113"/>
      <c r="AH171" s="113"/>
      <c r="AI171" s="113">
        <v>1</v>
      </c>
      <c r="AJ171" s="113">
        <v>0.15</v>
      </c>
      <c r="AK171" s="113"/>
      <c r="AL171" s="113"/>
      <c r="AO171" s="13">
        <f t="shared" si="908"/>
        <v>1</v>
      </c>
      <c r="AP171" s="120" t="str">
        <f t="shared" si="548"/>
        <v>CrvCubic       "ChlrAbsorbSglStgIndirHIRRatio_fQRatioSI"                        Coef1 =  0.967530  Coef2 =  1.014360  Coef3 = -1.166360  Coef4 =  0.507920  _x000D_
                                                                                MaxVar1 = 1.000   MinVar1 = 0.150   _x000D_
..</v>
      </c>
      <c r="AQ171" s="120" t="str">
        <f t="shared" si="860"/>
        <v xml:space="preserve">CrvCubic       "ChlrAbsorbSglStgIndirHIRRatio_fQRatioSI"                        Coef1 =  0.967530  Coef2 =  1.014360  Coef3 = -1.166360  Coef4 =  0.507920  </v>
      </c>
      <c r="AR171" s="120" t="str">
        <f t="shared" si="549"/>
        <v xml:space="preserve">_x000D_
                                                                                MaxVar1 = 1.000   MinVar1 = 0.150   </v>
      </c>
      <c r="AS171" s="120" t="str">
        <f t="shared" si="501"/>
        <v>_x000D_
..</v>
      </c>
      <c r="AT171" s="13" t="str">
        <f t="shared" si="854"/>
        <v>CrvCubic</v>
      </c>
      <c r="AU171" s="13" t="str">
        <f t="shared" si="884"/>
        <v xml:space="preserve">       </v>
      </c>
      <c r="AV171" s="13" t="str">
        <f t="shared" si="862"/>
        <v>"ChlrAbsorbSglStgIndirHIRRatio_fQRatioSI"</v>
      </c>
      <c r="AW171" s="13" t="str">
        <f t="shared" si="624"/>
        <v xml:space="preserve">                        </v>
      </c>
      <c r="AX171" s="13" t="str">
        <f t="shared" si="604"/>
        <v xml:space="preserve"> 0.967530  </v>
      </c>
      <c r="AY171" s="13" t="str">
        <f t="shared" si="605"/>
        <v xml:space="preserve"> 1.014360  </v>
      </c>
      <c r="AZ171" s="13" t="str">
        <f t="shared" si="606"/>
        <v xml:space="preserve">-1.166360  </v>
      </c>
      <c r="BA171" s="13" t="str">
        <f t="shared" si="607"/>
        <v xml:space="preserve"> 0.507920  </v>
      </c>
      <c r="BB171" s="13" t="str">
        <f t="shared" si="608"/>
        <v>-</v>
      </c>
      <c r="BC171" s="13" t="str">
        <f t="shared" si="609"/>
        <v>-</v>
      </c>
      <c r="BD171" s="13" t="str">
        <f t="shared" si="880"/>
        <v xml:space="preserve">_x000D_
                                                                                </v>
      </c>
      <c r="BE171" s="13" t="str">
        <f t="shared" si="625"/>
        <v>-</v>
      </c>
      <c r="BF171" s="13" t="str">
        <f t="shared" si="626"/>
        <v>-</v>
      </c>
      <c r="BG171" s="13" t="str">
        <f t="shared" si="627"/>
        <v xml:space="preserve">1.000   </v>
      </c>
      <c r="BH171" s="13" t="str">
        <f t="shared" si="628"/>
        <v xml:space="preserve">0.150   </v>
      </c>
      <c r="BI171" s="13" t="str">
        <f t="shared" si="629"/>
        <v>-</v>
      </c>
      <c r="BJ171" s="13" t="str">
        <f t="shared" si="630"/>
        <v>-</v>
      </c>
      <c r="BM171" s="13" t="str">
        <f t="shared" si="811"/>
        <v>QRatio</v>
      </c>
      <c r="BO171" s="13">
        <v>1</v>
      </c>
      <c r="BR171" s="13">
        <v>0</v>
      </c>
      <c r="BU171" s="104">
        <f t="shared" si="881"/>
        <v>0.81552999999999987</v>
      </c>
      <c r="BV171" s="115"/>
      <c r="BW171" s="104">
        <f t="shared" si="882"/>
        <v>0.96753</v>
      </c>
    </row>
    <row r="172" spans="1:75" hidden="1" outlineLevel="1" x14ac:dyDescent="0.3">
      <c r="E172" s="13" t="s">
        <v>369</v>
      </c>
      <c r="F172" s="22" t="s">
        <v>412</v>
      </c>
      <c r="G172" s="22" t="s">
        <v>76</v>
      </c>
      <c r="H172" s="13" t="s">
        <v>614</v>
      </c>
      <c r="I172" s="13" t="s">
        <v>659</v>
      </c>
      <c r="J172" s="13" t="s">
        <v>273</v>
      </c>
      <c r="K172" s="13" t="s">
        <v>143</v>
      </c>
      <c r="L172" s="85"/>
      <c r="M172" s="85"/>
      <c r="N172" s="13" t="str">
        <f t="shared" si="861"/>
        <v>ChlrAbsorbDblStgFIRRatio_fQRatioIP</v>
      </c>
      <c r="O172" s="13" t="s">
        <v>230</v>
      </c>
      <c r="P172" s="13" t="s">
        <v>391</v>
      </c>
      <c r="Q172" s="13" t="s">
        <v>160</v>
      </c>
      <c r="V172" s="33">
        <v>1.3993999999999999E-2</v>
      </c>
      <c r="W172" s="33">
        <v>1.2404489999999999</v>
      </c>
      <c r="X172" s="33">
        <v>-0.914883</v>
      </c>
      <c r="Y172" s="33">
        <v>0.66044099999999994</v>
      </c>
      <c r="AG172" s="113"/>
      <c r="AH172" s="113"/>
      <c r="AI172" s="113"/>
      <c r="AJ172" s="113"/>
      <c r="AK172" s="113"/>
      <c r="AL172" s="113"/>
      <c r="AO172" s="13">
        <f t="shared" si="908"/>
        <v>0</v>
      </c>
      <c r="AP172" s="120" t="str">
        <f t="shared" si="548"/>
        <v/>
      </c>
      <c r="AQ172" s="120" t="str">
        <f t="shared" si="860"/>
        <v/>
      </c>
      <c r="AR172" s="120" t="str">
        <f t="shared" si="549"/>
        <v/>
      </c>
      <c r="AS172" s="120" t="str">
        <f t="shared" si="501"/>
        <v/>
      </c>
      <c r="AT172" s="13" t="str">
        <f t="shared" si="854"/>
        <v/>
      </c>
      <c r="AU172" s="13" t="str">
        <f t="shared" si="884"/>
        <v xml:space="preserve">               </v>
      </c>
      <c r="AV172" s="13" t="str">
        <f t="shared" si="862"/>
        <v/>
      </c>
      <c r="AW172" s="13" t="str">
        <f t="shared" si="624"/>
        <v xml:space="preserve">                                                                 </v>
      </c>
      <c r="AX172" s="13" t="str">
        <f t="shared" si="604"/>
        <v/>
      </c>
      <c r="AY172" s="13" t="str">
        <f t="shared" si="605"/>
        <v/>
      </c>
      <c r="AZ172" s="13" t="str">
        <f t="shared" si="606"/>
        <v/>
      </c>
      <c r="BA172" s="13" t="str">
        <f t="shared" si="607"/>
        <v/>
      </c>
      <c r="BB172" s="13" t="str">
        <f t="shared" si="608"/>
        <v/>
      </c>
      <c r="BC172" s="13" t="str">
        <f t="shared" si="609"/>
        <v/>
      </c>
      <c r="BD172" s="13" t="str">
        <f t="shared" si="880"/>
        <v xml:space="preserve"> </v>
      </c>
      <c r="BE172" s="13" t="str">
        <f t="shared" si="625"/>
        <v/>
      </c>
      <c r="BF172" s="13" t="str">
        <f t="shared" si="626"/>
        <v/>
      </c>
      <c r="BG172" s="13" t="str">
        <f t="shared" si="627"/>
        <v/>
      </c>
      <c r="BH172" s="13" t="str">
        <f t="shared" si="628"/>
        <v/>
      </c>
      <c r="BI172" s="13" t="str">
        <f t="shared" si="629"/>
        <v/>
      </c>
      <c r="BJ172" s="13" t="str">
        <f t="shared" si="630"/>
        <v/>
      </c>
      <c r="BM172" s="13" t="str">
        <f t="shared" si="811"/>
        <v>QRatio</v>
      </c>
      <c r="BO172" s="13">
        <v>1</v>
      </c>
      <c r="BR172" s="13">
        <v>0</v>
      </c>
      <c r="BU172" s="104">
        <f t="shared" si="881"/>
        <v>0.33955999999999997</v>
      </c>
      <c r="BV172" s="115"/>
      <c r="BW172" s="104">
        <f t="shared" si="882"/>
        <v>1.3993999999999999E-2</v>
      </c>
    </row>
    <row r="173" spans="1:75" hidden="1" outlineLevel="1" x14ac:dyDescent="0.3">
      <c r="E173" s="13" t="s">
        <v>369</v>
      </c>
      <c r="F173" s="22" t="s">
        <v>412</v>
      </c>
      <c r="G173" s="22" t="s">
        <v>77</v>
      </c>
      <c r="H173" s="13" t="s">
        <v>615</v>
      </c>
      <c r="I173" s="13" t="s">
        <v>659</v>
      </c>
      <c r="J173" s="13" t="s">
        <v>273</v>
      </c>
      <c r="K173" s="13" t="s">
        <v>143</v>
      </c>
      <c r="L173" s="85"/>
      <c r="M173" s="85"/>
      <c r="N173" s="13" t="str">
        <f t="shared" si="861"/>
        <v>ChlrAbsorbDirectFIRRatio_fQRatioIP</v>
      </c>
      <c r="O173" s="13" t="s">
        <v>230</v>
      </c>
      <c r="P173" s="13" t="s">
        <v>391</v>
      </c>
      <c r="Q173" s="13" t="s">
        <v>160</v>
      </c>
      <c r="V173" s="33">
        <v>0.13551150000000001</v>
      </c>
      <c r="W173" s="33">
        <v>0.61798083999999998</v>
      </c>
      <c r="X173" s="33">
        <v>0.24651276999999999</v>
      </c>
      <c r="Y173" s="33">
        <v>0</v>
      </c>
      <c r="AG173" s="113"/>
      <c r="AH173" s="113"/>
      <c r="AI173" s="113"/>
      <c r="AJ173" s="113"/>
      <c r="AK173" s="113"/>
      <c r="AL173" s="113"/>
      <c r="AO173" s="13">
        <f t="shared" si="908"/>
        <v>0</v>
      </c>
      <c r="AP173" s="120" t="str">
        <f t="shared" si="548"/>
        <v/>
      </c>
      <c r="AQ173" s="120" t="str">
        <f t="shared" si="860"/>
        <v/>
      </c>
      <c r="AR173" s="120" t="str">
        <f t="shared" si="549"/>
        <v/>
      </c>
      <c r="AS173" s="120" t="str">
        <f t="shared" si="501"/>
        <v/>
      </c>
      <c r="AT173" s="13" t="str">
        <f t="shared" si="854"/>
        <v/>
      </c>
      <c r="AU173" s="13" t="str">
        <f t="shared" si="884"/>
        <v xml:space="preserve">               </v>
      </c>
      <c r="AV173" s="13" t="str">
        <f t="shared" si="862"/>
        <v/>
      </c>
      <c r="AW173" s="13" t="str">
        <f t="shared" si="624"/>
        <v xml:space="preserve">                                                                 </v>
      </c>
      <c r="AX173" s="13" t="str">
        <f t="shared" si="604"/>
        <v/>
      </c>
      <c r="AY173" s="13" t="str">
        <f t="shared" si="605"/>
        <v/>
      </c>
      <c r="AZ173" s="13" t="str">
        <f t="shared" si="606"/>
        <v/>
      </c>
      <c r="BA173" s="13" t="str">
        <f t="shared" si="607"/>
        <v/>
      </c>
      <c r="BB173" s="13" t="str">
        <f t="shared" si="608"/>
        <v/>
      </c>
      <c r="BC173" s="13" t="str">
        <f t="shared" si="609"/>
        <v/>
      </c>
      <c r="BD173" s="13" t="str">
        <f t="shared" si="880"/>
        <v xml:space="preserve"> </v>
      </c>
      <c r="BE173" s="13" t="str">
        <f t="shared" si="625"/>
        <v/>
      </c>
      <c r="BF173" s="13" t="str">
        <f t="shared" si="626"/>
        <v/>
      </c>
      <c r="BG173" s="13" t="str">
        <f t="shared" si="627"/>
        <v/>
      </c>
      <c r="BH173" s="13" t="str">
        <f t="shared" si="628"/>
        <v/>
      </c>
      <c r="BI173" s="13" t="str">
        <f t="shared" si="629"/>
        <v/>
      </c>
      <c r="BJ173" s="13" t="str">
        <f t="shared" si="630"/>
        <v/>
      </c>
      <c r="BM173" s="13" t="str">
        <f t="shared" si="811"/>
        <v>QRatio</v>
      </c>
      <c r="BO173" s="13">
        <v>1</v>
      </c>
      <c r="BR173" s="13">
        <v>0</v>
      </c>
      <c r="BU173" s="104">
        <f t="shared" si="881"/>
        <v>1.00000511</v>
      </c>
      <c r="BV173" s="115"/>
      <c r="BW173" s="104">
        <f t="shared" si="882"/>
        <v>0.13551150000000001</v>
      </c>
    </row>
    <row r="174" spans="1:75" hidden="1" outlineLevel="1" x14ac:dyDescent="0.3">
      <c r="B174" s="13" t="s">
        <v>137</v>
      </c>
      <c r="C174" s="38" t="s">
        <v>393</v>
      </c>
      <c r="E174" s="13" t="s">
        <v>369</v>
      </c>
      <c r="F174" s="22" t="s">
        <v>412</v>
      </c>
      <c r="G174" s="22" t="s">
        <v>78</v>
      </c>
      <c r="H174" s="13" t="s">
        <v>610</v>
      </c>
      <c r="I174" s="13" t="s">
        <v>659</v>
      </c>
      <c r="J174" s="13" t="s">
        <v>273</v>
      </c>
      <c r="K174" s="13" t="s">
        <v>143</v>
      </c>
      <c r="L174" s="85"/>
      <c r="M174" s="85"/>
      <c r="N174" s="13" t="str">
        <f t="shared" si="861"/>
        <v>ChlrEngDrvSpdLtEqlMinFIRRatio_fQRatioIP</v>
      </c>
      <c r="O174" s="13" t="s">
        <v>230</v>
      </c>
      <c r="P174" s="13" t="s">
        <v>391</v>
      </c>
      <c r="Q174" s="13" t="s">
        <v>160</v>
      </c>
      <c r="V174" s="33">
        <v>0.38019999999999998</v>
      </c>
      <c r="W174" s="33">
        <v>2.3609</v>
      </c>
      <c r="X174" s="33">
        <v>0</v>
      </c>
      <c r="Y174" s="33">
        <v>0</v>
      </c>
      <c r="AG174" s="113"/>
      <c r="AH174" s="113"/>
      <c r="AI174" s="113"/>
      <c r="AJ174" s="113"/>
      <c r="AK174" s="113"/>
      <c r="AL174" s="113"/>
      <c r="AO174" s="13">
        <f t="shared" si="908"/>
        <v>0</v>
      </c>
      <c r="AP174" s="120" t="str">
        <f t="shared" si="548"/>
        <v/>
      </c>
      <c r="AQ174" s="120" t="str">
        <f t="shared" si="860"/>
        <v/>
      </c>
      <c r="AR174" s="120" t="str">
        <f t="shared" si="549"/>
        <v/>
      </c>
      <c r="AS174" s="120" t="str">
        <f t="shared" si="501"/>
        <v/>
      </c>
      <c r="AT174" s="13" t="str">
        <f t="shared" si="854"/>
        <v/>
      </c>
      <c r="AU174" s="13" t="str">
        <f t="shared" si="884"/>
        <v xml:space="preserve">               </v>
      </c>
      <c r="AV174" s="13" t="str">
        <f t="shared" si="862"/>
        <v/>
      </c>
      <c r="AW174" s="13" t="str">
        <f t="shared" si="624"/>
        <v xml:space="preserve">                                                                 </v>
      </c>
      <c r="AX174" s="13" t="str">
        <f t="shared" si="604"/>
        <v/>
      </c>
      <c r="AY174" s="13" t="str">
        <f t="shared" si="605"/>
        <v/>
      </c>
      <c r="AZ174" s="13" t="str">
        <f t="shared" si="606"/>
        <v/>
      </c>
      <c r="BA174" s="13" t="str">
        <f t="shared" si="607"/>
        <v/>
      </c>
      <c r="BB174" s="13" t="str">
        <f t="shared" si="608"/>
        <v/>
      </c>
      <c r="BC174" s="13" t="str">
        <f t="shared" si="609"/>
        <v/>
      </c>
      <c r="BD174" s="13" t="str">
        <f t="shared" si="880"/>
        <v xml:space="preserve"> </v>
      </c>
      <c r="BE174" s="13" t="str">
        <f t="shared" si="625"/>
        <v/>
      </c>
      <c r="BF174" s="13" t="str">
        <f t="shared" si="626"/>
        <v/>
      </c>
      <c r="BG174" s="13" t="str">
        <f t="shared" si="627"/>
        <v/>
      </c>
      <c r="BH174" s="13" t="str">
        <f t="shared" si="628"/>
        <v/>
      </c>
      <c r="BI174" s="13" t="str">
        <f t="shared" si="629"/>
        <v/>
      </c>
      <c r="BJ174" s="13" t="str">
        <f t="shared" si="630"/>
        <v/>
      </c>
      <c r="BM174" s="13" t="str">
        <f t="shared" si="811"/>
        <v>QRatio</v>
      </c>
      <c r="BO174" s="13">
        <v>1</v>
      </c>
      <c r="BR174" s="13">
        <v>0</v>
      </c>
      <c r="BU174" s="104">
        <f t="shared" si="881"/>
        <v>2.7410999999999999</v>
      </c>
      <c r="BV174" s="115"/>
      <c r="BW174" s="104">
        <f t="shared" si="882"/>
        <v>0.38019999999999998</v>
      </c>
    </row>
    <row r="175" spans="1:75" hidden="1" outlineLevel="1" x14ac:dyDescent="0.3">
      <c r="E175" s="13" t="s">
        <v>369</v>
      </c>
      <c r="F175" s="22" t="s">
        <v>412</v>
      </c>
      <c r="G175" s="22" t="s">
        <v>79</v>
      </c>
      <c r="H175" s="13" t="s">
        <v>611</v>
      </c>
      <c r="I175" s="13" t="s">
        <v>659</v>
      </c>
      <c r="J175" s="13" t="s">
        <v>273</v>
      </c>
      <c r="K175" s="13" t="s">
        <v>143</v>
      </c>
      <c r="L175" s="85"/>
      <c r="M175" s="85"/>
      <c r="N175" s="13" t="str">
        <f t="shared" si="861"/>
        <v>ChlrEngDrvSpdGtMinLtEql60FIRRatio_fQRatioIP</v>
      </c>
      <c r="O175" s="13" t="s">
        <v>230</v>
      </c>
      <c r="P175" s="13" t="s">
        <v>391</v>
      </c>
      <c r="Q175" s="13" t="s">
        <v>160</v>
      </c>
      <c r="V175" s="33">
        <v>1.1433599999999999</v>
      </c>
      <c r="W175" s="33">
        <v>2.2889E-2</v>
      </c>
      <c r="X175" s="33">
        <v>0</v>
      </c>
      <c r="Y175" s="33">
        <v>0</v>
      </c>
      <c r="AG175" s="113"/>
      <c r="AH175" s="113"/>
      <c r="AI175" s="113"/>
      <c r="AJ175" s="113"/>
      <c r="AK175" s="113"/>
      <c r="AL175" s="113"/>
      <c r="AO175" s="13">
        <f t="shared" si="908"/>
        <v>0</v>
      </c>
      <c r="AP175" s="120" t="str">
        <f t="shared" si="548"/>
        <v/>
      </c>
      <c r="AQ175" s="120" t="str">
        <f t="shared" si="860"/>
        <v/>
      </c>
      <c r="AR175" s="120" t="str">
        <f t="shared" si="549"/>
        <v/>
      </c>
      <c r="AS175" s="120" t="str">
        <f t="shared" si="501"/>
        <v/>
      </c>
      <c r="AT175" s="13" t="str">
        <f t="shared" si="854"/>
        <v/>
      </c>
      <c r="AU175" s="13" t="str">
        <f t="shared" si="884"/>
        <v xml:space="preserve">               </v>
      </c>
      <c r="AV175" s="13" t="str">
        <f t="shared" si="862"/>
        <v/>
      </c>
      <c r="AW175" s="13" t="str">
        <f t="shared" si="624"/>
        <v xml:space="preserve">                                                                 </v>
      </c>
      <c r="AX175" s="13" t="str">
        <f t="shared" si="604"/>
        <v/>
      </c>
      <c r="AY175" s="13" t="str">
        <f t="shared" si="605"/>
        <v/>
      </c>
      <c r="AZ175" s="13" t="str">
        <f t="shared" si="606"/>
        <v/>
      </c>
      <c r="BA175" s="13" t="str">
        <f t="shared" si="607"/>
        <v/>
      </c>
      <c r="BB175" s="13" t="str">
        <f t="shared" si="608"/>
        <v/>
      </c>
      <c r="BC175" s="13" t="str">
        <f t="shared" si="609"/>
        <v/>
      </c>
      <c r="BD175" s="13" t="str">
        <f t="shared" si="880"/>
        <v xml:space="preserve"> </v>
      </c>
      <c r="BE175" s="13" t="str">
        <f t="shared" si="625"/>
        <v/>
      </c>
      <c r="BF175" s="13" t="str">
        <f t="shared" si="626"/>
        <v/>
      </c>
      <c r="BG175" s="13" t="str">
        <f t="shared" si="627"/>
        <v/>
      </c>
      <c r="BH175" s="13" t="str">
        <f t="shared" si="628"/>
        <v/>
      </c>
      <c r="BI175" s="13" t="str">
        <f t="shared" si="629"/>
        <v/>
      </c>
      <c r="BJ175" s="13" t="str">
        <f t="shared" si="630"/>
        <v/>
      </c>
      <c r="BM175" s="13" t="str">
        <f t="shared" si="811"/>
        <v>QRatio</v>
      </c>
      <c r="BO175" s="13">
        <v>1</v>
      </c>
      <c r="BR175" s="13">
        <v>0</v>
      </c>
      <c r="BU175" s="104">
        <f t="shared" si="881"/>
        <v>1.1662489999999999</v>
      </c>
      <c r="BV175" s="115"/>
      <c r="BW175" s="104">
        <f t="shared" si="882"/>
        <v>1.1433599999999999</v>
      </c>
    </row>
    <row r="176" spans="1:75" hidden="1" outlineLevel="1" x14ac:dyDescent="0.3">
      <c r="E176" s="13" t="s">
        <v>369</v>
      </c>
      <c r="F176" s="22" t="s">
        <v>412</v>
      </c>
      <c r="G176" s="22" t="s">
        <v>80</v>
      </c>
      <c r="H176" s="13" t="s">
        <v>612</v>
      </c>
      <c r="I176" s="13" t="s">
        <v>659</v>
      </c>
      <c r="J176" s="13" t="s">
        <v>273</v>
      </c>
      <c r="K176" s="13" t="s">
        <v>143</v>
      </c>
      <c r="L176" s="85"/>
      <c r="M176" s="85"/>
      <c r="N176" s="13" t="str">
        <f t="shared" si="861"/>
        <v>ChlrEngDrvSpdGt60FIRRatio_fQRatioIP</v>
      </c>
      <c r="O176" s="13" t="s">
        <v>230</v>
      </c>
      <c r="P176" s="13" t="s">
        <v>391</v>
      </c>
      <c r="Q176" s="13" t="s">
        <v>160</v>
      </c>
      <c r="V176" s="33">
        <v>1.3886099999999999</v>
      </c>
      <c r="W176" s="33">
        <v>-0.38861400000000001</v>
      </c>
      <c r="X176" s="33">
        <v>0</v>
      </c>
      <c r="Y176" s="33">
        <v>0</v>
      </c>
      <c r="AG176" s="113"/>
      <c r="AH176" s="113"/>
      <c r="AI176" s="113"/>
      <c r="AJ176" s="113"/>
      <c r="AK176" s="113"/>
      <c r="AL176" s="113"/>
      <c r="AO176" s="13">
        <f t="shared" si="908"/>
        <v>0</v>
      </c>
      <c r="AP176" s="120" t="str">
        <f t="shared" si="548"/>
        <v/>
      </c>
      <c r="AQ176" s="120" t="str">
        <f t="shared" si="860"/>
        <v/>
      </c>
      <c r="AR176" s="120" t="str">
        <f t="shared" si="549"/>
        <v/>
      </c>
      <c r="AS176" s="120" t="str">
        <f t="shared" si="501"/>
        <v/>
      </c>
      <c r="AT176" s="13" t="str">
        <f t="shared" si="854"/>
        <v/>
      </c>
      <c r="AU176" s="13" t="str">
        <f t="shared" si="884"/>
        <v xml:space="preserve">               </v>
      </c>
      <c r="AV176" s="13" t="str">
        <f t="shared" si="862"/>
        <v/>
      </c>
      <c r="AW176" s="13" t="str">
        <f t="shared" si="624"/>
        <v xml:space="preserve">                                                                 </v>
      </c>
      <c r="AX176" s="13" t="str">
        <f t="shared" si="604"/>
        <v/>
      </c>
      <c r="AY176" s="13" t="str">
        <f t="shared" si="605"/>
        <v/>
      </c>
      <c r="AZ176" s="13" t="str">
        <f t="shared" si="606"/>
        <v/>
      </c>
      <c r="BA176" s="13" t="str">
        <f t="shared" si="607"/>
        <v/>
      </c>
      <c r="BB176" s="13" t="str">
        <f t="shared" si="608"/>
        <v/>
      </c>
      <c r="BC176" s="13" t="str">
        <f t="shared" si="609"/>
        <v/>
      </c>
      <c r="BD176" s="13" t="str">
        <f t="shared" si="880"/>
        <v xml:space="preserve"> </v>
      </c>
      <c r="BE176" s="13" t="str">
        <f t="shared" si="625"/>
        <v/>
      </c>
      <c r="BF176" s="13" t="str">
        <f t="shared" si="626"/>
        <v/>
      </c>
      <c r="BG176" s="13" t="str">
        <f t="shared" si="627"/>
        <v/>
      </c>
      <c r="BH176" s="13" t="str">
        <f t="shared" si="628"/>
        <v/>
      </c>
      <c r="BI176" s="13" t="str">
        <f t="shared" si="629"/>
        <v/>
      </c>
      <c r="BJ176" s="13" t="str">
        <f t="shared" si="630"/>
        <v/>
      </c>
      <c r="BM176" s="13" t="str">
        <f t="shared" si="811"/>
        <v>QRatio</v>
      </c>
      <c r="BO176" s="13">
        <v>1</v>
      </c>
      <c r="BR176" s="13">
        <v>0</v>
      </c>
      <c r="BU176" s="104">
        <f t="shared" si="881"/>
        <v>0.99999599999999988</v>
      </c>
      <c r="BV176" s="115"/>
      <c r="BW176" s="104">
        <f t="shared" si="882"/>
        <v>1.3886099999999999</v>
      </c>
    </row>
    <row r="177" spans="1:75" hidden="1" outlineLevel="1" x14ac:dyDescent="0.3">
      <c r="B177" s="13" t="s">
        <v>137</v>
      </c>
      <c r="C177" s="38" t="s">
        <v>393</v>
      </c>
      <c r="E177" s="13" t="s">
        <v>369</v>
      </c>
      <c r="F177" s="13" t="s">
        <v>413</v>
      </c>
      <c r="G177" s="22" t="s">
        <v>75</v>
      </c>
      <c r="H177" s="13" t="s">
        <v>613</v>
      </c>
      <c r="I177" s="13" t="s">
        <v>659</v>
      </c>
      <c r="J177" s="13" t="s">
        <v>273</v>
      </c>
      <c r="K177" s="13" t="s">
        <v>147</v>
      </c>
      <c r="L177" s="85"/>
      <c r="M177" s="85"/>
      <c r="N177" s="13" t="str">
        <f t="shared" si="861"/>
        <v>ChlrAbsorbSglStgFIRRatio_fTchwsTcwsIP</v>
      </c>
      <c r="O177" s="13" t="s">
        <v>165</v>
      </c>
      <c r="P177" s="13" t="s">
        <v>391</v>
      </c>
      <c r="Q177" s="13" t="s">
        <v>139</v>
      </c>
      <c r="R177" s="13" t="s">
        <v>140</v>
      </c>
      <c r="V177" s="33">
        <v>0.65227299999999999</v>
      </c>
      <c r="W177" s="33">
        <v>0</v>
      </c>
      <c r="X177" s="33">
        <v>0</v>
      </c>
      <c r="Y177" s="33">
        <v>-5.4500000000000002E-4</v>
      </c>
      <c r="Z177" s="33">
        <v>5.5000000000000002E-5</v>
      </c>
      <c r="AA177" s="33">
        <v>0</v>
      </c>
      <c r="AG177" s="113"/>
      <c r="AH177" s="113"/>
      <c r="AI177" s="113"/>
      <c r="AJ177" s="113"/>
      <c r="AK177" s="113"/>
      <c r="AL177" s="113"/>
      <c r="AO177" s="13">
        <f t="shared" si="908"/>
        <v>0</v>
      </c>
      <c r="AP177" s="120" t="str">
        <f t="shared" si="548"/>
        <v/>
      </c>
      <c r="AQ177" s="120" t="str">
        <f t="shared" si="860"/>
        <v/>
      </c>
      <c r="AR177" s="120" t="str">
        <f t="shared" si="549"/>
        <v/>
      </c>
      <c r="AS177" s="120" t="str">
        <f t="shared" si="501"/>
        <v/>
      </c>
      <c r="AT177" s="13" t="str">
        <f t="shared" si="854"/>
        <v/>
      </c>
      <c r="AU177" s="13" t="str">
        <f t="shared" si="884"/>
        <v xml:space="preserve">               </v>
      </c>
      <c r="AV177" s="13" t="str">
        <f t="shared" si="862"/>
        <v/>
      </c>
      <c r="AW177" s="13" t="str">
        <f t="shared" si="624"/>
        <v xml:space="preserve">                                                                 </v>
      </c>
      <c r="AX177" s="13" t="str">
        <f t="shared" si="604"/>
        <v/>
      </c>
      <c r="AY177" s="13" t="str">
        <f t="shared" si="605"/>
        <v/>
      </c>
      <c r="AZ177" s="13" t="str">
        <f t="shared" si="606"/>
        <v/>
      </c>
      <c r="BA177" s="13" t="str">
        <f t="shared" si="607"/>
        <v/>
      </c>
      <c r="BB177" s="13" t="str">
        <f t="shared" si="608"/>
        <v/>
      </c>
      <c r="BC177" s="13" t="str">
        <f t="shared" si="609"/>
        <v/>
      </c>
      <c r="BD177" s="13" t="str">
        <f t="shared" si="880"/>
        <v xml:space="preserve"> </v>
      </c>
      <c r="BE177" s="13" t="str">
        <f t="shared" si="625"/>
        <v/>
      </c>
      <c r="BF177" s="13" t="str">
        <f t="shared" si="626"/>
        <v/>
      </c>
      <c r="BG177" s="13" t="str">
        <f t="shared" si="627"/>
        <v/>
      </c>
      <c r="BH177" s="13" t="str">
        <f t="shared" si="628"/>
        <v/>
      </c>
      <c r="BI177" s="13" t="str">
        <f t="shared" si="629"/>
        <v/>
      </c>
      <c r="BJ177" s="13" t="str">
        <f t="shared" si="630"/>
        <v/>
      </c>
      <c r="BM177" s="13" t="str">
        <f t="shared" si="811"/>
        <v>Tchws</v>
      </c>
      <c r="BN177" s="13" t="str">
        <f t="shared" si="812"/>
        <v>Tcws</v>
      </c>
      <c r="BO177" s="13">
        <v>1</v>
      </c>
      <c r="BR177" s="13">
        <v>0</v>
      </c>
      <c r="BU177" s="104">
        <f t="shared" si="881"/>
        <v>0.65227299999999999</v>
      </c>
      <c r="BV177" s="115"/>
      <c r="BW177" s="104">
        <f t="shared" si="882"/>
        <v>0.65227299999999999</v>
      </c>
    </row>
    <row r="178" spans="1:75" hidden="1" outlineLevel="1" x14ac:dyDescent="0.3">
      <c r="C178" s="38"/>
      <c r="E178" s="13" t="s">
        <v>369</v>
      </c>
      <c r="F178" s="22" t="s">
        <v>833</v>
      </c>
      <c r="G178" s="22" t="s">
        <v>832</v>
      </c>
      <c r="H178" s="13" t="s">
        <v>831</v>
      </c>
      <c r="I178" s="13" t="s">
        <v>660</v>
      </c>
      <c r="J178" s="13" t="s">
        <v>144</v>
      </c>
      <c r="L178" s="85" t="s">
        <v>185</v>
      </c>
      <c r="M178" s="85"/>
      <c r="N178" s="13" t="str">
        <f t="shared" si="861"/>
        <v>ChlrAbsorbSglStgIndirHIRRatio_fTcwsSI</v>
      </c>
      <c r="O178" s="13" t="s">
        <v>230</v>
      </c>
      <c r="P178" s="13" t="s">
        <v>838</v>
      </c>
      <c r="Q178" s="13" t="s">
        <v>140</v>
      </c>
      <c r="V178" s="33">
        <v>0.71201899999999996</v>
      </c>
      <c r="W178" s="33">
        <v>-4.7800000000000004E-3</v>
      </c>
      <c r="X178" s="33">
        <v>8.6399999999999997E-4</v>
      </c>
      <c r="Y178" s="33">
        <v>-1.2999999999999999E-5</v>
      </c>
      <c r="AG178" s="113"/>
      <c r="AH178" s="113"/>
      <c r="AI178" s="113">
        <v>30</v>
      </c>
      <c r="AJ178" s="113">
        <v>7</v>
      </c>
      <c r="AK178" s="113"/>
      <c r="AL178" s="113"/>
      <c r="AO178" s="13">
        <f t="shared" si="908"/>
        <v>1</v>
      </c>
      <c r="AP178" s="120" t="str">
        <f t="shared" si="548"/>
        <v>CrvCubic       "ChlrAbsorbSglStgIndirHIRRatio_fTcwsSI"                          Coef1 =  0.712019  Coef2 = -0.004780  Coef3 =  0.000864  Coef4 = -0.000013  _x000D_
                                                                                MaxVar1 = 30.000   MinVar1 = 7.000   _x000D_
..</v>
      </c>
      <c r="AQ178" s="120" t="str">
        <f t="shared" si="860"/>
        <v xml:space="preserve">CrvCubic       "ChlrAbsorbSglStgIndirHIRRatio_fTcwsSI"                          Coef1 =  0.712019  Coef2 = -0.004780  Coef3 =  0.000864  Coef4 = -0.000013  </v>
      </c>
      <c r="AR178" s="120" t="str">
        <f t="shared" si="549"/>
        <v xml:space="preserve">_x000D_
                                                                                MaxVar1 = 30.000   MinVar1 = 7.000   </v>
      </c>
      <c r="AS178" s="120" t="str">
        <f t="shared" si="501"/>
        <v>_x000D_
..</v>
      </c>
      <c r="AT178" s="13" t="str">
        <f t="shared" si="854"/>
        <v>CrvCubic</v>
      </c>
      <c r="AU178" s="13" t="str">
        <f t="shared" si="884"/>
        <v xml:space="preserve">       </v>
      </c>
      <c r="AV178" s="13" t="str">
        <f t="shared" si="862"/>
        <v>"ChlrAbsorbSglStgIndirHIRRatio_fTcwsSI"</v>
      </c>
      <c r="AW178" s="13" t="str">
        <f t="shared" si="624"/>
        <v xml:space="preserve">                          </v>
      </c>
      <c r="AX178" s="13" t="str">
        <f t="shared" si="604"/>
        <v xml:space="preserve"> 0.712019  </v>
      </c>
      <c r="AY178" s="13" t="str">
        <f t="shared" si="605"/>
        <v xml:space="preserve">-0.004780  </v>
      </c>
      <c r="AZ178" s="13" t="str">
        <f t="shared" si="606"/>
        <v xml:space="preserve"> 0.000864  </v>
      </c>
      <c r="BA178" s="13" t="str">
        <f t="shared" si="607"/>
        <v xml:space="preserve">-0.000013  </v>
      </c>
      <c r="BB178" s="13" t="str">
        <f t="shared" si="608"/>
        <v>-</v>
      </c>
      <c r="BC178" s="13" t="str">
        <f t="shared" si="609"/>
        <v>-</v>
      </c>
      <c r="BD178" s="13" t="str">
        <f t="shared" si="880"/>
        <v xml:space="preserve">_x000D_
                                                                                </v>
      </c>
      <c r="BE178" s="13" t="str">
        <f t="shared" si="625"/>
        <v>-</v>
      </c>
      <c r="BF178" s="13" t="str">
        <f t="shared" si="626"/>
        <v>-</v>
      </c>
      <c r="BG178" s="13" t="str">
        <f t="shared" si="627"/>
        <v xml:space="preserve">30.000   </v>
      </c>
      <c r="BH178" s="13" t="str">
        <f t="shared" si="628"/>
        <v xml:space="preserve">7.000   </v>
      </c>
      <c r="BI178" s="13" t="str">
        <f t="shared" si="629"/>
        <v>-</v>
      </c>
      <c r="BJ178" s="13" t="str">
        <f t="shared" si="630"/>
        <v>-</v>
      </c>
      <c r="BM178" s="13" t="str">
        <f t="shared" si="811"/>
        <v>Tcws</v>
      </c>
      <c r="BO178" s="13">
        <v>1</v>
      </c>
      <c r="BR178" s="13">
        <v>0</v>
      </c>
      <c r="BU178" s="104">
        <f t="shared" si="881"/>
        <v>0.70810299999999993</v>
      </c>
      <c r="BV178" s="115"/>
      <c r="BW178" s="104">
        <f t="shared" si="882"/>
        <v>0.71201899999999996</v>
      </c>
    </row>
    <row r="179" spans="1:75" hidden="1" outlineLevel="1" x14ac:dyDescent="0.3">
      <c r="C179" s="38"/>
      <c r="E179" s="13" t="s">
        <v>369</v>
      </c>
      <c r="F179" s="22" t="s">
        <v>834</v>
      </c>
      <c r="G179" s="22" t="s">
        <v>832</v>
      </c>
      <c r="H179" s="13" t="s">
        <v>831</v>
      </c>
      <c r="I179" s="13" t="s">
        <v>660</v>
      </c>
      <c r="J179" s="13" t="s">
        <v>144</v>
      </c>
      <c r="L179" s="85" t="s">
        <v>185</v>
      </c>
      <c r="M179" s="85"/>
      <c r="N179" s="13" t="str">
        <f t="shared" si="861"/>
        <v>ChlrAbsorbSglStgIndirHIRRatio_fTchwsSI</v>
      </c>
      <c r="O179" s="13" t="s">
        <v>230</v>
      </c>
      <c r="P179" s="13" t="s">
        <v>838</v>
      </c>
      <c r="Q179" s="13" t="s">
        <v>139</v>
      </c>
      <c r="V179" s="33">
        <v>0.99557099999999998</v>
      </c>
      <c r="W179" s="33">
        <v>4.6821000000000002E-2</v>
      </c>
      <c r="X179" s="33">
        <v>-1.099E-2</v>
      </c>
      <c r="Y179" s="33">
        <v>6.0800000000000003E-4</v>
      </c>
      <c r="AG179" s="113"/>
      <c r="AH179" s="113"/>
      <c r="AI179" s="113">
        <v>10</v>
      </c>
      <c r="AJ179" s="113">
        <v>4</v>
      </c>
      <c r="AK179" s="113"/>
      <c r="AL179" s="113"/>
      <c r="AO179" s="13">
        <f t="shared" si="908"/>
        <v>1</v>
      </c>
      <c r="AP179" s="120" t="str">
        <f t="shared" si="548"/>
        <v>CrvCubic       "ChlrAbsorbSglStgIndirHIRRatio_fTchwsSI"                         Coef1 =  0.995571  Coef2 =  0.046821  Coef3 = -0.010990  Coef4 =  0.000608  _x000D_
                                                                                MaxVar1 = 10.000   MinVar1 = 4.000   _x000D_
..</v>
      </c>
      <c r="AQ179" s="120" t="str">
        <f t="shared" si="860"/>
        <v xml:space="preserve">CrvCubic       "ChlrAbsorbSglStgIndirHIRRatio_fTchwsSI"                         Coef1 =  0.995571  Coef2 =  0.046821  Coef3 = -0.010990  Coef4 =  0.000608  </v>
      </c>
      <c r="AR179" s="120" t="str">
        <f t="shared" si="549"/>
        <v xml:space="preserve">_x000D_
                                                                                MaxVar1 = 10.000   MinVar1 = 4.000   </v>
      </c>
      <c r="AS179" s="120" t="str">
        <f t="shared" si="501"/>
        <v>_x000D_
..</v>
      </c>
      <c r="AT179" s="13" t="str">
        <f t="shared" si="854"/>
        <v>CrvCubic</v>
      </c>
      <c r="AU179" s="13" t="str">
        <f t="shared" si="884"/>
        <v xml:space="preserve">       </v>
      </c>
      <c r="AV179" s="13" t="str">
        <f t="shared" si="862"/>
        <v>"ChlrAbsorbSglStgIndirHIRRatio_fTchwsSI"</v>
      </c>
      <c r="AW179" s="13" t="str">
        <f t="shared" si="624"/>
        <v xml:space="preserve">                         </v>
      </c>
      <c r="AX179" s="13" t="str">
        <f t="shared" si="604"/>
        <v xml:space="preserve"> 0.995571  </v>
      </c>
      <c r="AY179" s="13" t="str">
        <f t="shared" si="605"/>
        <v xml:space="preserve"> 0.046821  </v>
      </c>
      <c r="AZ179" s="13" t="str">
        <f t="shared" si="606"/>
        <v xml:space="preserve">-0.010990  </v>
      </c>
      <c r="BA179" s="13" t="str">
        <f t="shared" si="607"/>
        <v xml:space="preserve"> 0.000608  </v>
      </c>
      <c r="BB179" s="13" t="str">
        <f t="shared" si="608"/>
        <v>-</v>
      </c>
      <c r="BC179" s="13" t="str">
        <f t="shared" si="609"/>
        <v>-</v>
      </c>
      <c r="BD179" s="13" t="str">
        <f t="shared" si="880"/>
        <v xml:space="preserve">_x000D_
                                                                                </v>
      </c>
      <c r="BE179" s="13" t="str">
        <f t="shared" si="625"/>
        <v>-</v>
      </c>
      <c r="BF179" s="13" t="str">
        <f t="shared" si="626"/>
        <v>-</v>
      </c>
      <c r="BG179" s="13" t="str">
        <f t="shared" si="627"/>
        <v xml:space="preserve">10.000   </v>
      </c>
      <c r="BH179" s="13" t="str">
        <f t="shared" si="628"/>
        <v xml:space="preserve">4.000   </v>
      </c>
      <c r="BI179" s="13" t="str">
        <f t="shared" si="629"/>
        <v>-</v>
      </c>
      <c r="BJ179" s="13" t="str">
        <f t="shared" si="630"/>
        <v>-</v>
      </c>
      <c r="BM179" s="13" t="str">
        <f t="shared" si="811"/>
        <v>Tchws</v>
      </c>
      <c r="BO179" s="13">
        <v>1</v>
      </c>
      <c r="BR179" s="13">
        <v>0</v>
      </c>
      <c r="BU179" s="104">
        <f t="shared" si="881"/>
        <v>1.0314019999999999</v>
      </c>
      <c r="BV179" s="115"/>
      <c r="BW179" s="104">
        <f t="shared" si="882"/>
        <v>0.99557099999999998</v>
      </c>
    </row>
    <row r="180" spans="1:75" hidden="1" outlineLevel="1" x14ac:dyDescent="0.3">
      <c r="E180" s="13" t="s">
        <v>369</v>
      </c>
      <c r="F180" s="13" t="s">
        <v>413</v>
      </c>
      <c r="G180" s="22" t="s">
        <v>76</v>
      </c>
      <c r="H180" s="13" t="s">
        <v>614</v>
      </c>
      <c r="I180" s="13" t="s">
        <v>659</v>
      </c>
      <c r="J180" s="13" t="s">
        <v>273</v>
      </c>
      <c r="K180" s="13" t="s">
        <v>147</v>
      </c>
      <c r="L180" s="85"/>
      <c r="M180" s="85"/>
      <c r="N180" s="13" t="str">
        <f t="shared" si="861"/>
        <v>ChlrAbsorbDblStgFIRRatio_fTchwsTcwsIP</v>
      </c>
      <c r="O180" s="13" t="s">
        <v>165</v>
      </c>
      <c r="P180" s="13" t="s">
        <v>391</v>
      </c>
      <c r="Q180" s="13" t="s">
        <v>139</v>
      </c>
      <c r="R180" s="13" t="s">
        <v>140</v>
      </c>
      <c r="V180" s="33">
        <v>1.6587499999999999</v>
      </c>
      <c r="W180" s="33">
        <v>0</v>
      </c>
      <c r="X180" s="33">
        <v>0</v>
      </c>
      <c r="Y180" s="33">
        <v>-0.28999999999999998</v>
      </c>
      <c r="Z180" s="33">
        <v>2.5000000000000001E-4</v>
      </c>
      <c r="AA180" s="33">
        <v>0</v>
      </c>
      <c r="AG180" s="113"/>
      <c r="AH180" s="113"/>
      <c r="AI180" s="113"/>
      <c r="AJ180" s="113"/>
      <c r="AK180" s="113"/>
      <c r="AL180" s="113"/>
      <c r="AO180" s="13">
        <f t="shared" si="908"/>
        <v>0</v>
      </c>
      <c r="AP180" s="120" t="str">
        <f t="shared" si="548"/>
        <v/>
      </c>
      <c r="AQ180" s="120" t="str">
        <f t="shared" si="860"/>
        <v/>
      </c>
      <c r="AR180" s="120" t="str">
        <f t="shared" si="549"/>
        <v/>
      </c>
      <c r="AS180" s="120" t="str">
        <f t="shared" si="501"/>
        <v/>
      </c>
      <c r="AT180" s="13" t="str">
        <f t="shared" si="854"/>
        <v/>
      </c>
      <c r="AU180" s="13" t="str">
        <f t="shared" si="884"/>
        <v xml:space="preserve">               </v>
      </c>
      <c r="AV180" s="13" t="str">
        <f t="shared" si="862"/>
        <v/>
      </c>
      <c r="AW180" s="13" t="str">
        <f t="shared" si="624"/>
        <v xml:space="preserve">                                                                 </v>
      </c>
      <c r="AX180" s="13" t="str">
        <f t="shared" si="604"/>
        <v/>
      </c>
      <c r="AY180" s="13" t="str">
        <f t="shared" si="605"/>
        <v/>
      </c>
      <c r="AZ180" s="13" t="str">
        <f t="shared" si="606"/>
        <v/>
      </c>
      <c r="BA180" s="13" t="str">
        <f t="shared" si="607"/>
        <v/>
      </c>
      <c r="BB180" s="13" t="str">
        <f t="shared" si="608"/>
        <v/>
      </c>
      <c r="BC180" s="13" t="str">
        <f t="shared" si="609"/>
        <v/>
      </c>
      <c r="BD180" s="13" t="str">
        <f t="shared" si="880"/>
        <v xml:space="preserve"> </v>
      </c>
      <c r="BE180" s="13" t="str">
        <f t="shared" si="625"/>
        <v/>
      </c>
      <c r="BF180" s="13" t="str">
        <f t="shared" si="626"/>
        <v/>
      </c>
      <c r="BG180" s="13" t="str">
        <f t="shared" si="627"/>
        <v/>
      </c>
      <c r="BH180" s="13" t="str">
        <f t="shared" si="628"/>
        <v/>
      </c>
      <c r="BI180" s="13" t="str">
        <f t="shared" si="629"/>
        <v/>
      </c>
      <c r="BJ180" s="13" t="str">
        <f t="shared" si="630"/>
        <v/>
      </c>
      <c r="BM180" s="13" t="str">
        <f t="shared" si="811"/>
        <v>Tchws</v>
      </c>
      <c r="BN180" s="13" t="str">
        <f t="shared" si="812"/>
        <v>Tcws</v>
      </c>
      <c r="BO180" s="13">
        <v>1</v>
      </c>
      <c r="BR180" s="13">
        <v>0</v>
      </c>
      <c r="BU180" s="104">
        <f t="shared" si="881"/>
        <v>1.6587499999999999</v>
      </c>
      <c r="BV180" s="115"/>
      <c r="BW180" s="104">
        <f t="shared" si="882"/>
        <v>1.6587499999999999</v>
      </c>
    </row>
    <row r="181" spans="1:75" hidden="1" outlineLevel="1" x14ac:dyDescent="0.3">
      <c r="E181" s="13" t="s">
        <v>369</v>
      </c>
      <c r="F181" s="85" t="s">
        <v>626</v>
      </c>
      <c r="G181" s="22" t="s">
        <v>77</v>
      </c>
      <c r="H181" s="13" t="s">
        <v>615</v>
      </c>
      <c r="I181" s="13" t="s">
        <v>659</v>
      </c>
      <c r="J181" s="13" t="s">
        <v>273</v>
      </c>
      <c r="K181" s="13" t="s">
        <v>661</v>
      </c>
      <c r="L181" s="85"/>
      <c r="M181" s="85"/>
      <c r="N181" s="13" t="str">
        <f t="shared" si="861"/>
        <v>ChlrAbsorbDirectFIR1Ratio_fTchwsIP</v>
      </c>
      <c r="O181" s="13" t="s">
        <v>162</v>
      </c>
      <c r="P181" s="13" t="s">
        <v>664</v>
      </c>
      <c r="Q181" s="13" t="s">
        <v>139</v>
      </c>
      <c r="V181" s="33">
        <v>4.4287128400000002</v>
      </c>
      <c r="W181" s="33">
        <v>-0.13298607000000001</v>
      </c>
      <c r="X181" s="33">
        <v>1.2533100000000001E-3</v>
      </c>
      <c r="AG181" s="113"/>
      <c r="AH181" s="113"/>
      <c r="AI181" s="113"/>
      <c r="AJ181" s="113"/>
      <c r="AK181" s="113"/>
      <c r="AL181" s="113"/>
      <c r="AO181" s="13">
        <f t="shared" si="908"/>
        <v>0</v>
      </c>
      <c r="AP181" s="120" t="str">
        <f t="shared" si="548"/>
        <v/>
      </c>
      <c r="AQ181" s="120" t="str">
        <f t="shared" si="860"/>
        <v/>
      </c>
      <c r="AR181" s="120" t="str">
        <f t="shared" si="549"/>
        <v/>
      </c>
      <c r="AS181" s="120" t="str">
        <f t="shared" si="501"/>
        <v/>
      </c>
      <c r="AT181" s="13" t="str">
        <f t="shared" si="854"/>
        <v/>
      </c>
      <c r="AU181" s="13" t="str">
        <f t="shared" si="884"/>
        <v xml:space="preserve">               </v>
      </c>
      <c r="AV181" s="13" t="str">
        <f t="shared" si="862"/>
        <v/>
      </c>
      <c r="AW181" s="13" t="str">
        <f t="shared" si="624"/>
        <v xml:space="preserve">                                                                 </v>
      </c>
      <c r="AX181" s="13" t="str">
        <f t="shared" si="604"/>
        <v/>
      </c>
      <c r="AY181" s="13" t="str">
        <f t="shared" si="605"/>
        <v/>
      </c>
      <c r="AZ181" s="13" t="str">
        <f t="shared" si="606"/>
        <v/>
      </c>
      <c r="BA181" s="13" t="str">
        <f t="shared" si="607"/>
        <v/>
      </c>
      <c r="BB181" s="13" t="str">
        <f t="shared" si="608"/>
        <v/>
      </c>
      <c r="BC181" s="13" t="str">
        <f t="shared" si="609"/>
        <v/>
      </c>
      <c r="BD181" s="13" t="str">
        <f t="shared" si="880"/>
        <v xml:space="preserve"> </v>
      </c>
      <c r="BE181" s="13" t="str">
        <f t="shared" si="625"/>
        <v/>
      </c>
      <c r="BF181" s="13" t="str">
        <f t="shared" si="626"/>
        <v/>
      </c>
      <c r="BG181" s="13" t="str">
        <f t="shared" si="627"/>
        <v/>
      </c>
      <c r="BH181" s="13" t="str">
        <f t="shared" si="628"/>
        <v/>
      </c>
      <c r="BI181" s="13" t="str">
        <f t="shared" si="629"/>
        <v/>
      </c>
      <c r="BJ181" s="13" t="str">
        <f t="shared" si="630"/>
        <v/>
      </c>
      <c r="BM181" s="13" t="str">
        <f t="shared" si="811"/>
        <v>Tchws</v>
      </c>
      <c r="BO181" s="13">
        <v>1</v>
      </c>
      <c r="BR181" s="13">
        <v>0</v>
      </c>
      <c r="BU181" s="104">
        <f t="shared" si="881"/>
        <v>4.29698008</v>
      </c>
      <c r="BV181" s="115"/>
      <c r="BW181" s="104">
        <f t="shared" si="882"/>
        <v>4.4287128400000002</v>
      </c>
    </row>
    <row r="182" spans="1:75" hidden="1" outlineLevel="1" x14ac:dyDescent="0.3">
      <c r="E182" s="13" t="s">
        <v>369</v>
      </c>
      <c r="F182" s="85" t="s">
        <v>626</v>
      </c>
      <c r="G182" s="22" t="s">
        <v>77</v>
      </c>
      <c r="H182" s="13" t="s">
        <v>615</v>
      </c>
      <c r="I182" s="13" t="s">
        <v>659</v>
      </c>
      <c r="J182" s="13" t="s">
        <v>273</v>
      </c>
      <c r="K182" s="13" t="s">
        <v>662</v>
      </c>
      <c r="L182" s="85"/>
      <c r="M182" s="85"/>
      <c r="N182" s="13" t="str">
        <f t="shared" si="861"/>
        <v>ChlrAbsorbDirectFIR2Ratio_fTcwsIP</v>
      </c>
      <c r="O182" s="13" t="s">
        <v>162</v>
      </c>
      <c r="P182" s="13" t="s">
        <v>663</v>
      </c>
      <c r="Q182" s="13" t="s">
        <v>140</v>
      </c>
      <c r="V182" s="33">
        <v>0.86173748999999999</v>
      </c>
      <c r="W182" s="33">
        <v>-7.0891699999999997E-3</v>
      </c>
      <c r="X182" s="33">
        <v>1.0250999999999999E-3</v>
      </c>
      <c r="AG182" s="113"/>
      <c r="AH182" s="113"/>
      <c r="AI182" s="113"/>
      <c r="AJ182" s="113"/>
      <c r="AK182" s="113"/>
      <c r="AL182" s="113"/>
      <c r="AO182" s="13">
        <f t="shared" si="908"/>
        <v>0</v>
      </c>
      <c r="AP182" s="120" t="str">
        <f t="shared" si="548"/>
        <v/>
      </c>
      <c r="AQ182" s="120" t="str">
        <f t="shared" si="860"/>
        <v/>
      </c>
      <c r="AR182" s="120" t="str">
        <f t="shared" si="549"/>
        <v/>
      </c>
      <c r="AS182" s="120" t="str">
        <f t="shared" si="501"/>
        <v/>
      </c>
      <c r="AT182" s="13" t="str">
        <f t="shared" si="854"/>
        <v/>
      </c>
      <c r="AU182" s="13" t="str">
        <f t="shared" si="884"/>
        <v xml:space="preserve">               </v>
      </c>
      <c r="AV182" s="13" t="str">
        <f t="shared" si="862"/>
        <v/>
      </c>
      <c r="AW182" s="13" t="str">
        <f t="shared" si="624"/>
        <v xml:space="preserve">                                                                 </v>
      </c>
      <c r="AX182" s="13" t="str">
        <f t="shared" si="604"/>
        <v/>
      </c>
      <c r="AY182" s="13" t="str">
        <f t="shared" si="605"/>
        <v/>
      </c>
      <c r="AZ182" s="13" t="str">
        <f t="shared" si="606"/>
        <v/>
      </c>
      <c r="BA182" s="13" t="str">
        <f t="shared" si="607"/>
        <v/>
      </c>
      <c r="BB182" s="13" t="str">
        <f t="shared" si="608"/>
        <v/>
      </c>
      <c r="BC182" s="13" t="str">
        <f t="shared" si="609"/>
        <v/>
      </c>
      <c r="BD182" s="13" t="str">
        <f t="shared" si="880"/>
        <v xml:space="preserve"> </v>
      </c>
      <c r="BE182" s="13" t="str">
        <f t="shared" si="625"/>
        <v/>
      </c>
      <c r="BF182" s="13" t="str">
        <f t="shared" si="626"/>
        <v/>
      </c>
      <c r="BG182" s="13" t="str">
        <f t="shared" si="627"/>
        <v/>
      </c>
      <c r="BH182" s="13" t="str">
        <f t="shared" si="628"/>
        <v/>
      </c>
      <c r="BI182" s="13" t="str">
        <f t="shared" si="629"/>
        <v/>
      </c>
      <c r="BJ182" s="13" t="str">
        <f t="shared" si="630"/>
        <v/>
      </c>
      <c r="BM182" s="13" t="str">
        <f t="shared" si="811"/>
        <v>Tcws</v>
      </c>
      <c r="BO182" s="13">
        <v>1</v>
      </c>
      <c r="BR182" s="13">
        <v>0</v>
      </c>
      <c r="BU182" s="104">
        <f t="shared" si="881"/>
        <v>0.85567342000000002</v>
      </c>
      <c r="BV182" s="115"/>
      <c r="BW182" s="104">
        <f t="shared" si="882"/>
        <v>0.86173748999999999</v>
      </c>
    </row>
    <row r="183" spans="1:75" hidden="1" outlineLevel="1" x14ac:dyDescent="0.3">
      <c r="B183" s="13" t="s">
        <v>137</v>
      </c>
      <c r="C183" s="38" t="s">
        <v>393</v>
      </c>
      <c r="E183" s="13" t="s">
        <v>369</v>
      </c>
      <c r="F183" s="13" t="s">
        <v>413</v>
      </c>
      <c r="G183" s="22" t="s">
        <v>78</v>
      </c>
      <c r="H183" s="13" t="s">
        <v>610</v>
      </c>
      <c r="I183" s="13" t="s">
        <v>659</v>
      </c>
      <c r="J183" s="13" t="s">
        <v>273</v>
      </c>
      <c r="K183" s="13" t="s">
        <v>147</v>
      </c>
      <c r="L183" s="85"/>
      <c r="M183" s="85"/>
      <c r="N183" s="13" t="str">
        <f t="shared" si="861"/>
        <v>ChlrEngDrvSpdLtEqlMinFIRRatio_fTchwsTcwsIP</v>
      </c>
      <c r="O183" s="13" t="s">
        <v>165</v>
      </c>
      <c r="P183" s="13" t="s">
        <v>391</v>
      </c>
      <c r="Q183" s="13" t="s">
        <v>139</v>
      </c>
      <c r="R183" s="13" t="s">
        <v>140</v>
      </c>
      <c r="V183" s="33">
        <v>1.08815</v>
      </c>
      <c r="W183" s="33">
        <v>1.41064E-2</v>
      </c>
      <c r="X183" s="33">
        <v>0</v>
      </c>
      <c r="Y183" s="33">
        <v>-8.3391200000000002E-3</v>
      </c>
      <c r="Z183" s="33">
        <v>0</v>
      </c>
      <c r="AA183" s="33">
        <v>0</v>
      </c>
      <c r="AG183" s="113"/>
      <c r="AH183" s="113"/>
      <c r="AI183" s="113"/>
      <c r="AJ183" s="113"/>
      <c r="AK183" s="113"/>
      <c r="AL183" s="113"/>
      <c r="AO183" s="13">
        <f t="shared" si="908"/>
        <v>0</v>
      </c>
      <c r="AP183" s="120" t="str">
        <f t="shared" si="548"/>
        <v/>
      </c>
      <c r="AQ183" s="120" t="str">
        <f t="shared" si="860"/>
        <v/>
      </c>
      <c r="AR183" s="120" t="str">
        <f t="shared" si="549"/>
        <v/>
      </c>
      <c r="AS183" s="120" t="str">
        <f t="shared" si="501"/>
        <v/>
      </c>
      <c r="AT183" s="13" t="str">
        <f t="shared" si="854"/>
        <v/>
      </c>
      <c r="AU183" s="13" t="str">
        <f t="shared" si="884"/>
        <v xml:space="preserve">               </v>
      </c>
      <c r="AV183" s="13" t="str">
        <f t="shared" si="862"/>
        <v/>
      </c>
      <c r="AW183" s="13" t="str">
        <f t="shared" si="624"/>
        <v xml:space="preserve">                                                                 </v>
      </c>
      <c r="AX183" s="13" t="str">
        <f t="shared" si="604"/>
        <v/>
      </c>
      <c r="AY183" s="13" t="str">
        <f t="shared" si="605"/>
        <v/>
      </c>
      <c r="AZ183" s="13" t="str">
        <f t="shared" si="606"/>
        <v/>
      </c>
      <c r="BA183" s="13" t="str">
        <f t="shared" si="607"/>
        <v/>
      </c>
      <c r="BB183" s="13" t="str">
        <f t="shared" si="608"/>
        <v/>
      </c>
      <c r="BC183" s="13" t="str">
        <f t="shared" si="609"/>
        <v/>
      </c>
      <c r="BD183" s="13" t="str">
        <f t="shared" si="880"/>
        <v xml:space="preserve"> </v>
      </c>
      <c r="BE183" s="13" t="str">
        <f t="shared" si="625"/>
        <v/>
      </c>
      <c r="BF183" s="13" t="str">
        <f t="shared" si="626"/>
        <v/>
      </c>
      <c r="BG183" s="13" t="str">
        <f t="shared" si="627"/>
        <v/>
      </c>
      <c r="BH183" s="13" t="str">
        <f t="shared" si="628"/>
        <v/>
      </c>
      <c r="BI183" s="13" t="str">
        <f t="shared" si="629"/>
        <v/>
      </c>
      <c r="BJ183" s="13" t="str">
        <f t="shared" si="630"/>
        <v/>
      </c>
      <c r="BM183" s="13" t="str">
        <f t="shared" si="811"/>
        <v>Tchws</v>
      </c>
      <c r="BN183" s="13" t="str">
        <f t="shared" si="812"/>
        <v>Tcws</v>
      </c>
      <c r="BO183" s="13">
        <v>1</v>
      </c>
      <c r="BR183" s="13">
        <v>0</v>
      </c>
      <c r="BU183" s="104">
        <f t="shared" si="881"/>
        <v>1.1022563999999999</v>
      </c>
      <c r="BV183" s="115"/>
      <c r="BW183" s="104">
        <f t="shared" si="882"/>
        <v>1.08815</v>
      </c>
    </row>
    <row r="184" spans="1:75" hidden="1" outlineLevel="1" x14ac:dyDescent="0.3">
      <c r="C184" s="38"/>
      <c r="E184" s="13" t="s">
        <v>369</v>
      </c>
      <c r="F184" s="13" t="s">
        <v>413</v>
      </c>
      <c r="G184" s="22" t="s">
        <v>79</v>
      </c>
      <c r="H184" s="13" t="s">
        <v>611</v>
      </c>
      <c r="I184" s="13" t="s">
        <v>659</v>
      </c>
      <c r="J184" s="13" t="s">
        <v>273</v>
      </c>
      <c r="K184" s="13" t="s">
        <v>147</v>
      </c>
      <c r="L184" s="85"/>
      <c r="M184" s="85"/>
      <c r="N184" s="13" t="str">
        <f t="shared" si="861"/>
        <v>ChlrEngDrvSpdGtMinLtEql60FIRRatio_fTchwsTcwsIP</v>
      </c>
      <c r="O184" s="13" t="s">
        <v>165</v>
      </c>
      <c r="P184" s="13" t="s">
        <v>391</v>
      </c>
      <c r="Q184" s="13" t="s">
        <v>139</v>
      </c>
      <c r="R184" s="13" t="s">
        <v>140</v>
      </c>
      <c r="V184" s="33">
        <v>1.23624</v>
      </c>
      <c r="W184" s="33">
        <v>1.6892299999999999E-2</v>
      </c>
      <c r="X184" s="33">
        <v>0</v>
      </c>
      <c r="Y184" s="33">
        <v>-1.1523500000000001E-2</v>
      </c>
      <c r="Z184" s="33">
        <v>0</v>
      </c>
      <c r="AA184" s="33">
        <v>0</v>
      </c>
      <c r="AG184" s="113"/>
      <c r="AH184" s="113"/>
      <c r="AI184" s="113"/>
      <c r="AJ184" s="113"/>
      <c r="AK184" s="113"/>
      <c r="AL184" s="113"/>
      <c r="AO184" s="13">
        <f t="shared" si="908"/>
        <v>0</v>
      </c>
      <c r="AP184" s="120" t="str">
        <f t="shared" si="548"/>
        <v/>
      </c>
      <c r="AQ184" s="120" t="str">
        <f t="shared" si="860"/>
        <v/>
      </c>
      <c r="AR184" s="120" t="str">
        <f t="shared" si="549"/>
        <v/>
      </c>
      <c r="AS184" s="120" t="str">
        <f t="shared" si="501"/>
        <v/>
      </c>
      <c r="AT184" s="13" t="str">
        <f t="shared" si="854"/>
        <v/>
      </c>
      <c r="AU184" s="13" t="str">
        <f t="shared" si="884"/>
        <v xml:space="preserve">               </v>
      </c>
      <c r="AV184" s="13" t="str">
        <f t="shared" si="862"/>
        <v/>
      </c>
      <c r="AW184" s="13" t="str">
        <f t="shared" si="624"/>
        <v xml:space="preserve">                                                                 </v>
      </c>
      <c r="AX184" s="13" t="str">
        <f t="shared" si="604"/>
        <v/>
      </c>
      <c r="AY184" s="13" t="str">
        <f t="shared" si="605"/>
        <v/>
      </c>
      <c r="AZ184" s="13" t="str">
        <f t="shared" si="606"/>
        <v/>
      </c>
      <c r="BA184" s="13" t="str">
        <f t="shared" si="607"/>
        <v/>
      </c>
      <c r="BB184" s="13" t="str">
        <f t="shared" si="608"/>
        <v/>
      </c>
      <c r="BC184" s="13" t="str">
        <f t="shared" si="609"/>
        <v/>
      </c>
      <c r="BD184" s="13" t="str">
        <f t="shared" si="880"/>
        <v xml:space="preserve"> </v>
      </c>
      <c r="BE184" s="13" t="str">
        <f t="shared" si="625"/>
        <v/>
      </c>
      <c r="BF184" s="13" t="str">
        <f t="shared" si="626"/>
        <v/>
      </c>
      <c r="BG184" s="13" t="str">
        <f t="shared" si="627"/>
        <v/>
      </c>
      <c r="BH184" s="13" t="str">
        <f t="shared" si="628"/>
        <v/>
      </c>
      <c r="BI184" s="13" t="str">
        <f t="shared" si="629"/>
        <v/>
      </c>
      <c r="BJ184" s="13" t="str">
        <f t="shared" si="630"/>
        <v/>
      </c>
      <c r="BM184" s="13" t="str">
        <f t="shared" si="811"/>
        <v>Tchws</v>
      </c>
      <c r="BN184" s="13" t="str">
        <f t="shared" si="812"/>
        <v>Tcws</v>
      </c>
      <c r="BO184" s="13">
        <v>1</v>
      </c>
      <c r="BR184" s="13">
        <v>0</v>
      </c>
      <c r="BU184" s="104">
        <f t="shared" si="881"/>
        <v>1.2531323000000001</v>
      </c>
      <c r="BV184" s="115"/>
      <c r="BW184" s="104">
        <f t="shared" si="882"/>
        <v>1.23624</v>
      </c>
    </row>
    <row r="185" spans="1:75" hidden="1" outlineLevel="1" x14ac:dyDescent="0.3">
      <c r="C185" s="38"/>
      <c r="E185" s="13" t="s">
        <v>369</v>
      </c>
      <c r="F185" s="13" t="s">
        <v>413</v>
      </c>
      <c r="G185" s="22" t="s">
        <v>80</v>
      </c>
      <c r="H185" s="13" t="s">
        <v>612</v>
      </c>
      <c r="I185" s="13" t="s">
        <v>659</v>
      </c>
      <c r="J185" s="13" t="s">
        <v>273</v>
      </c>
      <c r="K185" s="13" t="s">
        <v>147</v>
      </c>
      <c r="L185" s="85"/>
      <c r="M185" s="85"/>
      <c r="N185" s="13" t="str">
        <f t="shared" si="861"/>
        <v>ChlrEngDrvSpdGt60FIRRatio_fTchwsTcwsIP</v>
      </c>
      <c r="O185" s="13" t="s">
        <v>165</v>
      </c>
      <c r="P185" s="13" t="s">
        <v>391</v>
      </c>
      <c r="Q185" s="13" t="s">
        <v>139</v>
      </c>
      <c r="R185" s="13" t="s">
        <v>140</v>
      </c>
      <c r="V185" s="33">
        <v>1.23624</v>
      </c>
      <c r="W185" s="33">
        <v>1.6892299999999999E-2</v>
      </c>
      <c r="X185" s="33">
        <v>0</v>
      </c>
      <c r="Y185" s="33">
        <v>-1.1523500000000001E-2</v>
      </c>
      <c r="Z185" s="33">
        <v>0</v>
      </c>
      <c r="AA185" s="33">
        <v>0</v>
      </c>
      <c r="AG185" s="113"/>
      <c r="AH185" s="113"/>
      <c r="AI185" s="113"/>
      <c r="AJ185" s="113"/>
      <c r="AK185" s="113"/>
      <c r="AL185" s="113"/>
      <c r="AO185" s="13">
        <f t="shared" ref="AO185" si="909">IF(ISTEXT(A185),"",IF(I185="IP",0,1))</f>
        <v>0</v>
      </c>
      <c r="AP185" s="120" t="str">
        <f t="shared" ref="AP185" si="910">IF(AO185=1,CONCATENATE(AQ185,AR185,AS185),"")</f>
        <v/>
      </c>
      <c r="AQ185" s="120" t="str">
        <f t="shared" ref="AQ185" si="911">IF(AO185=1,CONCATENATE(AT185,AU185,AV185,AW185,IF(AX185="-","",$AX$15&amp;AX185),IF(AY185="-","",$AY$15&amp;AY185),IF(AZ185="-","",$AZ$15&amp;AZ185),IF(BA185="-","",$BA$15&amp;BA185),IF(BB185="-","",$BB$15&amp;BB185),IF(BC185="-","",$BC$15&amp;BC185)),"")</f>
        <v/>
      </c>
      <c r="AR185" s="120" t="str">
        <f t="shared" ref="AR185" si="912">IF(AO185=1,CONCATENATE(BD185,IF(BE185="-","",$BE$15&amp;BE185),IF(BF185="-","",$BF$15&amp;BF185),IF(BG185="-","",$BG$15&amp;BG185),IF(BH185="-","",$BH$15&amp;BH185),IF(BI185="-","",$BI$15&amp;BI185),IF(BJ185="-","",$BJ$15&amp;BJ185)),"")</f>
        <v/>
      </c>
      <c r="AS185" s="120" t="str">
        <f t="shared" ref="AS185" si="913">IF(AO185=1,CHAR(13)&amp;CHAR(10)&amp;"..","")</f>
        <v/>
      </c>
      <c r="AT185" s="13" t="str">
        <f t="shared" ref="AT185" si="914">IF(AO185=1,VLOOKUP(O185,$AT$2:$AV$13,2,0),"")</f>
        <v/>
      </c>
      <c r="AU185" s="13" t="str">
        <f t="shared" ref="AU185" si="915">REPT(" ",AU$14-LEN(AT185))</f>
        <v xml:space="preserve">               </v>
      </c>
      <c r="AV185" s="13" t="str">
        <f t="shared" si="862"/>
        <v/>
      </c>
      <c r="AW185" s="13" t="str">
        <f t="shared" ref="AW185" si="916">REPT(" ",$AW$14-LEN(AV185))</f>
        <v xml:space="preserve">                                                                 </v>
      </c>
      <c r="AX185" s="13" t="str">
        <f t="shared" ref="AX185" si="917">IF($AO185=1,IF(ISBLANK(V185),"-",CONCATENATE(TEXT(V185," 0.000000;-0.000000"),"  ")),"")</f>
        <v/>
      </c>
      <c r="AY185" s="13" t="str">
        <f t="shared" ref="AY185" si="918">IF($AO185=1,IF(ISBLANK(W185),"-",CONCATENATE(TEXT(W185," 0.000000;-0.000000"),"  ")),"")</f>
        <v/>
      </c>
      <c r="AZ185" s="13" t="str">
        <f t="shared" ref="AZ185" si="919">IF($AO185=1,IF(ISBLANK(X185),"-",CONCATENATE(TEXT(X185," 0.000000;-0.000000"),"  ")),"")</f>
        <v/>
      </c>
      <c r="BA185" s="13" t="str">
        <f t="shared" ref="BA185" si="920">IF($AO185=1,IF(ISBLANK(Y185),"-",CONCATENATE(TEXT(Y185," 0.000000;-0.000000"),"  ")),"")</f>
        <v/>
      </c>
      <c r="BB185" s="13" t="str">
        <f t="shared" ref="BB185" si="921">IF($AO185=1,IF(ISBLANK(Z185),"-",CONCATENATE(TEXT(Z185," 0.000000;-0.000000"),"  ")),"")</f>
        <v/>
      </c>
      <c r="BC185" s="13" t="str">
        <f t="shared" ref="BC185" si="922">IF($AO185=1,IF(ISBLANK(AA185),"-",CONCATENATE(TEXT(AA185," 0.000000;-0.000000"),"  ")),"")</f>
        <v/>
      </c>
      <c r="BD185" s="13" t="str">
        <f t="shared" ref="BD185" si="923">IF(MAX(AG185:AL185)=0,REPT(" ",1),CHAR(13)&amp;CHAR(10)&amp;REPT(" ",BD$14))</f>
        <v xml:space="preserve"> </v>
      </c>
      <c r="BE185" s="13" t="str">
        <f t="shared" ref="BE185" si="924">IF($AO185=1,IF(AG185="","-",CONCATENATE(TEXT(AG185,"0.000"),"   ")),"")</f>
        <v/>
      </c>
      <c r="BF185" s="13" t="str">
        <f t="shared" ref="BF185" si="925">IF($AO185=1,IF(AH185="","-",CONCATENATE(TEXT(AH185,"0.000"),"   ")),"")</f>
        <v/>
      </c>
      <c r="BG185" s="13" t="str">
        <f t="shared" ref="BG185" si="926">IF($AO185=1,IF(AI185="","-",CONCATENATE(TEXT(AI185,"0.000"),"   ")),"")</f>
        <v/>
      </c>
      <c r="BH185" s="13" t="str">
        <f t="shared" ref="BH185" si="927">IF($AO185=1,IF(AJ185="","-",CONCATENATE(TEXT(AJ185,"0.000"),"   ")),"")</f>
        <v/>
      </c>
      <c r="BI185" s="13" t="str">
        <f t="shared" ref="BI185" si="928">IF($AO185=1,IF(AK185="","-",CONCATENATE(TEXT(AK185,"0.000"),"   ")),"")</f>
        <v/>
      </c>
      <c r="BJ185" s="13" t="str">
        <f t="shared" ref="BJ185" si="929">IF($AO185=1,IF(AL185="","-",CONCATENATE(TEXT(AL185,"0.000"),"   ")),"")</f>
        <v/>
      </c>
      <c r="BM185" s="13" t="str">
        <f t="shared" si="811"/>
        <v>Tchws</v>
      </c>
      <c r="BN185" s="13" t="str">
        <f t="shared" si="812"/>
        <v>Tcws</v>
      </c>
      <c r="BO185" s="13">
        <v>1</v>
      </c>
      <c r="BR185" s="13">
        <v>0</v>
      </c>
      <c r="BU185" s="104">
        <f t="shared" ref="BU185" si="930">$V185+$W185*BO185+$X185*BO185^2</f>
        <v>1.2531323000000001</v>
      </c>
      <c r="BV185" s="115"/>
      <c r="BW185" s="104">
        <f t="shared" ref="BW185" si="931">$V185+$W185*BR185+$X185*BR185^2</f>
        <v>1.23624</v>
      </c>
    </row>
    <row r="186" spans="1:75" hidden="1" outlineLevel="1" x14ac:dyDescent="0.3">
      <c r="C186" s="38"/>
      <c r="E186" s="13" t="s">
        <v>369</v>
      </c>
      <c r="F186" s="13" t="s">
        <v>840</v>
      </c>
      <c r="G186" s="22" t="s">
        <v>832</v>
      </c>
      <c r="H186" s="13" t="s">
        <v>831</v>
      </c>
      <c r="I186" s="13" t="s">
        <v>660</v>
      </c>
      <c r="J186" s="13" t="s">
        <v>144</v>
      </c>
      <c r="L186" s="85" t="s">
        <v>185</v>
      </c>
      <c r="M186" s="85"/>
      <c r="N186" s="13" t="str">
        <f t="shared" si="861"/>
        <v>ChlrAbsorbSglStgIndirEIRRatio_fQRatioSI</v>
      </c>
      <c r="O186" s="13" t="s">
        <v>286</v>
      </c>
      <c r="P186" s="13" t="s">
        <v>288</v>
      </c>
      <c r="Q186" s="13" t="s">
        <v>160</v>
      </c>
      <c r="V186" s="33">
        <v>1</v>
      </c>
      <c r="W186" s="33">
        <v>0</v>
      </c>
      <c r="AG186" s="113"/>
      <c r="AH186" s="113"/>
      <c r="AI186" s="113"/>
      <c r="AJ186" s="113"/>
      <c r="AK186" s="113"/>
      <c r="AL186" s="113"/>
      <c r="AO186" s="13">
        <f t="shared" si="908"/>
        <v>1</v>
      </c>
      <c r="AP186" s="120" t="str">
        <f t="shared" si="548"/>
        <v>CrvLin         "ChlrAbsorbSglStgIndirEIRRatio_fQRatioSI"                        Coef1 =  1.000000  Coef2 =  0.000000   _x000D_
..</v>
      </c>
      <c r="AQ186" s="120" t="str">
        <f t="shared" si="860"/>
        <v xml:space="preserve">CrvLin         "ChlrAbsorbSglStgIndirEIRRatio_fQRatioSI"                        Coef1 =  1.000000  Coef2 =  0.000000  </v>
      </c>
      <c r="AR186" s="120" t="str">
        <f t="shared" si="549"/>
        <v xml:space="preserve"> </v>
      </c>
      <c r="AS186" s="120" t="str">
        <f t="shared" si="501"/>
        <v>_x000D_
..</v>
      </c>
      <c r="AT186" s="13" t="str">
        <f t="shared" si="854"/>
        <v>CrvLin</v>
      </c>
      <c r="AU186" s="13" t="str">
        <f t="shared" si="884"/>
        <v xml:space="preserve">         </v>
      </c>
      <c r="AV186" s="13" t="str">
        <f t="shared" si="862"/>
        <v>"ChlrAbsorbSglStgIndirEIRRatio_fQRatioSI"</v>
      </c>
      <c r="AW186" s="13" t="str">
        <f t="shared" si="624"/>
        <v xml:space="preserve">                        </v>
      </c>
      <c r="AX186" s="13" t="str">
        <f t="shared" si="604"/>
        <v xml:space="preserve"> 1.000000  </v>
      </c>
      <c r="AY186" s="13" t="str">
        <f t="shared" si="605"/>
        <v xml:space="preserve"> 0.000000  </v>
      </c>
      <c r="AZ186" s="13" t="str">
        <f t="shared" si="606"/>
        <v>-</v>
      </c>
      <c r="BA186" s="13" t="str">
        <f t="shared" si="607"/>
        <v>-</v>
      </c>
      <c r="BB186" s="13" t="str">
        <f t="shared" si="608"/>
        <v>-</v>
      </c>
      <c r="BC186" s="13" t="str">
        <f t="shared" si="609"/>
        <v>-</v>
      </c>
      <c r="BD186" s="13" t="str">
        <f t="shared" si="880"/>
        <v xml:space="preserve"> </v>
      </c>
      <c r="BE186" s="13" t="str">
        <f t="shared" si="625"/>
        <v>-</v>
      </c>
      <c r="BF186" s="13" t="str">
        <f t="shared" si="626"/>
        <v>-</v>
      </c>
      <c r="BG186" s="13" t="str">
        <f t="shared" si="627"/>
        <v>-</v>
      </c>
      <c r="BH186" s="13" t="str">
        <f t="shared" si="628"/>
        <v>-</v>
      </c>
      <c r="BI186" s="13" t="str">
        <f t="shared" si="629"/>
        <v>-</v>
      </c>
      <c r="BJ186" s="13" t="str">
        <f t="shared" si="630"/>
        <v>-</v>
      </c>
      <c r="BM186" s="13" t="str">
        <f t="shared" si="811"/>
        <v>QRatio</v>
      </c>
      <c r="BO186" s="13">
        <v>1</v>
      </c>
      <c r="BR186" s="13">
        <v>0</v>
      </c>
      <c r="BU186" s="104">
        <f t="shared" si="881"/>
        <v>1</v>
      </c>
      <c r="BV186" s="115"/>
      <c r="BW186" s="104">
        <f t="shared" si="882"/>
        <v>1</v>
      </c>
    </row>
    <row r="187" spans="1:75" collapsed="1" x14ac:dyDescent="0.3">
      <c r="A187" s="16" t="s">
        <v>382</v>
      </c>
      <c r="C187" s="38"/>
      <c r="N187" s="13" t="str">
        <f t="shared" ref="N187:N198" si="932">IF(ISBLANK(E187),"-",E187&amp;H187&amp;P187&amp;"_f"&amp;Q187&amp;R187&amp;S187&amp;T187&amp;U187&amp;I187)</f>
        <v>-</v>
      </c>
      <c r="AG187" s="113"/>
      <c r="AH187" s="113"/>
      <c r="AI187" s="113"/>
      <c r="AJ187" s="113"/>
      <c r="AK187" s="113"/>
      <c r="AL187" s="113"/>
      <c r="AO187" s="13" t="str">
        <f>IF(ISTEXT(A187),"",IF(I187="IP",0,1))</f>
        <v/>
      </c>
      <c r="AP187" s="120" t="str">
        <f t="shared" si="548"/>
        <v/>
      </c>
      <c r="AQ187" s="120" t="str">
        <f t="shared" ref="AQ187:AQ196" si="933">IF(AO187=1,CONCATENATE(AT187,AU187,AV187,AW187,IF(AX187="-","",$AX$15&amp;AX187),IF(AY187="-","",$AY$15&amp;AY187),IF(AZ187="-","",$AZ$15&amp;AZ187),IF(BA187="-","",$BA$15&amp;BA187),IF(BB187="-","",$BB$15&amp;BB187),IF(BC187="-","",$BC$15&amp;BC187)),"")</f>
        <v/>
      </c>
      <c r="AR187" s="120" t="str">
        <f t="shared" si="549"/>
        <v/>
      </c>
      <c r="AS187" s="120" t="str">
        <f t="shared" ref="AS187:AS196" si="934">IF(AO187=1,CHAR(13)&amp;CHAR(10)&amp;"..","")</f>
        <v/>
      </c>
      <c r="AT187" s="13" t="str">
        <f t="shared" ref="AT187:AT196" si="935">IF(AO187=1,VLOOKUP(O187,$AT$2:$AV$13,2,0),"")</f>
        <v/>
      </c>
      <c r="AU187" s="13" t="str">
        <f t="shared" ref="AU187:AU204" si="936">REPT(" ",AU$14-LEN(AT187))</f>
        <v xml:space="preserve">               </v>
      </c>
      <c r="AV187" s="13" t="str">
        <f t="shared" ref="AV187:AV234" si="937">IF(AO187=1,CONCATENATE("""",N187,""""),"")</f>
        <v/>
      </c>
      <c r="AW187" s="13" t="str">
        <f t="shared" si="624"/>
        <v xml:space="preserve">                                                                 </v>
      </c>
      <c r="AX187" s="13" t="str">
        <f t="shared" si="604"/>
        <v/>
      </c>
      <c r="AY187" s="13" t="str">
        <f t="shared" si="605"/>
        <v/>
      </c>
      <c r="AZ187" s="13" t="str">
        <f t="shared" si="606"/>
        <v/>
      </c>
      <c r="BA187" s="13" t="str">
        <f t="shared" si="607"/>
        <v/>
      </c>
      <c r="BB187" s="13" t="str">
        <f t="shared" si="608"/>
        <v/>
      </c>
      <c r="BC187" s="13" t="str">
        <f t="shared" si="609"/>
        <v/>
      </c>
      <c r="BD187" s="13" t="str">
        <f t="shared" si="858"/>
        <v xml:space="preserve"> </v>
      </c>
      <c r="BE187" s="13" t="str">
        <f t="shared" si="625"/>
        <v/>
      </c>
      <c r="BF187" s="13" t="str">
        <f t="shared" si="626"/>
        <v/>
      </c>
      <c r="BG187" s="13" t="str">
        <f t="shared" si="627"/>
        <v/>
      </c>
      <c r="BH187" s="13" t="str">
        <f t="shared" si="628"/>
        <v/>
      </c>
      <c r="BI187" s="13" t="str">
        <f t="shared" si="629"/>
        <v/>
      </c>
      <c r="BJ187" s="13" t="str">
        <f t="shared" si="630"/>
        <v/>
      </c>
      <c r="BU187" s="104"/>
      <c r="BV187" s="104"/>
      <c r="BW187" s="104"/>
    </row>
    <row r="188" spans="1:75" hidden="1" outlineLevel="1" x14ac:dyDescent="0.3">
      <c r="B188" s="13" t="s">
        <v>151</v>
      </c>
      <c r="C188" s="38" t="s">
        <v>152</v>
      </c>
      <c r="D188" s="22" t="s">
        <v>81</v>
      </c>
      <c r="E188" s="13" t="s">
        <v>617</v>
      </c>
      <c r="F188" s="13" t="s">
        <v>403</v>
      </c>
      <c r="G188" s="22" t="s">
        <v>621</v>
      </c>
      <c r="H188" s="13" t="s">
        <v>69</v>
      </c>
      <c r="I188" s="13" t="s">
        <v>659</v>
      </c>
      <c r="J188" s="13" t="s">
        <v>273</v>
      </c>
      <c r="K188" s="13" t="s">
        <v>145</v>
      </c>
      <c r="N188" s="13" t="str">
        <f t="shared" si="932"/>
        <v>HtRejAllCFMRatio_fTrangeTapproachIP</v>
      </c>
      <c r="O188" s="13" t="s">
        <v>165</v>
      </c>
      <c r="P188" s="13" t="s">
        <v>120</v>
      </c>
      <c r="Q188" s="13" t="s">
        <v>454</v>
      </c>
      <c r="R188" s="13" t="s">
        <v>455</v>
      </c>
      <c r="V188" s="33">
        <v>-2.2288889900000002</v>
      </c>
      <c r="W188" s="33">
        <v>0.16679542999999999</v>
      </c>
      <c r="X188" s="33">
        <v>-1.4102470000000001E-2</v>
      </c>
      <c r="Y188" s="33">
        <v>3.2223330000000001E-2</v>
      </c>
      <c r="Z188" s="33">
        <v>0.18560214</v>
      </c>
      <c r="AA188" s="33">
        <v>0.24251871</v>
      </c>
      <c r="AG188" s="113"/>
      <c r="AH188" s="113"/>
      <c r="AI188" s="113"/>
      <c r="AJ188" s="113"/>
      <c r="AK188" s="113"/>
      <c r="AL188" s="113"/>
      <c r="AO188" s="13">
        <f>IF(ISTEXT(A188),"",IF(I188="IP",0,1))</f>
        <v>0</v>
      </c>
      <c r="AP188" s="120" t="str">
        <f t="shared" si="548"/>
        <v/>
      </c>
      <c r="AQ188" s="120" t="str">
        <f t="shared" si="933"/>
        <v/>
      </c>
      <c r="AR188" s="120" t="str">
        <f t="shared" si="549"/>
        <v/>
      </c>
      <c r="AS188" s="120" t="str">
        <f t="shared" si="934"/>
        <v/>
      </c>
      <c r="AT188" s="13" t="str">
        <f t="shared" si="935"/>
        <v/>
      </c>
      <c r="AU188" s="13" t="str">
        <f t="shared" si="936"/>
        <v xml:space="preserve">               </v>
      </c>
      <c r="AV188" s="13" t="str">
        <f t="shared" si="937"/>
        <v/>
      </c>
      <c r="AW188" s="13" t="str">
        <f t="shared" si="624"/>
        <v xml:space="preserve">                                                                 </v>
      </c>
      <c r="AX188" s="13" t="str">
        <f t="shared" si="604"/>
        <v/>
      </c>
      <c r="AY188" s="13" t="str">
        <f t="shared" si="605"/>
        <v/>
      </c>
      <c r="AZ188" s="13" t="str">
        <f t="shared" si="606"/>
        <v/>
      </c>
      <c r="BA188" s="13" t="str">
        <f t="shared" si="607"/>
        <v/>
      </c>
      <c r="BB188" s="13" t="str">
        <f t="shared" si="608"/>
        <v/>
      </c>
      <c r="BC188" s="13" t="str">
        <f t="shared" si="609"/>
        <v/>
      </c>
      <c r="BD188" s="13" t="str">
        <f t="shared" si="858"/>
        <v xml:space="preserve"> </v>
      </c>
      <c r="BE188" s="13" t="str">
        <f t="shared" si="625"/>
        <v/>
      </c>
      <c r="BF188" s="13" t="str">
        <f t="shared" si="626"/>
        <v/>
      </c>
      <c r="BG188" s="13" t="str">
        <f t="shared" si="627"/>
        <v/>
      </c>
      <c r="BH188" s="13" t="str">
        <f t="shared" si="628"/>
        <v/>
      </c>
      <c r="BI188" s="13" t="str">
        <f t="shared" si="629"/>
        <v/>
      </c>
      <c r="BJ188" s="13" t="str">
        <f t="shared" si="630"/>
        <v/>
      </c>
      <c r="BU188" s="115"/>
      <c r="BV188" s="115"/>
      <c r="BW188" s="115"/>
    </row>
    <row r="189" spans="1:75" hidden="1" outlineLevel="1" x14ac:dyDescent="0.3">
      <c r="E189" s="13" t="s">
        <v>617</v>
      </c>
      <c r="F189" s="13" t="s">
        <v>403</v>
      </c>
      <c r="G189" s="22" t="s">
        <v>621</v>
      </c>
      <c r="H189" s="13" t="s">
        <v>69</v>
      </c>
      <c r="I189" s="13" t="s">
        <v>659</v>
      </c>
      <c r="J189" s="13" t="s">
        <v>273</v>
      </c>
      <c r="K189" s="13" t="s">
        <v>145</v>
      </c>
      <c r="N189" s="13" t="str">
        <f t="shared" si="932"/>
        <v>HtRejAllGPMRatio_fCFMRatioToawbIP</v>
      </c>
      <c r="O189" s="13" t="s">
        <v>165</v>
      </c>
      <c r="P189" s="13" t="s">
        <v>148</v>
      </c>
      <c r="Q189" s="13" t="s">
        <v>120</v>
      </c>
      <c r="R189" s="13" t="s">
        <v>462</v>
      </c>
      <c r="V189" s="33">
        <v>0.60531402000000001</v>
      </c>
      <c r="W189" s="33">
        <v>-3.5545359999999998E-2</v>
      </c>
      <c r="X189" s="33">
        <v>8.0408300000000005E-3</v>
      </c>
      <c r="Y189" s="33">
        <v>2.8602590000000001E-2</v>
      </c>
      <c r="Z189" s="33">
        <v>2.4971999999999999E-4</v>
      </c>
      <c r="AA189" s="33">
        <v>4.9085700000000001E-3</v>
      </c>
      <c r="AG189" s="113"/>
      <c r="AH189" s="113"/>
      <c r="AI189" s="113"/>
      <c r="AJ189" s="113"/>
      <c r="AK189" s="113"/>
      <c r="AL189" s="113"/>
      <c r="AO189" s="13">
        <f>IF(ISTEXT(A189),"",IF(I189="IP",0,1))</f>
        <v>0</v>
      </c>
      <c r="AP189" s="120" t="str">
        <f t="shared" si="548"/>
        <v/>
      </c>
      <c r="AQ189" s="120" t="str">
        <f t="shared" si="933"/>
        <v/>
      </c>
      <c r="AR189" s="120" t="str">
        <f t="shared" si="549"/>
        <v/>
      </c>
      <c r="AS189" s="120" t="str">
        <f t="shared" si="934"/>
        <v/>
      </c>
      <c r="AT189" s="13" t="str">
        <f t="shared" si="935"/>
        <v/>
      </c>
      <c r="AU189" s="13" t="str">
        <f t="shared" si="936"/>
        <v xml:space="preserve">               </v>
      </c>
      <c r="AV189" s="13" t="str">
        <f t="shared" si="937"/>
        <v/>
      </c>
      <c r="AW189" s="13" t="str">
        <f t="shared" si="624"/>
        <v xml:space="preserve">                                                                 </v>
      </c>
      <c r="AX189" s="13" t="str">
        <f t="shared" si="604"/>
        <v/>
      </c>
      <c r="AY189" s="13" t="str">
        <f t="shared" si="605"/>
        <v/>
      </c>
      <c r="AZ189" s="13" t="str">
        <f t="shared" si="606"/>
        <v/>
      </c>
      <c r="BA189" s="13" t="str">
        <f t="shared" si="607"/>
        <v/>
      </c>
      <c r="BB189" s="13" t="str">
        <f t="shared" si="608"/>
        <v/>
      </c>
      <c r="BC189" s="13" t="str">
        <f t="shared" si="609"/>
        <v/>
      </c>
      <c r="BD189" s="13" t="str">
        <f t="shared" si="858"/>
        <v xml:space="preserve"> </v>
      </c>
      <c r="BE189" s="13" t="str">
        <f t="shared" si="625"/>
        <v/>
      </c>
      <c r="BF189" s="13" t="str">
        <f t="shared" si="626"/>
        <v/>
      </c>
      <c r="BG189" s="13" t="str">
        <f t="shared" si="627"/>
        <v/>
      </c>
      <c r="BH189" s="13" t="str">
        <f t="shared" si="628"/>
        <v/>
      </c>
      <c r="BI189" s="13" t="str">
        <f t="shared" si="629"/>
        <v/>
      </c>
      <c r="BJ189" s="13" t="str">
        <f t="shared" si="630"/>
        <v/>
      </c>
      <c r="BU189" s="115"/>
      <c r="BV189" s="115"/>
      <c r="BW189" s="115"/>
    </row>
    <row r="190" spans="1:75" hidden="1" outlineLevel="1" x14ac:dyDescent="0.3">
      <c r="C190" s="38"/>
      <c r="E190" s="13" t="s">
        <v>617</v>
      </c>
      <c r="F190" s="13" t="s">
        <v>622</v>
      </c>
      <c r="G190" s="22" t="s">
        <v>620</v>
      </c>
      <c r="H190" s="13" t="s">
        <v>624</v>
      </c>
      <c r="I190" s="13" t="s">
        <v>660</v>
      </c>
      <c r="J190" s="13" t="s">
        <v>144</v>
      </c>
      <c r="L190" s="13" t="s">
        <v>231</v>
      </c>
      <c r="N190" s="13" t="str">
        <f t="shared" si="932"/>
        <v>HtRejCoolToolsClgTowerCap_fSI</v>
      </c>
      <c r="O190" s="13" t="s">
        <v>509</v>
      </c>
      <c r="P190" s="49"/>
      <c r="Q190" s="49"/>
      <c r="R190" s="49"/>
      <c r="S190" s="49"/>
      <c r="T190" s="49"/>
      <c r="U190" s="49"/>
      <c r="V190" s="49" t="s">
        <v>623</v>
      </c>
      <c r="W190" s="52"/>
      <c r="X190" s="52"/>
      <c r="Y190" s="52"/>
      <c r="Z190" s="52"/>
      <c r="AA190" s="52"/>
      <c r="AB190" s="53"/>
      <c r="AC190" s="53"/>
      <c r="AD190" s="53"/>
      <c r="AE190" s="53"/>
      <c r="AF190" s="53"/>
      <c r="AG190" s="114"/>
      <c r="AH190" s="114"/>
      <c r="AI190" s="114"/>
      <c r="AJ190" s="114"/>
      <c r="AK190" s="114"/>
      <c r="AL190" s="114"/>
      <c r="AM190" s="49" t="s">
        <v>623</v>
      </c>
      <c r="AN190" s="81"/>
      <c r="AO190" s="13">
        <v>0</v>
      </c>
      <c r="AP190" s="120" t="str">
        <f t="shared" si="548"/>
        <v/>
      </c>
      <c r="AQ190" s="120" t="str">
        <f t="shared" si="933"/>
        <v/>
      </c>
      <c r="AR190" s="120" t="str">
        <f t="shared" si="549"/>
        <v/>
      </c>
      <c r="AS190" s="120" t="str">
        <f t="shared" si="934"/>
        <v/>
      </c>
      <c r="AT190" s="13" t="str">
        <f t="shared" si="935"/>
        <v/>
      </c>
      <c r="AU190" s="13" t="str">
        <f t="shared" si="936"/>
        <v xml:space="preserve">               </v>
      </c>
      <c r="AV190" s="13" t="str">
        <f t="shared" si="937"/>
        <v/>
      </c>
      <c r="AW190" s="13" t="str">
        <f t="shared" si="624"/>
        <v xml:space="preserve">                                                                 </v>
      </c>
      <c r="AX190" s="13" t="str">
        <f t="shared" si="604"/>
        <v/>
      </c>
      <c r="AY190" s="13" t="str">
        <f t="shared" si="605"/>
        <v/>
      </c>
      <c r="AZ190" s="13" t="str">
        <f t="shared" si="606"/>
        <v/>
      </c>
      <c r="BA190" s="13" t="str">
        <f t="shared" si="607"/>
        <v/>
      </c>
      <c r="BB190" s="13" t="str">
        <f t="shared" si="608"/>
        <v/>
      </c>
      <c r="BC190" s="13" t="str">
        <f t="shared" si="609"/>
        <v/>
      </c>
      <c r="BD190" s="13" t="str">
        <f t="shared" si="858"/>
        <v xml:space="preserve"> </v>
      </c>
      <c r="BE190" s="13" t="str">
        <f t="shared" si="625"/>
        <v/>
      </c>
      <c r="BF190" s="13" t="str">
        <f t="shared" si="626"/>
        <v/>
      </c>
      <c r="BG190" s="13" t="str">
        <f t="shared" si="627"/>
        <v/>
      </c>
      <c r="BH190" s="13" t="str">
        <f t="shared" si="628"/>
        <v/>
      </c>
      <c r="BI190" s="13" t="str">
        <f t="shared" si="629"/>
        <v/>
      </c>
      <c r="BJ190" s="13" t="str">
        <f t="shared" si="630"/>
        <v/>
      </c>
      <c r="BU190" s="115"/>
      <c r="BV190" s="115"/>
      <c r="BW190" s="115"/>
    </row>
    <row r="191" spans="1:75" hidden="1" outlineLevel="1" x14ac:dyDescent="0.3">
      <c r="B191" s="13" t="s">
        <v>151</v>
      </c>
      <c r="C191" s="38" t="s">
        <v>153</v>
      </c>
      <c r="D191" s="22" t="s">
        <v>82</v>
      </c>
      <c r="E191" s="13" t="s">
        <v>617</v>
      </c>
      <c r="F191" s="13" t="s">
        <v>436</v>
      </c>
      <c r="G191" s="22" t="s">
        <v>625</v>
      </c>
      <c r="H191" s="13" t="s">
        <v>383</v>
      </c>
      <c r="J191" s="13" t="s">
        <v>272</v>
      </c>
      <c r="K191" s="13" t="s">
        <v>146</v>
      </c>
      <c r="L191" s="13" t="s">
        <v>618</v>
      </c>
      <c r="M191" s="13" t="s">
        <v>252</v>
      </c>
      <c r="N191" s="13" t="str">
        <f t="shared" si="932"/>
        <v>HtRejVSDFanPwrRatio_fQRatio</v>
      </c>
      <c r="O191" s="13" t="s">
        <v>230</v>
      </c>
      <c r="P191" s="13" t="s">
        <v>275</v>
      </c>
      <c r="Q191" s="13" t="s">
        <v>160</v>
      </c>
      <c r="V191" s="33">
        <v>0.33162901</v>
      </c>
      <c r="W191" s="33">
        <v>-0.88567609000000003</v>
      </c>
      <c r="X191" s="33">
        <v>0.60556507000000004</v>
      </c>
      <c r="Y191" s="33">
        <v>0.9484823</v>
      </c>
      <c r="AG191" s="113"/>
      <c r="AH191" s="113"/>
      <c r="AI191" s="113"/>
      <c r="AJ191" s="113"/>
      <c r="AK191" s="113"/>
      <c r="AL191" s="113"/>
      <c r="AO191" s="13">
        <f>IF(ISTEXT(A191),"",IF(I191="IP",0,1))</f>
        <v>1</v>
      </c>
      <c r="AP191" s="120" t="str">
        <f t="shared" ref="AP191:AP196" si="938">IF(AO191=1,CONCATENATE(AQ191,AR191,AS191),"")</f>
        <v>CrvCubic       "HtRejVSDFanPwrRatio_fQRatio"                                    Coef1 =  0.331629  Coef2 = -0.885676  Coef3 =  0.605565  Coef4 =  0.948482   _x000D_
..</v>
      </c>
      <c r="AQ191" s="120" t="str">
        <f t="shared" si="933"/>
        <v xml:space="preserve">CrvCubic       "HtRejVSDFanPwrRatio_fQRatio"                                    Coef1 =  0.331629  Coef2 = -0.885676  Coef3 =  0.605565  Coef4 =  0.948482  </v>
      </c>
      <c r="AR191" s="120" t="str">
        <f t="shared" si="549"/>
        <v xml:space="preserve"> </v>
      </c>
      <c r="AS191" s="120" t="str">
        <f t="shared" si="934"/>
        <v>_x000D_
..</v>
      </c>
      <c r="AT191" s="13" t="str">
        <f t="shared" si="935"/>
        <v>CrvCubic</v>
      </c>
      <c r="AU191" s="13" t="str">
        <f t="shared" si="936"/>
        <v xml:space="preserve">       </v>
      </c>
      <c r="AV191" s="13" t="str">
        <f t="shared" si="937"/>
        <v>"HtRejVSDFanPwrRatio_fQRatio"</v>
      </c>
      <c r="AW191" s="13" t="str">
        <f t="shared" si="624"/>
        <v xml:space="preserve">                                    </v>
      </c>
      <c r="AX191" s="13" t="str">
        <f t="shared" si="604"/>
        <v xml:space="preserve"> 0.331629  </v>
      </c>
      <c r="AY191" s="13" t="str">
        <f t="shared" si="605"/>
        <v xml:space="preserve">-0.885676  </v>
      </c>
      <c r="AZ191" s="13" t="str">
        <f t="shared" si="606"/>
        <v xml:space="preserve"> 0.605565  </v>
      </c>
      <c r="BA191" s="13" t="str">
        <f t="shared" si="607"/>
        <v xml:space="preserve"> 0.948482  </v>
      </c>
      <c r="BB191" s="13" t="str">
        <f t="shared" si="608"/>
        <v>-</v>
      </c>
      <c r="BC191" s="13" t="str">
        <f t="shared" si="609"/>
        <v>-</v>
      </c>
      <c r="BD191" s="13" t="str">
        <f t="shared" si="858"/>
        <v xml:space="preserve"> </v>
      </c>
      <c r="BE191" s="13" t="str">
        <f t="shared" si="625"/>
        <v>-</v>
      </c>
      <c r="BF191" s="13" t="str">
        <f t="shared" si="626"/>
        <v>-</v>
      </c>
      <c r="BG191" s="13" t="str">
        <f t="shared" si="627"/>
        <v>-</v>
      </c>
      <c r="BH191" s="13" t="str">
        <f t="shared" si="628"/>
        <v>-</v>
      </c>
      <c r="BI191" s="13" t="str">
        <f t="shared" si="629"/>
        <v>-</v>
      </c>
      <c r="BJ191" s="13" t="str">
        <f t="shared" si="630"/>
        <v>-</v>
      </c>
      <c r="BO191" s="13">
        <v>1</v>
      </c>
      <c r="BR191" s="13">
        <v>0</v>
      </c>
      <c r="BU191" s="104">
        <f>$V191+$W191*BO191+$X191*BO191^2+$Y191*BO191^3</f>
        <v>1.00000029</v>
      </c>
      <c r="BV191" s="104"/>
      <c r="BW191" s="104">
        <f>$V191+$W191*BR191+$X191*BR191^2+$Y191*BR191^3</f>
        <v>0.33162901</v>
      </c>
    </row>
    <row r="192" spans="1:75" collapsed="1" x14ac:dyDescent="0.3">
      <c r="A192" s="16" t="s">
        <v>362</v>
      </c>
      <c r="L192" s="47"/>
      <c r="M192" s="47"/>
      <c r="N192" s="13" t="str">
        <f t="shared" si="932"/>
        <v>-</v>
      </c>
      <c r="O192" s="16"/>
      <c r="AG192" s="113"/>
      <c r="AH192" s="113"/>
      <c r="AI192" s="113"/>
      <c r="AJ192" s="113"/>
      <c r="AK192" s="113"/>
      <c r="AL192" s="113"/>
      <c r="AO192" s="13" t="str">
        <f>IF(ISTEXT(A192),"",IF(I192="IP",0,1))</f>
        <v/>
      </c>
      <c r="AP192" s="120" t="str">
        <f t="shared" si="938"/>
        <v/>
      </c>
      <c r="AQ192" s="120" t="str">
        <f t="shared" si="933"/>
        <v/>
      </c>
      <c r="AR192" s="120" t="str">
        <f t="shared" ref="AR192:AR196" si="939">IF(AO192=1,CONCATENATE(BD192,IF(BE192="-","",$BE$15&amp;BE192),IF(BF192="-","",$BF$15&amp;BF192),IF(BG192="-","",$BG$15&amp;BG192),IF(BH192="-","",$BH$15&amp;BH192),IF(BI192="-","",$BI$15&amp;BI192),IF(BJ192="-","",$BJ$15&amp;BJ192)),"")</f>
        <v/>
      </c>
      <c r="AS192" s="120" t="str">
        <f t="shared" si="934"/>
        <v/>
      </c>
      <c r="AT192" s="13" t="str">
        <f t="shared" si="935"/>
        <v/>
      </c>
      <c r="AU192" s="13" t="str">
        <f t="shared" si="936"/>
        <v xml:space="preserve">               </v>
      </c>
      <c r="AV192" s="13" t="str">
        <f t="shared" si="937"/>
        <v/>
      </c>
      <c r="AW192" s="13" t="str">
        <f t="shared" si="624"/>
        <v xml:space="preserve">                                                                 </v>
      </c>
      <c r="AX192" s="13" t="str">
        <f t="shared" si="604"/>
        <v/>
      </c>
      <c r="AY192" s="13" t="str">
        <f t="shared" si="605"/>
        <v/>
      </c>
      <c r="AZ192" s="13" t="str">
        <f t="shared" si="606"/>
        <v/>
      </c>
      <c r="BA192" s="13" t="str">
        <f t="shared" si="607"/>
        <v/>
      </c>
      <c r="BB192" s="13" t="str">
        <f t="shared" si="608"/>
        <v/>
      </c>
      <c r="BC192" s="13" t="str">
        <f t="shared" si="609"/>
        <v/>
      </c>
      <c r="BD192" s="13" t="str">
        <f t="shared" si="858"/>
        <v xml:space="preserve"> </v>
      </c>
      <c r="BE192" s="13" t="str">
        <f t="shared" si="625"/>
        <v/>
      </c>
      <c r="BF192" s="13" t="str">
        <f t="shared" si="626"/>
        <v/>
      </c>
      <c r="BG192" s="13" t="str">
        <f t="shared" si="627"/>
        <v/>
      </c>
      <c r="BH192" s="13" t="str">
        <f t="shared" si="628"/>
        <v/>
      </c>
      <c r="BI192" s="13" t="str">
        <f t="shared" si="629"/>
        <v/>
      </c>
      <c r="BJ192" s="13" t="str">
        <f t="shared" si="630"/>
        <v/>
      </c>
      <c r="BU192" s="104"/>
      <c r="BV192" s="104"/>
      <c r="BW192" s="104"/>
    </row>
    <row r="193" spans="1:78" hidden="1" outlineLevel="1" x14ac:dyDescent="0.3">
      <c r="B193" s="13" t="s">
        <v>134</v>
      </c>
      <c r="C193" s="38" t="s">
        <v>135</v>
      </c>
      <c r="D193" s="22" t="s">
        <v>66</v>
      </c>
      <c r="F193" s="85" t="s">
        <v>626</v>
      </c>
      <c r="J193" s="13" t="s">
        <v>272</v>
      </c>
      <c r="K193" s="13" t="s">
        <v>9</v>
      </c>
      <c r="L193" s="85"/>
      <c r="M193" s="85"/>
      <c r="N193" s="13" t="str">
        <f t="shared" si="932"/>
        <v>-</v>
      </c>
      <c r="O193" s="13" t="s">
        <v>165</v>
      </c>
      <c r="P193" s="13" t="s">
        <v>117</v>
      </c>
      <c r="Q193" s="13" t="s">
        <v>117</v>
      </c>
      <c r="R193" s="13" t="s">
        <v>456</v>
      </c>
      <c r="V193" s="33">
        <v>11.5334997</v>
      </c>
      <c r="W193" s="33">
        <v>0.65867299999999995</v>
      </c>
      <c r="X193" s="33">
        <v>-1.0280000000000001E-3</v>
      </c>
      <c r="Y193" s="33">
        <v>0.295041</v>
      </c>
      <c r="Z193" s="33">
        <v>-1.7000000000000001E-4</v>
      </c>
      <c r="AA193" s="33">
        <v>-8.7239999999999996E-4</v>
      </c>
      <c r="AG193" s="113"/>
      <c r="AH193" s="113"/>
      <c r="AI193" s="113"/>
      <c r="AJ193" s="113"/>
      <c r="AK193" s="113"/>
      <c r="AL193" s="113"/>
      <c r="AM193" s="22" t="s">
        <v>396</v>
      </c>
      <c r="AO193" s="13">
        <v>0</v>
      </c>
      <c r="AP193" s="120" t="str">
        <f t="shared" si="938"/>
        <v/>
      </c>
      <c r="AQ193" s="120" t="str">
        <f t="shared" si="933"/>
        <v/>
      </c>
      <c r="AR193" s="120" t="str">
        <f t="shared" si="939"/>
        <v/>
      </c>
      <c r="AS193" s="120" t="str">
        <f t="shared" si="934"/>
        <v/>
      </c>
      <c r="AT193" s="13" t="str">
        <f t="shared" si="935"/>
        <v/>
      </c>
      <c r="AU193" s="13" t="str">
        <f t="shared" si="936"/>
        <v xml:space="preserve">               </v>
      </c>
      <c r="AV193" s="13" t="str">
        <f t="shared" si="937"/>
        <v/>
      </c>
      <c r="AW193" s="13" t="str">
        <f t="shared" si="624"/>
        <v xml:space="preserve">                                                                 </v>
      </c>
      <c r="AX193" s="13" t="str">
        <f t="shared" si="604"/>
        <v/>
      </c>
      <c r="AY193" s="13" t="str">
        <f t="shared" si="605"/>
        <v/>
      </c>
      <c r="AZ193" s="13" t="str">
        <f t="shared" si="606"/>
        <v/>
      </c>
      <c r="BA193" s="13" t="str">
        <f t="shared" si="607"/>
        <v/>
      </c>
      <c r="BB193" s="13" t="str">
        <f t="shared" si="608"/>
        <v/>
      </c>
      <c r="BC193" s="13" t="str">
        <f t="shared" si="609"/>
        <v/>
      </c>
      <c r="BD193" s="13" t="str">
        <f t="shared" si="858"/>
        <v xml:space="preserve"> </v>
      </c>
      <c r="BE193" s="13" t="str">
        <f t="shared" ref="BE193:BE204" si="940">IF($AO193=1,IF(AG193="","-",CONCATENATE(TEXT(AG193,"0.000"),"   ")),"")</f>
        <v/>
      </c>
      <c r="BF193" s="13" t="str">
        <f t="shared" ref="BF193:BF204" si="941">IF($AO193=1,IF(AH193="","-",CONCATENATE(TEXT(AH193,"0.000"),"   ")),"")</f>
        <v/>
      </c>
      <c r="BG193" s="13" t="str">
        <f t="shared" ref="BG193:BG204" si="942">IF($AO193=1,IF(AI193="","-",CONCATENATE(TEXT(AI193,"0.000"),"   ")),"")</f>
        <v/>
      </c>
      <c r="BH193" s="13" t="str">
        <f t="shared" ref="BH193:BH204" si="943">IF($AO193=1,IF(AJ193="","-",CONCATENATE(TEXT(AJ193,"0.000"),"   ")),"")</f>
        <v/>
      </c>
      <c r="BI193" s="13" t="str">
        <f t="shared" ref="BI193:BI204" si="944">IF($AO193=1,IF(AK193="","-",CONCATENATE(TEXT(AK193,"0.000"),"   ")),"")</f>
        <v/>
      </c>
      <c r="BJ193" s="13" t="str">
        <f t="shared" ref="BJ193:BJ204" si="945">IF($AO193=1,IF(AL193="","-",CONCATENATE(TEXT(AL193,"0.000"),"   ")),"")</f>
        <v/>
      </c>
      <c r="BU193" s="115"/>
      <c r="BV193" s="115"/>
      <c r="BW193" s="115"/>
    </row>
    <row r="194" spans="1:78" hidden="1" outlineLevel="1" x14ac:dyDescent="0.3">
      <c r="F194" s="85" t="s">
        <v>626</v>
      </c>
      <c r="J194" s="13" t="s">
        <v>272</v>
      </c>
      <c r="K194" s="13" t="s">
        <v>10</v>
      </c>
      <c r="L194" s="85"/>
      <c r="M194" s="85"/>
      <c r="N194" s="13" t="str">
        <f t="shared" si="932"/>
        <v>-</v>
      </c>
      <c r="O194" s="13" t="s">
        <v>165</v>
      </c>
      <c r="P194" s="13" t="s">
        <v>456</v>
      </c>
      <c r="Q194" s="13" t="s">
        <v>117</v>
      </c>
      <c r="R194" s="13" t="s">
        <v>456</v>
      </c>
      <c r="V194" s="33">
        <v>11.899399799999999</v>
      </c>
      <c r="W194" s="33">
        <v>-0.26955800000000002</v>
      </c>
      <c r="X194" s="33">
        <v>4.4549000000000004E-3</v>
      </c>
      <c r="Y194" s="33">
        <v>8.3052500000000001E-2</v>
      </c>
      <c r="Z194" s="33">
        <v>6.9740000000000004E-4</v>
      </c>
      <c r="AA194" s="33">
        <v>1.5878999999999999E-3</v>
      </c>
      <c r="AG194" s="113"/>
      <c r="AH194" s="113"/>
      <c r="AI194" s="113"/>
      <c r="AJ194" s="113"/>
      <c r="AK194" s="113"/>
      <c r="AL194" s="113"/>
      <c r="AM194" s="22" t="s">
        <v>396</v>
      </c>
      <c r="AO194" s="13">
        <v>0</v>
      </c>
      <c r="AP194" s="120" t="str">
        <f t="shared" si="938"/>
        <v/>
      </c>
      <c r="AQ194" s="120" t="str">
        <f t="shared" si="933"/>
        <v/>
      </c>
      <c r="AR194" s="120" t="str">
        <f t="shared" si="939"/>
        <v/>
      </c>
      <c r="AS194" s="120" t="str">
        <f t="shared" si="934"/>
        <v/>
      </c>
      <c r="AT194" s="13" t="str">
        <f t="shared" si="935"/>
        <v/>
      </c>
      <c r="AU194" s="13" t="str">
        <f t="shared" si="936"/>
        <v xml:space="preserve">               </v>
      </c>
      <c r="AV194" s="13" t="str">
        <f t="shared" si="937"/>
        <v/>
      </c>
      <c r="AW194" s="13" t="str">
        <f t="shared" si="624"/>
        <v xml:space="preserve">                                                                 </v>
      </c>
      <c r="AX194" s="13" t="str">
        <f t="shared" si="604"/>
        <v/>
      </c>
      <c r="AY194" s="13" t="str">
        <f t="shared" si="605"/>
        <v/>
      </c>
      <c r="AZ194" s="13" t="str">
        <f t="shared" si="606"/>
        <v/>
      </c>
      <c r="BA194" s="13" t="str">
        <f t="shared" si="607"/>
        <v/>
      </c>
      <c r="BB194" s="13" t="str">
        <f t="shared" si="608"/>
        <v/>
      </c>
      <c r="BC194" s="13" t="str">
        <f t="shared" si="609"/>
        <v/>
      </c>
      <c r="BD194" s="13" t="str">
        <f t="shared" si="858"/>
        <v xml:space="preserve"> </v>
      </c>
      <c r="BE194" s="13" t="str">
        <f t="shared" si="940"/>
        <v/>
      </c>
      <c r="BF194" s="13" t="str">
        <f t="shared" si="941"/>
        <v/>
      </c>
      <c r="BG194" s="13" t="str">
        <f t="shared" si="942"/>
        <v/>
      </c>
      <c r="BH194" s="13" t="str">
        <f t="shared" si="943"/>
        <v/>
      </c>
      <c r="BI194" s="13" t="str">
        <f t="shared" si="944"/>
        <v/>
      </c>
      <c r="BJ194" s="13" t="str">
        <f t="shared" si="945"/>
        <v/>
      </c>
      <c r="BU194" s="115"/>
      <c r="BV194" s="115"/>
      <c r="BW194" s="115"/>
    </row>
    <row r="195" spans="1:78" hidden="1" outlineLevel="1" x14ac:dyDescent="0.3">
      <c r="F195" s="85" t="s">
        <v>626</v>
      </c>
      <c r="J195" s="13" t="s">
        <v>272</v>
      </c>
      <c r="K195" s="13" t="s">
        <v>11</v>
      </c>
      <c r="L195" s="85"/>
      <c r="M195" s="85"/>
      <c r="N195" s="13" t="str">
        <f t="shared" si="932"/>
        <v>-</v>
      </c>
      <c r="O195" s="13" t="s">
        <v>165</v>
      </c>
      <c r="P195" s="13" t="s">
        <v>394</v>
      </c>
      <c r="Q195" s="13" t="s">
        <v>117</v>
      </c>
      <c r="R195" s="13" t="s">
        <v>456</v>
      </c>
      <c r="V195" s="33">
        <v>58745.8007813</v>
      </c>
      <c r="W195" s="33">
        <v>-1134.4899902</v>
      </c>
      <c r="X195" s="33">
        <v>-3.6676099</v>
      </c>
      <c r="Y195" s="33">
        <v>3874.5900879000001</v>
      </c>
      <c r="Z195" s="33">
        <v>-1.6962699999999999</v>
      </c>
      <c r="AA195" s="33">
        <v>-13.0732002</v>
      </c>
      <c r="AG195" s="113"/>
      <c r="AH195" s="113"/>
      <c r="AI195" s="113"/>
      <c r="AJ195" s="113"/>
      <c r="AK195" s="113"/>
      <c r="AL195" s="113"/>
      <c r="AM195" s="22" t="s">
        <v>396</v>
      </c>
      <c r="AO195" s="13">
        <v>0</v>
      </c>
      <c r="AP195" s="120" t="str">
        <f t="shared" si="938"/>
        <v/>
      </c>
      <c r="AQ195" s="120" t="str">
        <f t="shared" si="933"/>
        <v/>
      </c>
      <c r="AR195" s="120" t="str">
        <f t="shared" si="939"/>
        <v/>
      </c>
      <c r="AS195" s="120" t="str">
        <f t="shared" si="934"/>
        <v/>
      </c>
      <c r="AT195" s="13" t="str">
        <f t="shared" si="935"/>
        <v/>
      </c>
      <c r="AU195" s="13" t="str">
        <f t="shared" si="936"/>
        <v xml:space="preserve">               </v>
      </c>
      <c r="AV195" s="13" t="str">
        <f t="shared" si="937"/>
        <v/>
      </c>
      <c r="AW195" s="13" t="str">
        <f t="shared" si="624"/>
        <v xml:space="preserve">                                                                 </v>
      </c>
      <c r="AX195" s="13" t="str">
        <f t="shared" si="604"/>
        <v/>
      </c>
      <c r="AY195" s="13" t="str">
        <f t="shared" si="605"/>
        <v/>
      </c>
      <c r="AZ195" s="13" t="str">
        <f t="shared" si="606"/>
        <v/>
      </c>
      <c r="BA195" s="13" t="str">
        <f t="shared" si="607"/>
        <v/>
      </c>
      <c r="BB195" s="13" t="str">
        <f t="shared" si="608"/>
        <v/>
      </c>
      <c r="BC195" s="13" t="str">
        <f t="shared" si="609"/>
        <v/>
      </c>
      <c r="BD195" s="13" t="str">
        <f t="shared" si="858"/>
        <v xml:space="preserve"> </v>
      </c>
      <c r="BE195" s="13" t="str">
        <f t="shared" si="940"/>
        <v/>
      </c>
      <c r="BF195" s="13" t="str">
        <f t="shared" si="941"/>
        <v/>
      </c>
      <c r="BG195" s="13" t="str">
        <f t="shared" si="942"/>
        <v/>
      </c>
      <c r="BH195" s="13" t="str">
        <f t="shared" si="943"/>
        <v/>
      </c>
      <c r="BI195" s="13" t="str">
        <f t="shared" si="944"/>
        <v/>
      </c>
      <c r="BJ195" s="13" t="str">
        <f t="shared" si="945"/>
        <v/>
      </c>
      <c r="BU195" s="115"/>
      <c r="BV195" s="115"/>
      <c r="BW195" s="115"/>
    </row>
    <row r="196" spans="1:78" hidden="1" outlineLevel="1" x14ac:dyDescent="0.3">
      <c r="F196" s="85" t="s">
        <v>626</v>
      </c>
      <c r="J196" s="13" t="s">
        <v>272</v>
      </c>
      <c r="K196" s="13" t="s">
        <v>12</v>
      </c>
      <c r="L196" s="85"/>
      <c r="M196" s="85"/>
      <c r="N196" s="13" t="str">
        <f t="shared" si="932"/>
        <v>-</v>
      </c>
      <c r="O196" s="13" t="s">
        <v>165</v>
      </c>
      <c r="P196" s="13" t="s">
        <v>395</v>
      </c>
      <c r="Q196" s="13" t="s">
        <v>117</v>
      </c>
      <c r="R196" s="13" t="s">
        <v>456</v>
      </c>
      <c r="V196" s="33">
        <v>3.5179</v>
      </c>
      <c r="W196" s="33">
        <v>-5.9316999999999998E-3</v>
      </c>
      <c r="X196" s="33">
        <v>0</v>
      </c>
      <c r="Y196" s="33">
        <v>4.0400999999999996E-3</v>
      </c>
      <c r="Z196" s="33">
        <v>0</v>
      </c>
      <c r="AA196" s="33">
        <v>0</v>
      </c>
      <c r="AG196" s="113"/>
      <c r="AH196" s="113"/>
      <c r="AI196" s="113"/>
      <c r="AJ196" s="113"/>
      <c r="AK196" s="113"/>
      <c r="AL196" s="113"/>
      <c r="AM196" s="22" t="s">
        <v>396</v>
      </c>
      <c r="AO196" s="13">
        <v>0</v>
      </c>
      <c r="AP196" s="120" t="str">
        <f t="shared" si="938"/>
        <v/>
      </c>
      <c r="AQ196" s="120" t="str">
        <f t="shared" si="933"/>
        <v/>
      </c>
      <c r="AR196" s="120" t="str">
        <f t="shared" si="939"/>
        <v/>
      </c>
      <c r="AS196" s="120" t="str">
        <f t="shared" si="934"/>
        <v/>
      </c>
      <c r="AT196" s="13" t="str">
        <f t="shared" si="935"/>
        <v/>
      </c>
      <c r="AU196" s="13" t="str">
        <f t="shared" si="936"/>
        <v xml:space="preserve">               </v>
      </c>
      <c r="AV196" s="13" t="str">
        <f t="shared" si="937"/>
        <v/>
      </c>
      <c r="AW196" s="13" t="str">
        <f t="shared" si="624"/>
        <v xml:space="preserve">                                                                 </v>
      </c>
      <c r="AX196" s="13" t="str">
        <f t="shared" ref="AX196:BC204" si="946">IF($AO196=1,IF(ISBLANK(V196),"-",CONCATENATE(TEXT(V196," 0.000000;-0.000000"),"  ")),"")</f>
        <v/>
      </c>
      <c r="AY196" s="13" t="str">
        <f t="shared" si="946"/>
        <v/>
      </c>
      <c r="AZ196" s="13" t="str">
        <f t="shared" si="946"/>
        <v/>
      </c>
      <c r="BA196" s="13" t="str">
        <f t="shared" si="946"/>
        <v/>
      </c>
      <c r="BB196" s="13" t="str">
        <f t="shared" si="946"/>
        <v/>
      </c>
      <c r="BC196" s="13" t="str">
        <f t="shared" si="946"/>
        <v/>
      </c>
      <c r="BD196" s="13" t="str">
        <f t="shared" si="858"/>
        <v xml:space="preserve"> </v>
      </c>
      <c r="BE196" s="13" t="str">
        <f t="shared" si="940"/>
        <v/>
      </c>
      <c r="BF196" s="13" t="str">
        <f t="shared" si="941"/>
        <v/>
      </c>
      <c r="BG196" s="13" t="str">
        <f t="shared" si="942"/>
        <v/>
      </c>
      <c r="BH196" s="13" t="str">
        <f t="shared" si="943"/>
        <v/>
      </c>
      <c r="BI196" s="13" t="str">
        <f t="shared" si="944"/>
        <v/>
      </c>
      <c r="BJ196" s="13" t="str">
        <f t="shared" si="945"/>
        <v/>
      </c>
      <c r="BU196" s="115"/>
      <c r="BV196" s="115"/>
      <c r="BW196" s="115"/>
    </row>
    <row r="197" spans="1:78" collapsed="1" x14ac:dyDescent="0.3">
      <c r="A197" s="16" t="s">
        <v>646</v>
      </c>
      <c r="L197" s="47"/>
      <c r="M197" s="47"/>
      <c r="N197" s="13" t="str">
        <f t="shared" si="932"/>
        <v>-</v>
      </c>
      <c r="O197" s="16"/>
      <c r="AG197" s="113"/>
      <c r="AH197" s="113"/>
      <c r="AI197" s="113"/>
      <c r="AJ197" s="113"/>
      <c r="AK197" s="113"/>
      <c r="AL197" s="113"/>
      <c r="AO197" s="13" t="str">
        <f>IF(ISTEXT(A197),"",IF(I197="IP",0,1))</f>
        <v/>
      </c>
      <c r="AP197" s="120" t="str">
        <f t="shared" ref="AP197:AP204" si="947">IF(AO197=1,CONCATENATE(AQ197,AR197,AS197),"")</f>
        <v/>
      </c>
      <c r="AQ197" s="120" t="str">
        <f>IF(AO197=1,CONCATENATE(AT197,AU197,AV197,AW197,IF(AX197="-","",$AX$15&amp;AX197),IF(AY197="-","",$AY$15&amp;AY197),IF(AZ197="-","",$AZ$15&amp;AZ197),IF(BA197="-","",$BA$15&amp;BA197),IF(BB197="-","",$BB$15&amp;BB197),IF(BC197="-","",$BC$15&amp;BC197)),"")</f>
        <v/>
      </c>
      <c r="AR197" s="120" t="str">
        <f>IF(AO197=1,CONCATENATE(BD197,IF(BE197="-","",$BE$15&amp;BE197),IF(BF197="-","",$BF$15&amp;BF197),IF(BG197="-","",$BG$15&amp;BG197),IF(BH197="-","",$BH$15&amp;BH197),IF(BI197="-","",$BI$15&amp;BI197),IF(BJ197="-","",$BJ$15&amp;BJ197)),"")</f>
        <v/>
      </c>
      <c r="AS197" s="120" t="str">
        <f t="shared" ref="AS197:AS204" si="948">IF(AO197=1,CHAR(13)&amp;CHAR(10)&amp;"..","")</f>
        <v/>
      </c>
      <c r="AT197" s="13" t="str">
        <f>IF(AO197=1,VLOOKUP(O197,$AT$2:$AV$13,2,0),"")</f>
        <v/>
      </c>
      <c r="AU197" s="13" t="str">
        <f t="shared" si="936"/>
        <v xml:space="preserve">               </v>
      </c>
      <c r="AV197" s="13" t="str">
        <f t="shared" si="937"/>
        <v/>
      </c>
      <c r="AW197" s="13" t="str">
        <f>REPT(" ",$AW$14-LEN(AV197))</f>
        <v xml:space="preserve">                                                                 </v>
      </c>
      <c r="AX197" s="13" t="str">
        <f t="shared" si="946"/>
        <v/>
      </c>
      <c r="AY197" s="13" t="str">
        <f t="shared" si="946"/>
        <v/>
      </c>
      <c r="AZ197" s="13" t="str">
        <f t="shared" si="946"/>
        <v/>
      </c>
      <c r="BA197" s="13" t="str">
        <f t="shared" si="946"/>
        <v/>
      </c>
      <c r="BB197" s="13" t="str">
        <f t="shared" si="946"/>
        <v/>
      </c>
      <c r="BC197" s="13" t="str">
        <f t="shared" si="946"/>
        <v/>
      </c>
      <c r="BD197" s="13" t="str">
        <f t="shared" si="858"/>
        <v xml:space="preserve"> </v>
      </c>
      <c r="BE197" s="13" t="str">
        <f t="shared" si="940"/>
        <v/>
      </c>
      <c r="BF197" s="13" t="str">
        <f t="shared" si="941"/>
        <v/>
      </c>
      <c r="BG197" s="13" t="str">
        <f t="shared" si="942"/>
        <v/>
      </c>
      <c r="BH197" s="13" t="str">
        <f t="shared" si="943"/>
        <v/>
      </c>
      <c r="BI197" s="13" t="str">
        <f t="shared" si="944"/>
        <v/>
      </c>
      <c r="BJ197" s="13" t="str">
        <f t="shared" si="945"/>
        <v/>
      </c>
      <c r="BU197" s="104"/>
      <c r="BV197" s="104"/>
      <c r="BW197" s="104"/>
    </row>
    <row r="198" spans="1:78" hidden="1" outlineLevel="1" x14ac:dyDescent="0.3">
      <c r="B198" s="13" t="s">
        <v>647</v>
      </c>
      <c r="C198" s="38"/>
      <c r="D198" s="22" t="s">
        <v>648</v>
      </c>
      <c r="E198" s="13" t="s">
        <v>649</v>
      </c>
      <c r="F198" s="13" t="s">
        <v>409</v>
      </c>
      <c r="G198" s="87" t="s">
        <v>657</v>
      </c>
      <c r="H198" s="13" t="s">
        <v>656</v>
      </c>
      <c r="J198" s="13" t="s">
        <v>272</v>
      </c>
      <c r="K198" s="85" t="s">
        <v>655</v>
      </c>
      <c r="L198" s="13" t="s">
        <v>652</v>
      </c>
      <c r="M198" s="15" t="s">
        <v>650</v>
      </c>
      <c r="N198" s="13" t="str">
        <f t="shared" si="932"/>
        <v>WtHtrStorFIRRatio_fQRatio</v>
      </c>
      <c r="O198" s="13" t="s">
        <v>230</v>
      </c>
      <c r="P198" s="13" t="s">
        <v>391</v>
      </c>
      <c r="Q198" s="13" t="s">
        <v>160</v>
      </c>
      <c r="V198" s="33">
        <v>2.1826000000000002E-2</v>
      </c>
      <c r="W198" s="33">
        <v>0.97763</v>
      </c>
      <c r="X198" s="33">
        <v>5.4299999999999997E-4</v>
      </c>
      <c r="Y198" s="33">
        <v>0</v>
      </c>
      <c r="AG198" s="113">
        <v>1</v>
      </c>
      <c r="AH198" s="113">
        <v>0.1</v>
      </c>
      <c r="AI198" s="113">
        <v>1</v>
      </c>
      <c r="AJ198" s="113">
        <v>0.1</v>
      </c>
      <c r="AK198" s="113"/>
      <c r="AL198" s="113"/>
      <c r="AO198" s="13">
        <f>IF(ISTEXT(A198),"",IF(I198="IP",0,1))</f>
        <v>1</v>
      </c>
      <c r="AP198" s="120" t="str">
        <f t="shared" si="947"/>
        <v>CrvCubic       "WtHtrStorFIRRatio_fQRatio"                                      Coef1 =  0.021826  Coef2 =  0.977630  Coef3 =  0.000543  Coef4 =  0.000000  _x000D_
                                                                                MaxOut = 1.000   MinOut = 0.100   MaxVar1 = 1.000   MinVar1 = 0.100   _x000D_
..</v>
      </c>
      <c r="AQ198" s="120" t="str">
        <f>IF(AO198=1,CONCATENATE(AT198,AU198,AV198,AW198,IF(AX198="-","",$AX$15&amp;AX198),IF(AY198="-","",$AY$15&amp;AY198),IF(AZ198="-","",$AZ$15&amp;AZ198),IF(BA198="-","",$BA$15&amp;BA198),IF(BB198="-","",$BB$15&amp;BB198),IF(BC198="-","",$BC$15&amp;BC198)),"")</f>
        <v xml:space="preserve">CrvCubic       "WtHtrStorFIRRatio_fQRatio"                                      Coef1 =  0.021826  Coef2 =  0.977630  Coef3 =  0.000543  Coef4 =  0.000000  </v>
      </c>
      <c r="AR198" s="120" t="str">
        <f>IF(AO198=1,CONCATENATE(BD198,IF(BE198="-","",$BE$15&amp;BE198),IF(BF198="-","",$BF$15&amp;BF198),IF(BG198="-","",$BG$15&amp;BG198),IF(BH198="-","",$BH$15&amp;BH198),IF(BI198="-","",$BI$15&amp;BI198),IF(BJ198="-","",$BJ$15&amp;BJ198)),"")</f>
        <v xml:space="preserve">_x000D_
                                                                                MaxOut = 1.000   MinOut = 0.100   MaxVar1 = 1.000   MinVar1 = 0.100   </v>
      </c>
      <c r="AS198" s="120" t="str">
        <f t="shared" si="948"/>
        <v>_x000D_
..</v>
      </c>
      <c r="AT198" s="13" t="str">
        <f>IF(AO198=1,VLOOKUP(O198,$AT$2:$AV$13,2,0),"")</f>
        <v>CrvCubic</v>
      </c>
      <c r="AU198" s="13" t="str">
        <f t="shared" si="936"/>
        <v xml:space="preserve">       </v>
      </c>
      <c r="AV198" s="13" t="str">
        <f t="shared" si="937"/>
        <v>"WtHtrStorFIRRatio_fQRatio"</v>
      </c>
      <c r="AW198" s="13" t="str">
        <f>REPT(" ",$AW$14-LEN(AV198))</f>
        <v xml:space="preserve">                                      </v>
      </c>
      <c r="AX198" s="13" t="str">
        <f t="shared" si="946"/>
        <v xml:space="preserve"> 0.021826  </v>
      </c>
      <c r="AY198" s="13" t="str">
        <f t="shared" si="946"/>
        <v xml:space="preserve"> 0.977630  </v>
      </c>
      <c r="AZ198" s="13" t="str">
        <f t="shared" si="946"/>
        <v xml:space="preserve"> 0.000543  </v>
      </c>
      <c r="BA198" s="13" t="str">
        <f t="shared" si="946"/>
        <v xml:space="preserve"> 0.000000  </v>
      </c>
      <c r="BB198" s="13" t="str">
        <f t="shared" si="946"/>
        <v>-</v>
      </c>
      <c r="BC198" s="13" t="str">
        <f t="shared" si="946"/>
        <v>-</v>
      </c>
      <c r="BD198" s="13" t="str">
        <f t="shared" si="858"/>
        <v xml:space="preserve">_x000D_
                                                                                </v>
      </c>
      <c r="BE198" s="13" t="str">
        <f t="shared" si="940"/>
        <v xml:space="preserve">1.000   </v>
      </c>
      <c r="BF198" s="13" t="str">
        <f t="shared" si="941"/>
        <v xml:space="preserve">0.100   </v>
      </c>
      <c r="BG198" s="13" t="str">
        <f t="shared" si="942"/>
        <v xml:space="preserve">1.000   </v>
      </c>
      <c r="BH198" s="13" t="str">
        <f t="shared" si="943"/>
        <v xml:space="preserve">0.100   </v>
      </c>
      <c r="BI198" s="13" t="str">
        <f t="shared" si="944"/>
        <v>-</v>
      </c>
      <c r="BJ198" s="13" t="str">
        <f t="shared" si="945"/>
        <v>-</v>
      </c>
      <c r="BM198" s="13" t="str">
        <f t="shared" si="811"/>
        <v>QRatio</v>
      </c>
      <c r="BO198" s="13">
        <v>1</v>
      </c>
      <c r="BR198" s="13">
        <v>0</v>
      </c>
      <c r="BU198" s="104">
        <f>$V198+$W198*BO198+$X198*BO198^2</f>
        <v>0.99999899999999997</v>
      </c>
      <c r="BV198" s="115"/>
      <c r="BW198" s="104">
        <f>$V198+$W198*BR198+$X198*BR198^2</f>
        <v>2.1826000000000002E-2</v>
      </c>
    </row>
    <row r="199" spans="1:78" s="275" customFormat="1" ht="30" hidden="1" customHeight="1" outlineLevel="1" x14ac:dyDescent="0.3">
      <c r="A199" s="274"/>
      <c r="D199" s="276" t="s">
        <v>1141</v>
      </c>
      <c r="E199" s="275" t="s">
        <v>1142</v>
      </c>
      <c r="F199" s="277" t="s">
        <v>403</v>
      </c>
      <c r="G199" s="276" t="s">
        <v>1143</v>
      </c>
      <c r="H199" s="275" t="s">
        <v>1144</v>
      </c>
      <c r="I199" s="275" t="s">
        <v>660</v>
      </c>
      <c r="J199" s="275" t="s">
        <v>144</v>
      </c>
      <c r="L199" s="276" t="s">
        <v>1145</v>
      </c>
      <c r="M199" s="278" t="s">
        <v>1146</v>
      </c>
      <c r="N199" s="279" t="str">
        <f>IF(ISBLANK(E199),"-",E199&amp;H199&amp;P199&amp;"_f"&amp;Q199&amp;R199&amp;S199&amp;T199&amp;U199&amp;I199)</f>
        <v>WtrHtrHtPumpQRatio_fTdbTdbSI</v>
      </c>
      <c r="O199" s="275" t="s">
        <v>165</v>
      </c>
      <c r="P199" s="275" t="s">
        <v>160</v>
      </c>
      <c r="Q199" s="275" t="s">
        <v>117</v>
      </c>
      <c r="R199" s="275" t="s">
        <v>117</v>
      </c>
      <c r="V199" s="280">
        <v>0.56299999999999994</v>
      </c>
      <c r="W199" s="280">
        <v>4.3700000000000003E-2</v>
      </c>
      <c r="X199" s="280">
        <v>3.8999999999999999E-5</v>
      </c>
      <c r="Y199" s="280">
        <v>5.4999999999999997E-3</v>
      </c>
      <c r="Z199" s="280">
        <v>-1.4799999999999999E-4</v>
      </c>
      <c r="AA199" s="280">
        <v>-1.45E-4</v>
      </c>
      <c r="AG199" s="281"/>
      <c r="AH199" s="281"/>
      <c r="AI199" s="275">
        <v>100</v>
      </c>
      <c r="AJ199" s="275">
        <v>0</v>
      </c>
      <c r="AK199" s="275">
        <v>100</v>
      </c>
      <c r="AL199" s="275">
        <v>0</v>
      </c>
      <c r="AM199" s="276"/>
      <c r="AO199" s="275">
        <v>1</v>
      </c>
      <c r="AP199" s="282" t="str">
        <f t="shared" si="947"/>
        <v>CrvDblQuad     "WtrHtrHtPumpQRatio_fTdbTdbSI"                                   Coef1 =  0.563000  Coef2 =  0.043700  Coef3 =  0.000039  Coef4 =  0.005500  Coef5 = -0.000148  Coef6 = -0.000145  _x000D_
                                                                                MaxVar1 = 100.000   MinVar1 = 0.000   MaxVar2 = 100.000   MinVar2 = 0.000   _x000D_
..</v>
      </c>
      <c r="AQ199" s="282" t="str">
        <f t="shared" ref="AQ199:AQ204" si="949">IF(AO199=1,CONCATENATE(AT199,AU199,AV199,AW199,IF(AX199="-","",$AX$15&amp;AX199),IF(AY199="-","",$AY$15&amp;AY199),IF(AZ199="-","",$AZ$15&amp;AZ199),IF(BA199="-","",$BA$15&amp;BA199),IF(BB199="-","",$BB$15&amp;BB199),IF(BC199="-","",$BC$15&amp;BC199)),"")</f>
        <v xml:space="preserve">CrvDblQuad     "WtrHtrHtPumpQRatio_fTdbTdbSI"                                   Coef1 =  0.563000  Coef2 =  0.043700  Coef3 =  0.000039  Coef4 =  0.005500  Coef5 = -0.000148  Coef6 = -0.000145  </v>
      </c>
      <c r="AR199" s="282" t="str">
        <f t="shared" ref="AR199:AR204" si="950">IF(AO199=1,CONCATENATE(BD199,IF(BE199="-","",$BE$15&amp;BE199),IF(BF199="-","",$BF$15&amp;BF199),IF(BG199="-","",$BG$15&amp;BG199),IF(BH199="-","",$BH$15&amp;BH199),IF(BI199="-","",$BI$15&amp;BI199),IF(BJ199="-","",$BJ$15&amp;BJ199)),"")</f>
        <v xml:space="preserve">_x000D_
                                                                                MaxVar1 = 100.000   MinVar1 = 0.000   MaxVar2 = 100.000   MinVar2 = 0.000   </v>
      </c>
      <c r="AS199" s="282" t="str">
        <f t="shared" si="948"/>
        <v>_x000D_
..</v>
      </c>
      <c r="AT199" s="279" t="str">
        <f t="shared" ref="AT199:AT204" si="951">IF(AO199=1,VLOOKUP(O199,$AT$2:$AV$13,2,0),"")</f>
        <v>CrvDblQuad</v>
      </c>
      <c r="AU199" s="279" t="str">
        <f t="shared" si="936"/>
        <v xml:space="preserve">     </v>
      </c>
      <c r="AV199" s="279" t="str">
        <f t="shared" si="937"/>
        <v>"WtrHtrHtPumpQRatio_fTdbTdbSI"</v>
      </c>
      <c r="AW199" s="279" t="str">
        <f t="shared" ref="AW199:AW204" si="952">REPT(" ",$AW$14-LEN(AV199))</f>
        <v xml:space="preserve">                                   </v>
      </c>
      <c r="AX199" s="279" t="str">
        <f t="shared" si="946"/>
        <v xml:space="preserve"> 0.563000  </v>
      </c>
      <c r="AY199" s="279" t="str">
        <f t="shared" si="946"/>
        <v xml:space="preserve"> 0.043700  </v>
      </c>
      <c r="AZ199" s="279" t="str">
        <f t="shared" si="946"/>
        <v xml:space="preserve"> 0.000039  </v>
      </c>
      <c r="BA199" s="279" t="str">
        <f t="shared" si="946"/>
        <v xml:space="preserve"> 0.005500  </v>
      </c>
      <c r="BB199" s="279" t="str">
        <f t="shared" si="946"/>
        <v xml:space="preserve">-0.000148  </v>
      </c>
      <c r="BC199" s="279" t="str">
        <f t="shared" si="946"/>
        <v xml:space="preserve">-0.000145  </v>
      </c>
      <c r="BD199" s="279" t="str">
        <f t="shared" si="858"/>
        <v xml:space="preserve">_x000D_
                                                                                </v>
      </c>
      <c r="BE199" s="279" t="str">
        <f t="shared" si="940"/>
        <v>-</v>
      </c>
      <c r="BF199" s="279" t="str">
        <f t="shared" si="941"/>
        <v>-</v>
      </c>
      <c r="BG199" s="279" t="str">
        <f t="shared" si="942"/>
        <v xml:space="preserve">100.000   </v>
      </c>
      <c r="BH199" s="279" t="str">
        <f t="shared" si="943"/>
        <v xml:space="preserve">0.000   </v>
      </c>
      <c r="BI199" s="279" t="str">
        <f t="shared" si="944"/>
        <v xml:space="preserve">100.000   </v>
      </c>
      <c r="BJ199" s="279" t="str">
        <f t="shared" si="945"/>
        <v xml:space="preserve">0.000   </v>
      </c>
      <c r="BK199" s="279"/>
      <c r="BL199" s="279"/>
      <c r="BM199" s="279" t="str">
        <f t="shared" si="811"/>
        <v>Tdb</v>
      </c>
      <c r="BN199" s="279"/>
      <c r="BO199" s="279">
        <v>1</v>
      </c>
      <c r="BP199" s="279"/>
      <c r="BQ199" s="279"/>
      <c r="BR199" s="279">
        <v>0</v>
      </c>
      <c r="BS199" s="279"/>
      <c r="BT199" s="279"/>
      <c r="BU199" s="283">
        <f t="shared" ref="BU199:BU204" si="953">$V199+$W199*BO199+$X199*BO199^2</f>
        <v>0.60673899999999992</v>
      </c>
      <c r="BV199" s="283"/>
      <c r="BW199" s="283">
        <f t="shared" ref="BW199:BW204" si="954">$V199+$W199*BR199+$X199*BR199^2</f>
        <v>0.56299999999999994</v>
      </c>
      <c r="BX199" s="279"/>
      <c r="BY199" s="279"/>
      <c r="BZ199" s="279"/>
    </row>
    <row r="200" spans="1:78" s="275" customFormat="1" ht="32.4" hidden="1" customHeight="1" outlineLevel="1" x14ac:dyDescent="0.3">
      <c r="A200" s="274"/>
      <c r="D200" s="276" t="s">
        <v>1147</v>
      </c>
      <c r="E200" s="275" t="s">
        <v>1142</v>
      </c>
      <c r="F200" s="277" t="s">
        <v>1148</v>
      </c>
      <c r="G200" s="276" t="s">
        <v>1143</v>
      </c>
      <c r="H200" s="275" t="s">
        <v>1144</v>
      </c>
      <c r="I200" s="275" t="s">
        <v>660</v>
      </c>
      <c r="J200" s="275" t="s">
        <v>144</v>
      </c>
      <c r="L200" s="276" t="s">
        <v>1145</v>
      </c>
      <c r="M200" s="278" t="s">
        <v>1149</v>
      </c>
      <c r="N200" s="279" t="str">
        <f t="shared" ref="N200" si="955">IF(ISBLANK(E200),"-",E200&amp;H200&amp;P200&amp;"_f"&amp;Q200&amp;R200&amp;S200&amp;T200&amp;U200&amp;I200)</f>
        <v>WtrHtrHtPumpCOP_fTdbTdbSI</v>
      </c>
      <c r="O200" s="275" t="s">
        <v>165</v>
      </c>
      <c r="P200" s="275" t="s">
        <v>1150</v>
      </c>
      <c r="Q200" s="275" t="s">
        <v>117</v>
      </c>
      <c r="R200" s="275" t="s">
        <v>117</v>
      </c>
      <c r="V200" s="280">
        <v>1.1332</v>
      </c>
      <c r="W200" s="280">
        <v>6.3E-2</v>
      </c>
      <c r="X200" s="280">
        <v>-9.7899999999999994E-5</v>
      </c>
      <c r="Y200" s="280">
        <v>-9.7199999999999995E-3</v>
      </c>
      <c r="Z200" s="280">
        <v>-2.1399999999999998E-5</v>
      </c>
      <c r="AA200" s="280">
        <v>-6.8599999999999998E-4</v>
      </c>
      <c r="AG200" s="281"/>
      <c r="AH200" s="281"/>
      <c r="AI200" s="275">
        <v>100</v>
      </c>
      <c r="AJ200" s="275">
        <v>0</v>
      </c>
      <c r="AK200" s="275">
        <v>100</v>
      </c>
      <c r="AL200" s="275">
        <v>0</v>
      </c>
      <c r="AM200" s="276"/>
      <c r="AO200" s="275">
        <v>1</v>
      </c>
      <c r="AP200" s="282" t="str">
        <f t="shared" si="947"/>
        <v>CrvDblQuad     "WtrHtrHtPumpCOP_fTdbTdbSI"                                      Coef1 =  1.133200  Coef2 =  0.063000  Coef3 = -0.000098  Coef4 = -0.009720  Coef5 = -0.000021  Coef6 = -0.000686  _x000D_
                                                                                MaxVar1 = 100.000   MinVar1 = 0.000   MaxVar2 = 100.000   MinVar2 = 0.000   _x000D_
..</v>
      </c>
      <c r="AQ200" s="282" t="str">
        <f t="shared" si="949"/>
        <v xml:space="preserve">CrvDblQuad     "WtrHtrHtPumpCOP_fTdbTdbSI"                                      Coef1 =  1.133200  Coef2 =  0.063000  Coef3 = -0.000098  Coef4 = -0.009720  Coef5 = -0.000021  Coef6 = -0.000686  </v>
      </c>
      <c r="AR200" s="282" t="str">
        <f t="shared" si="950"/>
        <v xml:space="preserve">_x000D_
                                                                                MaxVar1 = 100.000   MinVar1 = 0.000   MaxVar2 = 100.000   MinVar2 = 0.000   </v>
      </c>
      <c r="AS200" s="282" t="str">
        <f t="shared" si="948"/>
        <v>_x000D_
..</v>
      </c>
      <c r="AT200" s="279" t="str">
        <f t="shared" si="951"/>
        <v>CrvDblQuad</v>
      </c>
      <c r="AU200" s="279" t="str">
        <f t="shared" si="936"/>
        <v xml:space="preserve">     </v>
      </c>
      <c r="AV200" s="279" t="str">
        <f t="shared" si="937"/>
        <v>"WtrHtrHtPumpCOP_fTdbTdbSI"</v>
      </c>
      <c r="AW200" s="279" t="str">
        <f t="shared" si="952"/>
        <v xml:space="preserve">                                      </v>
      </c>
      <c r="AX200" s="279" t="str">
        <f t="shared" si="946"/>
        <v xml:space="preserve"> 1.133200  </v>
      </c>
      <c r="AY200" s="279" t="str">
        <f t="shared" si="946"/>
        <v xml:space="preserve"> 0.063000  </v>
      </c>
      <c r="AZ200" s="279" t="str">
        <f t="shared" si="946"/>
        <v xml:space="preserve">-0.000098  </v>
      </c>
      <c r="BA200" s="279" t="str">
        <f t="shared" si="946"/>
        <v xml:space="preserve">-0.009720  </v>
      </c>
      <c r="BB200" s="279" t="str">
        <f t="shared" si="946"/>
        <v xml:space="preserve">-0.000021  </v>
      </c>
      <c r="BC200" s="279" t="str">
        <f t="shared" si="946"/>
        <v xml:space="preserve">-0.000686  </v>
      </c>
      <c r="BD200" s="279" t="str">
        <f t="shared" si="858"/>
        <v xml:space="preserve">_x000D_
                                                                                </v>
      </c>
      <c r="BE200" s="279" t="str">
        <f t="shared" si="940"/>
        <v>-</v>
      </c>
      <c r="BF200" s="279" t="str">
        <f t="shared" si="941"/>
        <v>-</v>
      </c>
      <c r="BG200" s="279" t="str">
        <f t="shared" si="942"/>
        <v xml:space="preserve">100.000   </v>
      </c>
      <c r="BH200" s="279" t="str">
        <f t="shared" si="943"/>
        <v xml:space="preserve">0.000   </v>
      </c>
      <c r="BI200" s="279" t="str">
        <f t="shared" si="944"/>
        <v xml:space="preserve">100.000   </v>
      </c>
      <c r="BJ200" s="279" t="str">
        <f t="shared" si="945"/>
        <v xml:space="preserve">0.000   </v>
      </c>
      <c r="BK200" s="279"/>
      <c r="BL200" s="279"/>
      <c r="BM200" s="279" t="str">
        <f t="shared" si="811"/>
        <v>Tdb</v>
      </c>
      <c r="BN200" s="279"/>
      <c r="BO200" s="279">
        <v>1</v>
      </c>
      <c r="BP200" s="279"/>
      <c r="BQ200" s="279"/>
      <c r="BR200" s="279">
        <v>0</v>
      </c>
      <c r="BS200" s="279"/>
      <c r="BT200" s="279"/>
      <c r="BU200" s="283">
        <f t="shared" si="953"/>
        <v>1.1961020999999998</v>
      </c>
      <c r="BV200" s="283"/>
      <c r="BW200" s="283">
        <f t="shared" si="954"/>
        <v>1.1332</v>
      </c>
      <c r="BX200" s="279"/>
      <c r="BY200" s="279"/>
      <c r="BZ200" s="279"/>
    </row>
    <row r="201" spans="1:78" s="275" customFormat="1" ht="28.8" hidden="1" outlineLevel="1" x14ac:dyDescent="0.3">
      <c r="A201" s="274"/>
      <c r="B201" s="275" t="s">
        <v>1151</v>
      </c>
      <c r="D201" s="276" t="s">
        <v>1152</v>
      </c>
      <c r="E201" s="275" t="s">
        <v>1142</v>
      </c>
      <c r="F201" s="277" t="s">
        <v>403</v>
      </c>
      <c r="G201" s="276" t="s">
        <v>1143</v>
      </c>
      <c r="H201" s="275" t="s">
        <v>1144</v>
      </c>
      <c r="I201" s="275" t="s">
        <v>660</v>
      </c>
      <c r="J201" s="275" t="s">
        <v>144</v>
      </c>
      <c r="L201" s="276" t="s">
        <v>1145</v>
      </c>
      <c r="M201" s="278" t="s">
        <v>1146</v>
      </c>
      <c r="N201" s="279" t="str">
        <f>IF(ISBLANK(E201),"-",E201&amp;H201&amp;P201&amp;"_f"&amp;Q201&amp;R201&amp;S201&amp;T201&amp;U201&amp;I201)</f>
        <v>WtrHtrHtPumpQRatio_fTdbTdbSI</v>
      </c>
      <c r="O201" s="275" t="s">
        <v>165</v>
      </c>
      <c r="P201" s="275" t="s">
        <v>160</v>
      </c>
      <c r="Q201" s="275" t="s">
        <v>117</v>
      </c>
      <c r="R201" s="275" t="s">
        <v>117</v>
      </c>
      <c r="V201" s="17">
        <v>0.92298667957470293</v>
      </c>
      <c r="W201" s="17">
        <v>2.7986277477541715E-2</v>
      </c>
      <c r="X201" s="17">
        <v>1.145456636152318E-4</v>
      </c>
      <c r="Y201" s="17">
        <v>-5.0021008533608126E-4</v>
      </c>
      <c r="Z201" s="17">
        <v>-2.1839867843363486E-7</v>
      </c>
      <c r="AA201" s="17">
        <v>-1.442032588858801E-4</v>
      </c>
      <c r="AG201" s="281"/>
      <c r="AH201" s="281"/>
      <c r="AI201" s="275">
        <v>100</v>
      </c>
      <c r="AJ201" s="275">
        <v>0</v>
      </c>
      <c r="AK201" s="275">
        <v>100</v>
      </c>
      <c r="AL201" s="275">
        <v>0</v>
      </c>
      <c r="AM201" s="276" t="s">
        <v>1153</v>
      </c>
      <c r="AO201" s="275">
        <v>1</v>
      </c>
      <c r="AP201" s="282" t="str">
        <f t="shared" si="947"/>
        <v>CrvDblQuad     "WtrHtrHtPumpQRatio_fTdbTdbSI"                                   Coef1 =  0.922987  Coef2 =  0.027986  Coef3 =  0.000115  Coef4 = -0.000500  Coef5 = -0.000000  Coef6 = -0.000144  _x000D_
                                                                                MaxVar1 = 100.000   MinVar1 = 0.000   MaxVar2 = 100.000   MinVar2 = 0.000   _x000D_
..</v>
      </c>
      <c r="AQ201" s="282" t="str">
        <f t="shared" si="949"/>
        <v xml:space="preserve">CrvDblQuad     "WtrHtrHtPumpQRatio_fTdbTdbSI"                                   Coef1 =  0.922987  Coef2 =  0.027986  Coef3 =  0.000115  Coef4 = -0.000500  Coef5 = -0.000000  Coef6 = -0.000144  </v>
      </c>
      <c r="AR201" s="282" t="str">
        <f t="shared" si="950"/>
        <v xml:space="preserve">_x000D_
                                                                                MaxVar1 = 100.000   MinVar1 = 0.000   MaxVar2 = 100.000   MinVar2 = 0.000   </v>
      </c>
      <c r="AS201" s="282" t="str">
        <f t="shared" si="948"/>
        <v>_x000D_
..</v>
      </c>
      <c r="AT201" s="279" t="str">
        <f t="shared" si="951"/>
        <v>CrvDblQuad</v>
      </c>
      <c r="AU201" s="279" t="str">
        <f t="shared" si="936"/>
        <v xml:space="preserve">     </v>
      </c>
      <c r="AV201" s="279" t="str">
        <f t="shared" si="937"/>
        <v>"WtrHtrHtPumpQRatio_fTdbTdbSI"</v>
      </c>
      <c r="AW201" s="279" t="str">
        <f t="shared" si="952"/>
        <v xml:space="preserve">                                   </v>
      </c>
      <c r="AX201" s="279" t="str">
        <f t="shared" si="946"/>
        <v xml:space="preserve"> 0.922987  </v>
      </c>
      <c r="AY201" s="279" t="str">
        <f t="shared" si="946"/>
        <v xml:space="preserve"> 0.027986  </v>
      </c>
      <c r="AZ201" s="279" t="str">
        <f t="shared" si="946"/>
        <v xml:space="preserve"> 0.000115  </v>
      </c>
      <c r="BA201" s="279" t="str">
        <f t="shared" si="946"/>
        <v xml:space="preserve">-0.000500  </v>
      </c>
      <c r="BB201" s="279" t="str">
        <f t="shared" si="946"/>
        <v xml:space="preserve">-0.000000  </v>
      </c>
      <c r="BC201" s="279" t="str">
        <f t="shared" si="946"/>
        <v xml:space="preserve">-0.000144  </v>
      </c>
      <c r="BD201" s="279" t="str">
        <f t="shared" si="858"/>
        <v xml:space="preserve">_x000D_
                                                                                </v>
      </c>
      <c r="BE201" s="279" t="str">
        <f t="shared" si="940"/>
        <v>-</v>
      </c>
      <c r="BF201" s="279" t="str">
        <f t="shared" si="941"/>
        <v>-</v>
      </c>
      <c r="BG201" s="279" t="str">
        <f t="shared" si="942"/>
        <v xml:space="preserve">100.000   </v>
      </c>
      <c r="BH201" s="279" t="str">
        <f t="shared" si="943"/>
        <v xml:space="preserve">0.000   </v>
      </c>
      <c r="BI201" s="279" t="str">
        <f t="shared" si="944"/>
        <v xml:space="preserve">100.000   </v>
      </c>
      <c r="BJ201" s="279" t="str">
        <f t="shared" si="945"/>
        <v xml:space="preserve">0.000   </v>
      </c>
      <c r="BK201" s="279"/>
      <c r="BL201" s="279"/>
      <c r="BM201" s="279" t="str">
        <f t="shared" si="811"/>
        <v>Tdb</v>
      </c>
      <c r="BN201" s="279"/>
      <c r="BO201" s="279">
        <v>1</v>
      </c>
      <c r="BP201" s="279"/>
      <c r="BQ201" s="279"/>
      <c r="BR201" s="279">
        <v>0</v>
      </c>
      <c r="BS201" s="279"/>
      <c r="BT201" s="279"/>
      <c r="BU201" s="284">
        <f t="shared" si="953"/>
        <v>0.95108750271585984</v>
      </c>
      <c r="BV201" s="283"/>
      <c r="BW201" s="283">
        <f t="shared" si="954"/>
        <v>0.92298667957470293</v>
      </c>
      <c r="BX201" s="279"/>
      <c r="BY201" s="279"/>
      <c r="BZ201" s="279"/>
    </row>
    <row r="202" spans="1:78" s="275" customFormat="1" ht="28.8" hidden="1" outlineLevel="1" x14ac:dyDescent="0.3">
      <c r="A202" s="274"/>
      <c r="D202" s="276" t="s">
        <v>1154</v>
      </c>
      <c r="E202" s="275" t="s">
        <v>1142</v>
      </c>
      <c r="F202" s="277" t="s">
        <v>1148</v>
      </c>
      <c r="G202" s="276" t="s">
        <v>1143</v>
      </c>
      <c r="H202" s="275" t="s">
        <v>1144</v>
      </c>
      <c r="I202" s="275" t="s">
        <v>660</v>
      </c>
      <c r="J202" s="275" t="s">
        <v>144</v>
      </c>
      <c r="L202" s="276" t="s">
        <v>1145</v>
      </c>
      <c r="M202" s="278" t="s">
        <v>1149</v>
      </c>
      <c r="N202" s="279" t="str">
        <f t="shared" ref="N202" si="956">IF(ISBLANK(E202),"-",E202&amp;H202&amp;P202&amp;"_f"&amp;Q202&amp;R202&amp;S202&amp;T202&amp;U202&amp;I202)</f>
        <v>WtrHtrHtPumpCOP_fTdbTdbSI</v>
      </c>
      <c r="O202" s="275" t="s">
        <v>165</v>
      </c>
      <c r="P202" s="275" t="s">
        <v>1150</v>
      </c>
      <c r="Q202" s="275" t="s">
        <v>117</v>
      </c>
      <c r="R202" s="275" t="s">
        <v>117</v>
      </c>
      <c r="V202" s="285">
        <v>2.015359171413182</v>
      </c>
      <c r="W202" s="285">
        <v>4.5001169896097086E-2</v>
      </c>
      <c r="X202" s="285">
        <v>4.7570503693468377E-5</v>
      </c>
      <c r="Y202" s="285">
        <v>-3.6415941079321341E-2</v>
      </c>
      <c r="Z202" s="285">
        <v>2.7025599173907325E-4</v>
      </c>
      <c r="AA202" s="285">
        <v>-5.1576018251454263E-4</v>
      </c>
      <c r="AG202" s="281"/>
      <c r="AH202" s="281"/>
      <c r="AI202" s="275">
        <v>100</v>
      </c>
      <c r="AJ202" s="275">
        <v>0</v>
      </c>
      <c r="AK202" s="275">
        <v>100</v>
      </c>
      <c r="AL202" s="275">
        <v>0</v>
      </c>
      <c r="AM202" s="276" t="s">
        <v>1153</v>
      </c>
      <c r="AO202" s="275">
        <v>1</v>
      </c>
      <c r="AP202" s="282" t="str">
        <f t="shared" si="947"/>
        <v>CrvDblQuad     "WtrHtrHtPumpCOP_fTdbTdbSI"                                      Coef1 =  2.015359  Coef2 =  0.045001  Coef3 =  0.000048  Coef4 = -0.036416  Coef5 =  0.000270  Coef6 = -0.000516  _x000D_
                                                                                MaxVar1 = 100.000   MinVar1 = 0.000   MaxVar2 = 100.000   MinVar2 = 0.000   _x000D_
..</v>
      </c>
      <c r="AQ202" s="282" t="str">
        <f t="shared" si="949"/>
        <v xml:space="preserve">CrvDblQuad     "WtrHtrHtPumpCOP_fTdbTdbSI"                                      Coef1 =  2.015359  Coef2 =  0.045001  Coef3 =  0.000048  Coef4 = -0.036416  Coef5 =  0.000270  Coef6 = -0.000516  </v>
      </c>
      <c r="AR202" s="282" t="str">
        <f t="shared" si="950"/>
        <v xml:space="preserve">_x000D_
                                                                                MaxVar1 = 100.000   MinVar1 = 0.000   MaxVar2 = 100.000   MinVar2 = 0.000   </v>
      </c>
      <c r="AS202" s="282" t="str">
        <f t="shared" si="948"/>
        <v>_x000D_
..</v>
      </c>
      <c r="AT202" s="279" t="str">
        <f t="shared" si="951"/>
        <v>CrvDblQuad</v>
      </c>
      <c r="AU202" s="279" t="str">
        <f t="shared" si="936"/>
        <v xml:space="preserve">     </v>
      </c>
      <c r="AV202" s="279" t="str">
        <f t="shared" si="937"/>
        <v>"WtrHtrHtPumpCOP_fTdbTdbSI"</v>
      </c>
      <c r="AW202" s="279" t="str">
        <f t="shared" si="952"/>
        <v xml:space="preserve">                                      </v>
      </c>
      <c r="AX202" s="279" t="str">
        <f t="shared" si="946"/>
        <v xml:space="preserve"> 2.015359  </v>
      </c>
      <c r="AY202" s="279" t="str">
        <f t="shared" si="946"/>
        <v xml:space="preserve"> 0.045001  </v>
      </c>
      <c r="AZ202" s="279" t="str">
        <f t="shared" si="946"/>
        <v xml:space="preserve"> 0.000048  </v>
      </c>
      <c r="BA202" s="279" t="str">
        <f t="shared" si="946"/>
        <v xml:space="preserve">-0.036416  </v>
      </c>
      <c r="BB202" s="279" t="str">
        <f t="shared" si="946"/>
        <v xml:space="preserve"> 0.000270  </v>
      </c>
      <c r="BC202" s="279" t="str">
        <f t="shared" si="946"/>
        <v xml:space="preserve">-0.000516  </v>
      </c>
      <c r="BD202" s="279" t="str">
        <f t="shared" si="858"/>
        <v xml:space="preserve">_x000D_
                                                                                </v>
      </c>
      <c r="BE202" s="279" t="str">
        <f t="shared" si="940"/>
        <v>-</v>
      </c>
      <c r="BF202" s="279" t="str">
        <f t="shared" si="941"/>
        <v>-</v>
      </c>
      <c r="BG202" s="279" t="str">
        <f t="shared" si="942"/>
        <v xml:space="preserve">100.000   </v>
      </c>
      <c r="BH202" s="279" t="str">
        <f t="shared" si="943"/>
        <v xml:space="preserve">0.000   </v>
      </c>
      <c r="BI202" s="279" t="str">
        <f t="shared" si="944"/>
        <v xml:space="preserve">100.000   </v>
      </c>
      <c r="BJ202" s="279" t="str">
        <f t="shared" si="945"/>
        <v xml:space="preserve">0.000   </v>
      </c>
      <c r="BK202" s="279"/>
      <c r="BL202" s="279"/>
      <c r="BM202" s="279" t="str">
        <f t="shared" si="811"/>
        <v>Tdb</v>
      </c>
      <c r="BN202" s="279"/>
      <c r="BO202" s="279">
        <v>1</v>
      </c>
      <c r="BP202" s="279"/>
      <c r="BQ202" s="279"/>
      <c r="BR202" s="279">
        <v>0</v>
      </c>
      <c r="BS202" s="279"/>
      <c r="BT202" s="279"/>
      <c r="BU202" s="284">
        <f t="shared" si="953"/>
        <v>2.0604079118129728</v>
      </c>
      <c r="BV202" s="283"/>
      <c r="BW202" s="283">
        <f t="shared" si="954"/>
        <v>2.015359171413182</v>
      </c>
      <c r="BX202" s="279"/>
      <c r="BY202" s="279"/>
      <c r="BZ202" s="279"/>
    </row>
    <row r="203" spans="1:78" s="275" customFormat="1" ht="28.8" hidden="1" outlineLevel="1" x14ac:dyDescent="0.3">
      <c r="A203" s="274"/>
      <c r="B203" s="275" t="s">
        <v>1155</v>
      </c>
      <c r="D203" s="276" t="s">
        <v>1156</v>
      </c>
      <c r="E203" s="275" t="s">
        <v>1142</v>
      </c>
      <c r="F203" s="277" t="s">
        <v>403</v>
      </c>
      <c r="G203" s="276" t="s">
        <v>1143</v>
      </c>
      <c r="H203" s="275" t="s">
        <v>1144</v>
      </c>
      <c r="I203" s="275" t="s">
        <v>660</v>
      </c>
      <c r="J203" s="275" t="s">
        <v>144</v>
      </c>
      <c r="L203" s="276" t="s">
        <v>1145</v>
      </c>
      <c r="M203" s="278" t="s">
        <v>1146</v>
      </c>
      <c r="N203" s="279" t="str">
        <f>IF(ISBLANK(E203),"-",E203&amp;H203&amp;P203&amp;"_f"&amp;Q203&amp;R203&amp;S203&amp;T203&amp;U203&amp;I203)</f>
        <v>WtrHtrHtPumpQRatio_fTwbTdbSI</v>
      </c>
      <c r="O203" s="275" t="s">
        <v>165</v>
      </c>
      <c r="P203" s="275" t="s">
        <v>160</v>
      </c>
      <c r="Q203" s="275" t="s">
        <v>116</v>
      </c>
      <c r="R203" s="275" t="s">
        <v>117</v>
      </c>
      <c r="V203">
        <v>1.2783885936603225</v>
      </c>
      <c r="W203">
        <v>1.713505365562331E-2</v>
      </c>
      <c r="X203">
        <v>4.4252117988713657E-4</v>
      </c>
      <c r="Y203">
        <v>-1.832008705642172E-2</v>
      </c>
      <c r="Z203">
        <v>2.0927386699754247E-4</v>
      </c>
      <c r="AA203">
        <v>5.3473301775374574E-5</v>
      </c>
      <c r="AG203" s="281"/>
      <c r="AH203" s="281"/>
      <c r="AI203" s="275">
        <v>100</v>
      </c>
      <c r="AJ203" s="275">
        <v>-20</v>
      </c>
      <c r="AK203" s="275">
        <v>100</v>
      </c>
      <c r="AL203" s="275">
        <v>0</v>
      </c>
      <c r="AM203" s="276" t="s">
        <v>1157</v>
      </c>
      <c r="AO203" s="275">
        <v>1</v>
      </c>
      <c r="AP203" s="282" t="str">
        <f t="shared" si="947"/>
        <v>CrvDblQuad     "WtrHtrHtPumpQRatio_fTwbTdbSI"                                   Coef1 =  1.278389  Coef2 =  0.017135  Coef3 =  0.000443  Coef4 = -0.018320  Coef5 =  0.000209  Coef6 =  0.000053  _x000D_
                                                                                MaxVar1 = 100.000   MinVar1 = -20.000   MaxVar2 = 100.000   MinVar2 = 0.000   _x000D_
..</v>
      </c>
      <c r="AQ203" s="282" t="str">
        <f t="shared" si="949"/>
        <v xml:space="preserve">CrvDblQuad     "WtrHtrHtPumpQRatio_fTwbTdbSI"                                   Coef1 =  1.278389  Coef2 =  0.017135  Coef3 =  0.000443  Coef4 = -0.018320  Coef5 =  0.000209  Coef6 =  0.000053  </v>
      </c>
      <c r="AR203" s="282" t="str">
        <f t="shared" si="950"/>
        <v xml:space="preserve">_x000D_
                                                                                MaxVar1 = 100.000   MinVar1 = -20.000   MaxVar2 = 100.000   MinVar2 = 0.000   </v>
      </c>
      <c r="AS203" s="282" t="str">
        <f t="shared" si="948"/>
        <v>_x000D_
..</v>
      </c>
      <c r="AT203" s="279" t="str">
        <f t="shared" si="951"/>
        <v>CrvDblQuad</v>
      </c>
      <c r="AU203" s="279" t="str">
        <f t="shared" si="936"/>
        <v xml:space="preserve">     </v>
      </c>
      <c r="AV203" s="279" t="str">
        <f t="shared" si="937"/>
        <v>"WtrHtrHtPumpQRatio_fTwbTdbSI"</v>
      </c>
      <c r="AW203" s="279" t="str">
        <f t="shared" si="952"/>
        <v xml:space="preserve">                                   </v>
      </c>
      <c r="AX203" s="279" t="str">
        <f t="shared" si="946"/>
        <v xml:space="preserve"> 1.278389  </v>
      </c>
      <c r="AY203" s="279" t="str">
        <f t="shared" si="946"/>
        <v xml:space="preserve"> 0.017135  </v>
      </c>
      <c r="AZ203" s="279" t="str">
        <f t="shared" si="946"/>
        <v xml:space="preserve"> 0.000443  </v>
      </c>
      <c r="BA203" s="279" t="str">
        <f t="shared" si="946"/>
        <v xml:space="preserve">-0.018320  </v>
      </c>
      <c r="BB203" s="279" t="str">
        <f t="shared" si="946"/>
        <v xml:space="preserve"> 0.000209  </v>
      </c>
      <c r="BC203" s="279" t="str">
        <f t="shared" si="946"/>
        <v xml:space="preserve"> 0.000053  </v>
      </c>
      <c r="BD203" s="279" t="str">
        <f t="shared" si="858"/>
        <v xml:space="preserve">_x000D_
                                                                                </v>
      </c>
      <c r="BE203" s="279" t="str">
        <f t="shared" si="940"/>
        <v>-</v>
      </c>
      <c r="BF203" s="279" t="str">
        <f t="shared" si="941"/>
        <v>-</v>
      </c>
      <c r="BG203" s="279" t="str">
        <f t="shared" si="942"/>
        <v xml:space="preserve">100.000   </v>
      </c>
      <c r="BH203" s="279" t="str">
        <f t="shared" si="943"/>
        <v xml:space="preserve">-20.000   </v>
      </c>
      <c r="BI203" s="279" t="str">
        <f t="shared" si="944"/>
        <v xml:space="preserve">100.000   </v>
      </c>
      <c r="BJ203" s="279" t="str">
        <f t="shared" si="945"/>
        <v xml:space="preserve">0.000   </v>
      </c>
      <c r="BK203" s="279"/>
      <c r="BL203" s="279"/>
      <c r="BM203" s="279" t="str">
        <f t="shared" si="811"/>
        <v>Twb</v>
      </c>
      <c r="BN203" s="279"/>
      <c r="BO203" s="279">
        <v>1</v>
      </c>
      <c r="BP203" s="279"/>
      <c r="BQ203" s="279"/>
      <c r="BR203" s="279" t="str">
        <f>BH203</f>
        <v xml:space="preserve">-20.000   </v>
      </c>
      <c r="BS203" s="279"/>
      <c r="BT203" s="279"/>
      <c r="BU203" s="284">
        <f t="shared" si="953"/>
        <v>1.295966168495833</v>
      </c>
      <c r="BV203" s="283"/>
      <c r="BW203" s="283">
        <f t="shared" si="954"/>
        <v>1.1126959925027109</v>
      </c>
      <c r="BX203" s="279"/>
      <c r="BY203" s="279"/>
      <c r="BZ203" s="279"/>
    </row>
    <row r="204" spans="1:78" s="275" customFormat="1" ht="28.8" hidden="1" outlineLevel="1" x14ac:dyDescent="0.3">
      <c r="A204" s="274"/>
      <c r="D204" s="276" t="s">
        <v>1158</v>
      </c>
      <c r="E204" s="275" t="s">
        <v>1142</v>
      </c>
      <c r="F204" s="277" t="s">
        <v>1148</v>
      </c>
      <c r="G204" s="276" t="s">
        <v>1143</v>
      </c>
      <c r="H204" s="275" t="s">
        <v>1144</v>
      </c>
      <c r="I204" s="275" t="s">
        <v>660</v>
      </c>
      <c r="J204" s="275" t="s">
        <v>144</v>
      </c>
      <c r="L204" s="276" t="s">
        <v>1145</v>
      </c>
      <c r="M204" s="278" t="s">
        <v>1149</v>
      </c>
      <c r="N204" s="279" t="str">
        <f t="shared" ref="N204" si="957">IF(ISBLANK(E204),"-",E204&amp;H204&amp;P204&amp;"_f"&amp;Q204&amp;R204&amp;S204&amp;T204&amp;U204&amp;I204)</f>
        <v>WtrHtrHtPumpCOP_fTwbTdbSI</v>
      </c>
      <c r="O204" s="275" t="s">
        <v>165</v>
      </c>
      <c r="P204" s="275" t="s">
        <v>1150</v>
      </c>
      <c r="Q204" s="275" t="s">
        <v>116</v>
      </c>
      <c r="R204" s="275" t="s">
        <v>117</v>
      </c>
      <c r="V204">
        <v>2.2616656677808771</v>
      </c>
      <c r="W204">
        <v>3.3175562517246494E-2</v>
      </c>
      <c r="X204">
        <v>4.3617912576841475E-4</v>
      </c>
      <c r="Y204">
        <v>-4.6724412446670742E-2</v>
      </c>
      <c r="Z204">
        <v>3.5030365549158928E-4</v>
      </c>
      <c r="AA204">
        <v>-3.7639929805351272E-4</v>
      </c>
      <c r="AG204" s="281"/>
      <c r="AH204" s="281"/>
      <c r="AI204" s="275">
        <v>100</v>
      </c>
      <c r="AJ204" s="275">
        <v>-20</v>
      </c>
      <c r="AK204" s="275">
        <v>100</v>
      </c>
      <c r="AL204" s="275">
        <v>0</v>
      </c>
      <c r="AM204" s="276" t="s">
        <v>1157</v>
      </c>
      <c r="AO204" s="275">
        <v>1</v>
      </c>
      <c r="AP204" s="282" t="str">
        <f t="shared" si="947"/>
        <v>CrvDblQuad     "WtrHtrHtPumpCOP_fTwbTdbSI"                                      Coef1 =  2.261666  Coef2 =  0.033176  Coef3 =  0.000436  Coef4 = -0.046724  Coef5 =  0.000350  Coef6 = -0.000376  _x000D_
                                                                                MaxVar1 = 100.000   MinVar1 = -20.000   MaxVar2 = 100.000   MinVar2 = 0.000   _x000D_
..</v>
      </c>
      <c r="AQ204" s="282" t="str">
        <f t="shared" si="949"/>
        <v xml:space="preserve">CrvDblQuad     "WtrHtrHtPumpCOP_fTwbTdbSI"                                      Coef1 =  2.261666  Coef2 =  0.033176  Coef3 =  0.000436  Coef4 = -0.046724  Coef5 =  0.000350  Coef6 = -0.000376  </v>
      </c>
      <c r="AR204" s="282" t="str">
        <f t="shared" si="950"/>
        <v xml:space="preserve">_x000D_
                                                                                MaxVar1 = 100.000   MinVar1 = -20.000   MaxVar2 = 100.000   MinVar2 = 0.000   </v>
      </c>
      <c r="AS204" s="282" t="str">
        <f t="shared" si="948"/>
        <v>_x000D_
..</v>
      </c>
      <c r="AT204" s="279" t="str">
        <f t="shared" si="951"/>
        <v>CrvDblQuad</v>
      </c>
      <c r="AU204" s="279" t="str">
        <f t="shared" si="936"/>
        <v xml:space="preserve">     </v>
      </c>
      <c r="AV204" s="279" t="str">
        <f t="shared" si="937"/>
        <v>"WtrHtrHtPumpCOP_fTwbTdbSI"</v>
      </c>
      <c r="AW204" s="279" t="str">
        <f t="shared" si="952"/>
        <v xml:space="preserve">                                      </v>
      </c>
      <c r="AX204" s="279" t="str">
        <f t="shared" si="946"/>
        <v xml:space="preserve"> 2.261666  </v>
      </c>
      <c r="AY204" s="279" t="str">
        <f t="shared" si="946"/>
        <v xml:space="preserve"> 0.033176  </v>
      </c>
      <c r="AZ204" s="279" t="str">
        <f t="shared" si="946"/>
        <v xml:space="preserve"> 0.000436  </v>
      </c>
      <c r="BA204" s="279" t="str">
        <f t="shared" si="946"/>
        <v xml:space="preserve">-0.046724  </v>
      </c>
      <c r="BB204" s="279" t="str">
        <f t="shared" si="946"/>
        <v xml:space="preserve"> 0.000350  </v>
      </c>
      <c r="BC204" s="279" t="str">
        <f t="shared" si="946"/>
        <v xml:space="preserve">-0.000376  </v>
      </c>
      <c r="BD204" s="279" t="str">
        <f t="shared" si="858"/>
        <v xml:space="preserve">_x000D_
                                                                                </v>
      </c>
      <c r="BE204" s="279" t="str">
        <f t="shared" si="940"/>
        <v>-</v>
      </c>
      <c r="BF204" s="279" t="str">
        <f t="shared" si="941"/>
        <v>-</v>
      </c>
      <c r="BG204" s="279" t="str">
        <f t="shared" si="942"/>
        <v xml:space="preserve">100.000   </v>
      </c>
      <c r="BH204" s="279" t="str">
        <f t="shared" si="943"/>
        <v xml:space="preserve">-20.000   </v>
      </c>
      <c r="BI204" s="279" t="str">
        <f t="shared" si="944"/>
        <v xml:space="preserve">100.000   </v>
      </c>
      <c r="BJ204" s="279" t="str">
        <f t="shared" si="945"/>
        <v xml:space="preserve">0.000   </v>
      </c>
      <c r="BK204" s="279"/>
      <c r="BL204" s="279"/>
      <c r="BM204" s="279" t="str">
        <f t="shared" si="811"/>
        <v>Twb</v>
      </c>
      <c r="BN204" s="279"/>
      <c r="BO204" s="279">
        <v>1</v>
      </c>
      <c r="BP204" s="279"/>
      <c r="BQ204" s="279"/>
      <c r="BR204" s="279" t="str">
        <f>BH204</f>
        <v xml:space="preserve">-20.000   </v>
      </c>
      <c r="BS204" s="279"/>
      <c r="BT204" s="279"/>
      <c r="BU204" s="284">
        <f t="shared" si="953"/>
        <v>2.2952774094238921</v>
      </c>
      <c r="BV204" s="283"/>
      <c r="BW204" s="283">
        <f t="shared" si="954"/>
        <v>1.772626067743313</v>
      </c>
      <c r="BX204" s="279"/>
      <c r="BY204" s="279"/>
      <c r="BZ204" s="279"/>
    </row>
    <row r="205" spans="1:78" hidden="1" outlineLevel="1" x14ac:dyDescent="0.3">
      <c r="AV205" s="13" t="str">
        <f t="shared" si="937"/>
        <v/>
      </c>
    </row>
    <row r="206" spans="1:78" collapsed="1" x14ac:dyDescent="0.3">
      <c r="A206" s="16" t="s">
        <v>752</v>
      </c>
      <c r="AV206" s="13" t="str">
        <f t="shared" si="937"/>
        <v/>
      </c>
    </row>
    <row r="207" spans="1:78" hidden="1" outlineLevel="1" x14ac:dyDescent="0.3">
      <c r="B207" s="13" t="s">
        <v>927</v>
      </c>
      <c r="D207" s="22" t="s">
        <v>758</v>
      </c>
      <c r="E207" s="13" t="s">
        <v>753</v>
      </c>
      <c r="F207" s="13" t="s">
        <v>754</v>
      </c>
      <c r="G207" s="22" t="s">
        <v>841</v>
      </c>
      <c r="H207" s="13" t="s">
        <v>805</v>
      </c>
      <c r="I207" s="13" t="s">
        <v>660</v>
      </c>
      <c r="J207" s="13" t="s">
        <v>144</v>
      </c>
      <c r="L207" s="13" t="s">
        <v>777</v>
      </c>
      <c r="M207" s="13" t="s">
        <v>778</v>
      </c>
      <c r="N207" s="13" t="str">
        <f t="shared" ref="N207:N234" si="958">IF(ISBLANK(E207),"-",E207&amp;H207&amp;P207&amp;"_f"&amp;Q207&amp;R207&amp;S207&amp;T207&amp;U207&amp;I207)</f>
        <v>VRFSysClgQRatio_fTwbToadbLowSI</v>
      </c>
      <c r="O207" s="13" t="s">
        <v>165</v>
      </c>
      <c r="P207" s="13" t="s">
        <v>160</v>
      </c>
      <c r="Q207" s="13" t="s">
        <v>116</v>
      </c>
      <c r="R207" s="13" t="s">
        <v>460</v>
      </c>
      <c r="S207" s="13" t="s">
        <v>798</v>
      </c>
      <c r="V207" s="33">
        <v>-0.52808179981407355</v>
      </c>
      <c r="W207" s="33">
        <v>0.10850675247366316</v>
      </c>
      <c r="X207" s="33">
        <v>-1.2966581052911805E-3</v>
      </c>
      <c r="Y207" s="33">
        <v>1.1389770109698476E-2</v>
      </c>
      <c r="Z207" s="33">
        <v>-1.4364807062595405E-4</v>
      </c>
      <c r="AA207" s="33">
        <v>-4.9894881755519209E-4</v>
      </c>
      <c r="AI207" s="13">
        <v>28</v>
      </c>
      <c r="AJ207" s="13">
        <v>15</v>
      </c>
      <c r="AK207" s="13">
        <v>32</v>
      </c>
      <c r="AL207" s="13">
        <v>-5</v>
      </c>
      <c r="AO207" s="13">
        <v>0</v>
      </c>
      <c r="AP207" s="120" t="str">
        <f t="shared" ref="AP207:AP234" si="959">IF(AO207=1,CONCATENATE(AQ207,AR207,AS207),"")</f>
        <v/>
      </c>
      <c r="AQ207" s="120" t="str">
        <f t="shared" ref="AQ207:AQ234" si="960">IF(AO207=1,CONCATENATE(AT207,AU207,AV207,AW207,IF(AX207="-","",$AX$15&amp;AX207),IF(AY207="-","",$AY$15&amp;AY207),IF(AZ207="-","",$AZ$15&amp;AZ207),IF(BA207="-","",$BA$15&amp;BA207),IF(BB207="-","",$BB$15&amp;BB207),IF(BC207="-","",$BC$15&amp;BC207)),"")</f>
        <v/>
      </c>
      <c r="AR207" s="120" t="str">
        <f t="shared" ref="AR207:AR234" si="961">IF(AO207=1,CONCATENATE(BD207,IF(BE207="-","",$BE$15&amp;BE207),IF(BF207="-","",$BF$15&amp;BF207),IF(BG207="-","",$BG$15&amp;BG207),IF(BH207="-","",$BH$15&amp;BH207),IF(BI207="-","",$BI$15&amp;BI207),IF(BJ207="-","",$BJ$15&amp;BJ207)),"")</f>
        <v/>
      </c>
      <c r="AS207" s="120" t="str">
        <f t="shared" ref="AS207:AS234" si="962">IF(AO207=1,CHAR(13)&amp;CHAR(10)&amp;"..","")</f>
        <v/>
      </c>
      <c r="AT207" s="13" t="str">
        <f t="shared" ref="AT207:AT234" si="963">IF(AO207=1,VLOOKUP(O207,$AT$2:$AV$13,2,0),"")</f>
        <v/>
      </c>
      <c r="AU207" s="13" t="str">
        <f t="shared" ref="AU207:AU234" si="964">REPT(" ",AU$14-LEN(AT207))</f>
        <v xml:space="preserve">               </v>
      </c>
      <c r="AV207" s="13" t="str">
        <f t="shared" si="937"/>
        <v/>
      </c>
      <c r="AW207" s="13" t="str">
        <f t="shared" ref="AW207:AW234" si="965">REPT(" ",$AW$14-LEN(AV207))</f>
        <v xml:space="preserve">                                                                 </v>
      </c>
      <c r="AX207" s="13" t="str">
        <f t="shared" ref="AX207:BC222" si="966">IF($AO207=1,IF(ISBLANK(V207),"-",CONCATENATE(TEXT(V207," 0.000000;-0.000000"),"  ")),"")</f>
        <v/>
      </c>
      <c r="AY207" s="13" t="str">
        <f t="shared" si="966"/>
        <v/>
      </c>
      <c r="AZ207" s="13" t="str">
        <f t="shared" si="966"/>
        <v/>
      </c>
      <c r="BA207" s="13" t="str">
        <f t="shared" si="966"/>
        <v/>
      </c>
      <c r="BB207" s="13" t="str">
        <f t="shared" si="966"/>
        <v/>
      </c>
      <c r="BC207" s="13" t="str">
        <f t="shared" si="966"/>
        <v/>
      </c>
      <c r="BE207" s="13" t="str">
        <f t="shared" ref="BE207:BJ234" si="967">IF($AO207=1,IF(AG207="","-",CONCATENATE(TEXT(AG207,"0.000"),"   ")),"")</f>
        <v/>
      </c>
      <c r="BF207" s="13" t="str">
        <f t="shared" si="967"/>
        <v/>
      </c>
      <c r="BG207" s="13" t="str">
        <f t="shared" si="967"/>
        <v/>
      </c>
      <c r="BH207" s="13" t="str">
        <f t="shared" si="967"/>
        <v/>
      </c>
      <c r="BI207" s="13" t="str">
        <f t="shared" si="967"/>
        <v/>
      </c>
      <c r="BJ207" s="13" t="str">
        <f t="shared" si="967"/>
        <v/>
      </c>
      <c r="BM207" s="13" t="str">
        <f t="shared" ref="BM207:BN234" si="968">Q207</f>
        <v>Twb</v>
      </c>
      <c r="BN207" s="13" t="str">
        <f t="shared" si="968"/>
        <v>Toadb</v>
      </c>
      <c r="BQ207" s="13">
        <f>AI207</f>
        <v>28</v>
      </c>
      <c r="BR207" s="13">
        <f t="shared" ref="BR207:BT221" si="969">AJ207</f>
        <v>15</v>
      </c>
      <c r="BS207" s="13">
        <f t="shared" si="969"/>
        <v>32</v>
      </c>
      <c r="BT207" s="13">
        <f t="shared" si="969"/>
        <v>-5</v>
      </c>
      <c r="BU207" s="104"/>
      <c r="BV207" s="115">
        <f t="shared" ref="BV207:BW215" si="970">$V207+$W207*BQ207+$X207*BQ207^2+$Y207*BS207+$Z207*BS207^2+$AA207*BQ207*BS207</f>
        <v>1.2638461935601319</v>
      </c>
      <c r="BW207" s="104">
        <f t="shared" si="970"/>
        <v>0.78465252260285634</v>
      </c>
    </row>
    <row r="208" spans="1:78" hidden="1" outlineLevel="1" x14ac:dyDescent="0.3">
      <c r="E208" s="13" t="s">
        <v>753</v>
      </c>
      <c r="F208" s="13" t="s">
        <v>755</v>
      </c>
      <c r="G208" s="22" t="s">
        <v>841</v>
      </c>
      <c r="H208" s="13" t="s">
        <v>805</v>
      </c>
      <c r="I208" s="13" t="s">
        <v>660</v>
      </c>
      <c r="J208" s="13" t="s">
        <v>144</v>
      </c>
      <c r="L208" s="13" t="s">
        <v>777</v>
      </c>
      <c r="M208" s="13" t="s">
        <v>779</v>
      </c>
      <c r="N208" s="13" t="str">
        <f t="shared" si="958"/>
        <v>VRFSysClgCapBdry_fTwbSI</v>
      </c>
      <c r="O208" s="13" t="s">
        <v>286</v>
      </c>
      <c r="P208" s="13" t="s">
        <v>801</v>
      </c>
      <c r="Q208" s="13" t="s">
        <v>116</v>
      </c>
      <c r="V208" s="33">
        <v>37.830798073405703</v>
      </c>
      <c r="W208" s="33">
        <v>-0.55469607364955575</v>
      </c>
      <c r="AI208" s="13">
        <v>28</v>
      </c>
      <c r="AJ208" s="13">
        <v>15</v>
      </c>
      <c r="AO208" s="13">
        <v>0</v>
      </c>
      <c r="AP208" s="120" t="str">
        <f t="shared" si="959"/>
        <v/>
      </c>
      <c r="AQ208" s="120" t="str">
        <f t="shared" si="960"/>
        <v/>
      </c>
      <c r="AR208" s="120" t="str">
        <f t="shared" si="961"/>
        <v/>
      </c>
      <c r="AS208" s="120" t="str">
        <f t="shared" si="962"/>
        <v/>
      </c>
      <c r="AT208" s="13" t="str">
        <f t="shared" si="963"/>
        <v/>
      </c>
      <c r="AU208" s="13" t="str">
        <f t="shared" si="964"/>
        <v xml:space="preserve">               </v>
      </c>
      <c r="AV208" s="13" t="str">
        <f t="shared" si="937"/>
        <v/>
      </c>
      <c r="AW208" s="13" t="str">
        <f t="shared" si="965"/>
        <v xml:space="preserve">                                                                 </v>
      </c>
      <c r="AX208" s="13" t="str">
        <f t="shared" si="966"/>
        <v/>
      </c>
      <c r="AY208" s="13" t="str">
        <f t="shared" si="966"/>
        <v/>
      </c>
      <c r="AZ208" s="13" t="str">
        <f t="shared" si="966"/>
        <v/>
      </c>
      <c r="BA208" s="13" t="str">
        <f t="shared" si="966"/>
        <v/>
      </c>
      <c r="BB208" s="13" t="str">
        <f t="shared" si="966"/>
        <v/>
      </c>
      <c r="BC208" s="13" t="str">
        <f t="shared" si="966"/>
        <v/>
      </c>
      <c r="BE208" s="13" t="str">
        <f t="shared" si="967"/>
        <v/>
      </c>
      <c r="BF208" s="13" t="str">
        <f t="shared" si="967"/>
        <v/>
      </c>
      <c r="BG208" s="13" t="str">
        <f t="shared" si="967"/>
        <v/>
      </c>
      <c r="BH208" s="13" t="str">
        <f t="shared" si="967"/>
        <v/>
      </c>
      <c r="BI208" s="13" t="str">
        <f t="shared" si="967"/>
        <v/>
      </c>
      <c r="BJ208" s="13" t="str">
        <f t="shared" si="967"/>
        <v/>
      </c>
      <c r="BM208" s="13" t="str">
        <f t="shared" si="968"/>
        <v>Twb</v>
      </c>
      <c r="BQ208" s="13">
        <f t="shared" ref="BQ208:BQ215" si="971">AI208</f>
        <v>28</v>
      </c>
      <c r="BR208" s="13">
        <f t="shared" si="969"/>
        <v>15</v>
      </c>
      <c r="BU208" s="104"/>
      <c r="BV208" s="115">
        <f t="shared" si="970"/>
        <v>22.299308011218141</v>
      </c>
      <c r="BW208" s="104">
        <f t="shared" si="970"/>
        <v>29.510356968662364</v>
      </c>
    </row>
    <row r="209" spans="2:75" hidden="1" outlineLevel="1" x14ac:dyDescent="0.3">
      <c r="E209" s="13" t="s">
        <v>753</v>
      </c>
      <c r="F209" s="13" t="s">
        <v>756</v>
      </c>
      <c r="G209" s="22" t="s">
        <v>841</v>
      </c>
      <c r="H209" s="13" t="s">
        <v>805</v>
      </c>
      <c r="I209" s="13" t="s">
        <v>660</v>
      </c>
      <c r="J209" s="13" t="s">
        <v>144</v>
      </c>
      <c r="L209" s="13" t="s">
        <v>777</v>
      </c>
      <c r="M209" s="13" t="s">
        <v>780</v>
      </c>
      <c r="N209" s="13" t="str">
        <f t="shared" si="958"/>
        <v>VRFSysClgQRatio_fTwbToadbHiSI</v>
      </c>
      <c r="O209" s="13" t="s">
        <v>165</v>
      </c>
      <c r="P209" s="13" t="s">
        <v>160</v>
      </c>
      <c r="Q209" s="13" t="s">
        <v>116</v>
      </c>
      <c r="R209" s="13" t="s">
        <v>460</v>
      </c>
      <c r="S209" s="13" t="s">
        <v>799</v>
      </c>
      <c r="V209" s="33">
        <v>-0.90682268573604685</v>
      </c>
      <c r="W209" s="33">
        <v>0.15953535010152778</v>
      </c>
      <c r="X209" s="33">
        <v>-2.594790903347828E-3</v>
      </c>
      <c r="Y209" s="33">
        <v>5.2256215945808661E-3</v>
      </c>
      <c r="Z209" s="33">
        <v>-2.1870702048641042E-5</v>
      </c>
      <c r="AA209" s="33">
        <v>-5.5824946859047645E-4</v>
      </c>
      <c r="AI209" s="13">
        <v>28</v>
      </c>
      <c r="AJ209" s="13">
        <v>15</v>
      </c>
      <c r="AK209" s="13">
        <v>45</v>
      </c>
      <c r="AL209" s="13">
        <v>22</v>
      </c>
      <c r="AO209" s="13">
        <v>0</v>
      </c>
      <c r="AP209" s="120" t="str">
        <f t="shared" si="959"/>
        <v/>
      </c>
      <c r="AQ209" s="120" t="str">
        <f t="shared" si="960"/>
        <v/>
      </c>
      <c r="AR209" s="120" t="str">
        <f t="shared" si="961"/>
        <v/>
      </c>
      <c r="AS209" s="120" t="str">
        <f t="shared" si="962"/>
        <v/>
      </c>
      <c r="AT209" s="13" t="str">
        <f t="shared" si="963"/>
        <v/>
      </c>
      <c r="AU209" s="13" t="str">
        <f t="shared" si="964"/>
        <v xml:space="preserve">               </v>
      </c>
      <c r="AV209" s="13" t="str">
        <f t="shared" si="937"/>
        <v/>
      </c>
      <c r="AW209" s="13" t="str">
        <f t="shared" si="965"/>
        <v xml:space="preserve">                                                                 </v>
      </c>
      <c r="AX209" s="13" t="str">
        <f t="shared" si="966"/>
        <v/>
      </c>
      <c r="AY209" s="13" t="str">
        <f t="shared" si="966"/>
        <v/>
      </c>
      <c r="AZ209" s="13" t="str">
        <f t="shared" si="966"/>
        <v/>
      </c>
      <c r="BA209" s="13" t="str">
        <f t="shared" si="966"/>
        <v/>
      </c>
      <c r="BB209" s="13" t="str">
        <f t="shared" si="966"/>
        <v/>
      </c>
      <c r="BC209" s="13" t="str">
        <f t="shared" si="966"/>
        <v/>
      </c>
      <c r="BE209" s="13" t="str">
        <f t="shared" si="967"/>
        <v/>
      </c>
      <c r="BF209" s="13" t="str">
        <f t="shared" si="967"/>
        <v/>
      </c>
      <c r="BG209" s="13" t="str">
        <f t="shared" si="967"/>
        <v/>
      </c>
      <c r="BH209" s="13" t="str">
        <f t="shared" si="967"/>
        <v/>
      </c>
      <c r="BI209" s="13" t="str">
        <f t="shared" si="967"/>
        <v/>
      </c>
      <c r="BJ209" s="13" t="str">
        <f t="shared" si="967"/>
        <v/>
      </c>
      <c r="BM209" s="13" t="str">
        <f t="shared" si="968"/>
        <v>Twb</v>
      </c>
      <c r="BN209" s="13" t="str">
        <f t="shared" si="968"/>
        <v>Toadb</v>
      </c>
      <c r="BQ209" s="13">
        <f t="shared" si="971"/>
        <v>28</v>
      </c>
      <c r="BR209" s="13">
        <f t="shared" si="969"/>
        <v>15</v>
      </c>
      <c r="BS209" s="13">
        <f t="shared" si="969"/>
        <v>45</v>
      </c>
      <c r="BT209" s="13">
        <f t="shared" si="969"/>
        <v>22</v>
      </c>
      <c r="BU209" s="104"/>
      <c r="BV209" s="115">
        <f t="shared" si="970"/>
        <v>1.0133215185656748</v>
      </c>
      <c r="BW209" s="104">
        <f t="shared" si="970"/>
        <v>0.82253554318798805</v>
      </c>
    </row>
    <row r="210" spans="2:75" hidden="1" outlineLevel="1" x14ac:dyDescent="0.3">
      <c r="E210" s="13" t="s">
        <v>753</v>
      </c>
      <c r="F210" s="13" t="s">
        <v>757</v>
      </c>
      <c r="G210" s="22" t="s">
        <v>841</v>
      </c>
      <c r="H210" s="13" t="s">
        <v>805</v>
      </c>
      <c r="J210" s="13" t="s">
        <v>144</v>
      </c>
      <c r="L210" s="13" t="s">
        <v>777</v>
      </c>
      <c r="M210" s="13" t="s">
        <v>781</v>
      </c>
      <c r="N210" s="13" t="str">
        <f t="shared" si="958"/>
        <v>VRFSysClgQRatio_fCombRat</v>
      </c>
      <c r="O210" s="13" t="s">
        <v>162</v>
      </c>
      <c r="P210" s="13" t="s">
        <v>160</v>
      </c>
      <c r="Q210" s="13" t="s">
        <v>802</v>
      </c>
      <c r="V210" s="33">
        <v>-0.4573533708310703</v>
      </c>
      <c r="W210" s="33">
        <v>2.2993155651009354</v>
      </c>
      <c r="X210" s="33">
        <v>-0.85255663151014405</v>
      </c>
      <c r="AI210" s="13">
        <v>1.3</v>
      </c>
      <c r="AJ210" s="13">
        <v>0.5</v>
      </c>
      <c r="AO210" s="13">
        <v>0</v>
      </c>
      <c r="AP210" s="120" t="str">
        <f t="shared" si="959"/>
        <v/>
      </c>
      <c r="AQ210" s="120" t="str">
        <f t="shared" si="960"/>
        <v/>
      </c>
      <c r="AR210" s="120" t="str">
        <f t="shared" si="961"/>
        <v/>
      </c>
      <c r="AS210" s="120" t="str">
        <f t="shared" si="962"/>
        <v/>
      </c>
      <c r="AT210" s="13" t="str">
        <f t="shared" si="963"/>
        <v/>
      </c>
      <c r="AU210" s="13" t="str">
        <f t="shared" si="964"/>
        <v xml:space="preserve">               </v>
      </c>
      <c r="AV210" s="13" t="str">
        <f t="shared" si="937"/>
        <v/>
      </c>
      <c r="AW210" s="13" t="str">
        <f t="shared" si="965"/>
        <v xml:space="preserve">                                                                 </v>
      </c>
      <c r="AX210" s="13" t="str">
        <f t="shared" si="966"/>
        <v/>
      </c>
      <c r="AY210" s="13" t="str">
        <f t="shared" si="966"/>
        <v/>
      </c>
      <c r="AZ210" s="13" t="str">
        <f t="shared" si="966"/>
        <v/>
      </c>
      <c r="BA210" s="13" t="str">
        <f t="shared" si="966"/>
        <v/>
      </c>
      <c r="BB210" s="13" t="str">
        <f t="shared" si="966"/>
        <v/>
      </c>
      <c r="BC210" s="13" t="str">
        <f t="shared" si="966"/>
        <v/>
      </c>
      <c r="BE210" s="13" t="str">
        <f t="shared" si="967"/>
        <v/>
      </c>
      <c r="BF210" s="13" t="str">
        <f t="shared" si="967"/>
        <v/>
      </c>
      <c r="BG210" s="13" t="str">
        <f t="shared" si="967"/>
        <v/>
      </c>
      <c r="BH210" s="13" t="str">
        <f t="shared" si="967"/>
        <v/>
      </c>
      <c r="BI210" s="13" t="str">
        <f t="shared" si="967"/>
        <v/>
      </c>
      <c r="BJ210" s="13" t="str">
        <f t="shared" si="967"/>
        <v/>
      </c>
      <c r="BM210" s="13" t="str">
        <f t="shared" si="968"/>
        <v>CombRat</v>
      </c>
      <c r="BQ210" s="13">
        <f t="shared" si="971"/>
        <v>1.3</v>
      </c>
      <c r="BR210" s="13">
        <f t="shared" si="969"/>
        <v>0.5</v>
      </c>
      <c r="BU210" s="104"/>
      <c r="BV210" s="115">
        <f t="shared" si="970"/>
        <v>1.0909361565480022</v>
      </c>
      <c r="BW210" s="104">
        <f t="shared" si="970"/>
        <v>0.47916525384186137</v>
      </c>
    </row>
    <row r="211" spans="2:75" hidden="1" outlineLevel="1" x14ac:dyDescent="0.3">
      <c r="E211" s="13" t="s">
        <v>753</v>
      </c>
      <c r="F211" s="13" t="s">
        <v>762</v>
      </c>
      <c r="G211" s="22" t="s">
        <v>841</v>
      </c>
      <c r="H211" s="13" t="s">
        <v>807</v>
      </c>
      <c r="I211" s="13" t="s">
        <v>660</v>
      </c>
      <c r="J211" s="13" t="s">
        <v>144</v>
      </c>
      <c r="L211" s="13" t="s">
        <v>777</v>
      </c>
      <c r="M211" s="13" t="s">
        <v>786</v>
      </c>
      <c r="N211" s="13" t="str">
        <f t="shared" si="958"/>
        <v>VRFSysHtRcvryClgQRatio_fTwbToadbSI</v>
      </c>
      <c r="O211" s="13" t="s">
        <v>165</v>
      </c>
      <c r="P211" s="13" t="s">
        <v>160</v>
      </c>
      <c r="Q211" s="13" t="s">
        <v>116</v>
      </c>
      <c r="R211" s="13" t="s">
        <v>460</v>
      </c>
      <c r="V211" s="33">
        <v>-0.52808179981407355</v>
      </c>
      <c r="W211" s="33">
        <v>0.10850675247366316</v>
      </c>
      <c r="X211" s="33">
        <v>-1.2966581052911805E-3</v>
      </c>
      <c r="Y211" s="33">
        <v>1.1389770109698476E-2</v>
      </c>
      <c r="Z211" s="33">
        <v>-1.4364807062595405E-4</v>
      </c>
      <c r="AA211" s="33">
        <v>-4.9894881755519209E-4</v>
      </c>
      <c r="AI211" s="13">
        <v>28</v>
      </c>
      <c r="AJ211" s="13">
        <v>15</v>
      </c>
      <c r="AK211" s="13">
        <v>45</v>
      </c>
      <c r="AL211" s="13">
        <v>-5</v>
      </c>
      <c r="AO211" s="13">
        <v>0</v>
      </c>
      <c r="AP211" s="120" t="str">
        <f t="shared" si="959"/>
        <v/>
      </c>
      <c r="AQ211" s="120" t="str">
        <f t="shared" si="960"/>
        <v/>
      </c>
      <c r="AR211" s="120" t="str">
        <f t="shared" si="961"/>
        <v/>
      </c>
      <c r="AS211" s="120" t="str">
        <f t="shared" si="962"/>
        <v/>
      </c>
      <c r="AT211" s="13" t="str">
        <f t="shared" si="963"/>
        <v/>
      </c>
      <c r="AU211" s="13" t="str">
        <f t="shared" si="964"/>
        <v xml:space="preserve">               </v>
      </c>
      <c r="AV211" s="13" t="str">
        <f t="shared" si="937"/>
        <v/>
      </c>
      <c r="AW211" s="13" t="str">
        <f t="shared" si="965"/>
        <v xml:space="preserve">                                                                 </v>
      </c>
      <c r="AX211" s="13" t="str">
        <f t="shared" si="966"/>
        <v/>
      </c>
      <c r="AY211" s="13" t="str">
        <f t="shared" si="966"/>
        <v/>
      </c>
      <c r="AZ211" s="13" t="str">
        <f t="shared" si="966"/>
        <v/>
      </c>
      <c r="BA211" s="13" t="str">
        <f t="shared" si="966"/>
        <v/>
      </c>
      <c r="BB211" s="13" t="str">
        <f t="shared" si="966"/>
        <v/>
      </c>
      <c r="BC211" s="13" t="str">
        <f t="shared" si="966"/>
        <v/>
      </c>
      <c r="BE211" s="13" t="str">
        <f t="shared" si="967"/>
        <v/>
      </c>
      <c r="BF211" s="13" t="str">
        <f t="shared" si="967"/>
        <v/>
      </c>
      <c r="BG211" s="13" t="str">
        <f t="shared" si="967"/>
        <v/>
      </c>
      <c r="BH211" s="13" t="str">
        <f t="shared" si="967"/>
        <v/>
      </c>
      <c r="BI211" s="13" t="str">
        <f t="shared" si="967"/>
        <v/>
      </c>
      <c r="BJ211" s="13" t="str">
        <f t="shared" si="967"/>
        <v/>
      </c>
      <c r="BM211" s="13" t="str">
        <f t="shared" si="968"/>
        <v>Twb</v>
      </c>
      <c r="BN211" s="13" t="str">
        <f t="shared" si="968"/>
        <v>Toadb</v>
      </c>
      <c r="BQ211" s="13">
        <f t="shared" si="971"/>
        <v>28</v>
      </c>
      <c r="BR211" s="13">
        <f t="shared" si="969"/>
        <v>15</v>
      </c>
      <c r="BS211" s="13">
        <f t="shared" si="969"/>
        <v>45</v>
      </c>
      <c r="BT211" s="13">
        <f t="shared" si="969"/>
        <v>-5</v>
      </c>
      <c r="BU211" s="104"/>
      <c r="BV211" s="115">
        <f t="shared" si="970"/>
        <v>1.0865041166995419</v>
      </c>
      <c r="BW211" s="104">
        <f t="shared" si="970"/>
        <v>0.78465252260285634</v>
      </c>
    </row>
    <row r="212" spans="2:75" hidden="1" outlineLevel="1" x14ac:dyDescent="0.3">
      <c r="E212" s="13" t="s">
        <v>753</v>
      </c>
      <c r="F212" s="13" t="s">
        <v>759</v>
      </c>
      <c r="G212" s="22" t="s">
        <v>841</v>
      </c>
      <c r="H212" s="13" t="s">
        <v>806</v>
      </c>
      <c r="I212" s="13" t="s">
        <v>660</v>
      </c>
      <c r="J212" s="13" t="s">
        <v>144</v>
      </c>
      <c r="L212" s="13" t="s">
        <v>777</v>
      </c>
      <c r="M212" s="13" t="s">
        <v>782</v>
      </c>
      <c r="N212" s="13" t="str">
        <f t="shared" si="958"/>
        <v>VRFSysHtgQRatio_fTdbToadbLowSI</v>
      </c>
      <c r="O212" s="13" t="s">
        <v>165</v>
      </c>
      <c r="P212" s="13" t="s">
        <v>160</v>
      </c>
      <c r="Q212" s="13" t="s">
        <v>117</v>
      </c>
      <c r="R212" s="13" t="s">
        <v>460</v>
      </c>
      <c r="S212" s="13" t="s">
        <v>798</v>
      </c>
      <c r="V212" s="33">
        <v>0.95034152101581315</v>
      </c>
      <c r="W212" s="33">
        <v>3.176195593296266E-3</v>
      </c>
      <c r="X212" s="33">
        <v>-2.4003853457861565E-4</v>
      </c>
      <c r="Y212" s="33">
        <v>3.1418757591105198E-2</v>
      </c>
      <c r="Z212" s="33">
        <v>3.6330996033134128E-4</v>
      </c>
      <c r="AA212" s="33">
        <v>-3.3430525246493597E-4</v>
      </c>
      <c r="AI212" s="13">
        <v>25</v>
      </c>
      <c r="AJ212" s="13">
        <v>12</v>
      </c>
      <c r="AK212" s="13">
        <v>7</v>
      </c>
      <c r="AL212" s="13">
        <v>-20</v>
      </c>
      <c r="AO212" s="13">
        <v>0</v>
      </c>
      <c r="AP212" s="120" t="str">
        <f t="shared" si="959"/>
        <v/>
      </c>
      <c r="AQ212" s="120" t="str">
        <f t="shared" si="960"/>
        <v/>
      </c>
      <c r="AR212" s="120" t="str">
        <f t="shared" si="961"/>
        <v/>
      </c>
      <c r="AS212" s="120" t="str">
        <f t="shared" si="962"/>
        <v/>
      </c>
      <c r="AT212" s="13" t="str">
        <f t="shared" si="963"/>
        <v/>
      </c>
      <c r="AU212" s="13" t="str">
        <f t="shared" si="964"/>
        <v xml:space="preserve">               </v>
      </c>
      <c r="AV212" s="13" t="str">
        <f t="shared" si="937"/>
        <v/>
      </c>
      <c r="AW212" s="13" t="str">
        <f t="shared" si="965"/>
        <v xml:space="preserve">                                                                 </v>
      </c>
      <c r="AX212" s="13" t="str">
        <f t="shared" si="966"/>
        <v/>
      </c>
      <c r="AY212" s="13" t="str">
        <f t="shared" si="966"/>
        <v/>
      </c>
      <c r="AZ212" s="13" t="str">
        <f t="shared" si="966"/>
        <v/>
      </c>
      <c r="BA212" s="13" t="str">
        <f t="shared" si="966"/>
        <v/>
      </c>
      <c r="BB212" s="13" t="str">
        <f t="shared" si="966"/>
        <v/>
      </c>
      <c r="BC212" s="13" t="str">
        <f t="shared" si="966"/>
        <v/>
      </c>
      <c r="BE212" s="13" t="str">
        <f t="shared" si="967"/>
        <v/>
      </c>
      <c r="BF212" s="13" t="str">
        <f t="shared" si="967"/>
        <v/>
      </c>
      <c r="BG212" s="13" t="str">
        <f t="shared" si="967"/>
        <v/>
      </c>
      <c r="BH212" s="13" t="str">
        <f t="shared" si="967"/>
        <v/>
      </c>
      <c r="BI212" s="13" t="str">
        <f t="shared" si="967"/>
        <v/>
      </c>
      <c r="BJ212" s="13" t="str">
        <f t="shared" si="967"/>
        <v/>
      </c>
      <c r="BM212" s="13" t="str">
        <f t="shared" si="968"/>
        <v>Tdb</v>
      </c>
      <c r="BN212" s="13" t="str">
        <f t="shared" si="968"/>
        <v>Toadb</v>
      </c>
      <c r="BQ212" s="13">
        <f t="shared" si="971"/>
        <v>25</v>
      </c>
      <c r="BR212" s="13">
        <f t="shared" si="969"/>
        <v>12</v>
      </c>
      <c r="BS212" s="13">
        <f t="shared" si="969"/>
        <v>7</v>
      </c>
      <c r="BT212" s="13">
        <f t="shared" si="969"/>
        <v>-20</v>
      </c>
      <c r="BU212" s="104"/>
      <c r="BV212" s="115">
        <f t="shared" si="970"/>
        <v>1.0589523987491933</v>
      </c>
      <c r="BW212" s="104">
        <f t="shared" si="970"/>
        <v>0.55107241205806501</v>
      </c>
    </row>
    <row r="213" spans="2:75" hidden="1" outlineLevel="1" x14ac:dyDescent="0.3">
      <c r="E213" s="13" t="s">
        <v>753</v>
      </c>
      <c r="F213" s="13" t="s">
        <v>815</v>
      </c>
      <c r="G213" s="22" t="s">
        <v>841</v>
      </c>
      <c r="H213" s="13" t="s">
        <v>806</v>
      </c>
      <c r="I213" s="13" t="s">
        <v>660</v>
      </c>
      <c r="J213" s="13" t="s">
        <v>144</v>
      </c>
      <c r="L213" s="13" t="s">
        <v>777</v>
      </c>
      <c r="M213" s="13" t="s">
        <v>783</v>
      </c>
      <c r="N213" s="13" t="str">
        <f t="shared" si="958"/>
        <v>VRFSysHtgCapBdry_fTdbSI</v>
      </c>
      <c r="O213" s="13" t="s">
        <v>162</v>
      </c>
      <c r="P213" s="13" t="s">
        <v>801</v>
      </c>
      <c r="Q213" s="13" t="s">
        <v>117</v>
      </c>
      <c r="V213" s="33">
        <v>-38.662146343899053</v>
      </c>
      <c r="W213" s="33">
        <v>5.2351709478316586</v>
      </c>
      <c r="X213" s="33">
        <v>-0.15369276785977504</v>
      </c>
      <c r="AI213" s="13">
        <v>25</v>
      </c>
      <c r="AJ213" s="13">
        <v>12</v>
      </c>
      <c r="AO213" s="13">
        <v>0</v>
      </c>
      <c r="AP213" s="120" t="str">
        <f t="shared" si="959"/>
        <v/>
      </c>
      <c r="AQ213" s="120" t="str">
        <f t="shared" si="960"/>
        <v/>
      </c>
      <c r="AR213" s="120" t="str">
        <f t="shared" si="961"/>
        <v/>
      </c>
      <c r="AS213" s="120" t="str">
        <f t="shared" si="962"/>
        <v/>
      </c>
      <c r="AT213" s="13" t="str">
        <f t="shared" si="963"/>
        <v/>
      </c>
      <c r="AU213" s="13" t="str">
        <f t="shared" si="964"/>
        <v xml:space="preserve">               </v>
      </c>
      <c r="AV213" s="13" t="str">
        <f t="shared" si="937"/>
        <v/>
      </c>
      <c r="AW213" s="13" t="str">
        <f t="shared" si="965"/>
        <v xml:space="preserve">                                                                 </v>
      </c>
      <c r="AX213" s="13" t="str">
        <f t="shared" si="966"/>
        <v/>
      </c>
      <c r="AY213" s="13" t="str">
        <f t="shared" si="966"/>
        <v/>
      </c>
      <c r="AZ213" s="13" t="str">
        <f t="shared" si="966"/>
        <v/>
      </c>
      <c r="BA213" s="13" t="str">
        <f t="shared" si="966"/>
        <v/>
      </c>
      <c r="BB213" s="13" t="str">
        <f t="shared" si="966"/>
        <v/>
      </c>
      <c r="BC213" s="13" t="str">
        <f t="shared" si="966"/>
        <v/>
      </c>
      <c r="BE213" s="13" t="str">
        <f t="shared" si="967"/>
        <v/>
      </c>
      <c r="BF213" s="13" t="str">
        <f t="shared" si="967"/>
        <v/>
      </c>
      <c r="BG213" s="13" t="str">
        <f t="shared" si="967"/>
        <v/>
      </c>
      <c r="BH213" s="13" t="str">
        <f t="shared" si="967"/>
        <v/>
      </c>
      <c r="BI213" s="13" t="str">
        <f t="shared" si="967"/>
        <v/>
      </c>
      <c r="BJ213" s="13" t="str">
        <f t="shared" si="967"/>
        <v/>
      </c>
      <c r="BM213" s="13" t="str">
        <f t="shared" si="968"/>
        <v>Tdb</v>
      </c>
      <c r="BQ213" s="13">
        <f t="shared" si="971"/>
        <v>25</v>
      </c>
      <c r="BR213" s="13">
        <f t="shared" si="969"/>
        <v>12</v>
      </c>
      <c r="BU213" s="104"/>
      <c r="BV213" s="115">
        <f t="shared" si="970"/>
        <v>-3.840852560466999</v>
      </c>
      <c r="BW213" s="104">
        <f t="shared" si="970"/>
        <v>2.0281464582732447</v>
      </c>
    </row>
    <row r="214" spans="2:75" hidden="1" outlineLevel="1" x14ac:dyDescent="0.3">
      <c r="E214" s="13" t="s">
        <v>753</v>
      </c>
      <c r="F214" s="13" t="s">
        <v>760</v>
      </c>
      <c r="G214" s="22" t="s">
        <v>841</v>
      </c>
      <c r="H214" s="13" t="s">
        <v>806</v>
      </c>
      <c r="I214" s="13" t="s">
        <v>660</v>
      </c>
      <c r="J214" s="13" t="s">
        <v>144</v>
      </c>
      <c r="L214" s="13" t="s">
        <v>777</v>
      </c>
      <c r="M214" s="13" t="s">
        <v>784</v>
      </c>
      <c r="N214" s="13" t="str">
        <f t="shared" si="958"/>
        <v>VRFSysHtgQRatio_fTdbToadbHiSI</v>
      </c>
      <c r="O214" s="13" t="s">
        <v>165</v>
      </c>
      <c r="P214" s="13" t="s">
        <v>160</v>
      </c>
      <c r="Q214" s="13" t="s">
        <v>117</v>
      </c>
      <c r="R214" s="13" t="s">
        <v>460</v>
      </c>
      <c r="S214" s="13" t="s">
        <v>799</v>
      </c>
      <c r="V214" s="33">
        <v>0.19619368598671386</v>
      </c>
      <c r="W214" s="33">
        <v>8.8252067746086293E-2</v>
      </c>
      <c r="X214" s="33">
        <v>-2.5201724061301276E-3</v>
      </c>
      <c r="Y214" s="33">
        <v>4.0784262256617701E-2</v>
      </c>
      <c r="Z214" s="33">
        <v>-1.8179740698207579E-4</v>
      </c>
      <c r="AA214" s="33">
        <v>-1.4010741902207849E-3</v>
      </c>
      <c r="AI214" s="13">
        <v>25</v>
      </c>
      <c r="AJ214" s="13">
        <v>12</v>
      </c>
      <c r="AK214" s="13">
        <v>16</v>
      </c>
      <c r="AL214" s="13">
        <v>-5</v>
      </c>
      <c r="AO214" s="13">
        <v>0</v>
      </c>
      <c r="AP214" s="120" t="str">
        <f t="shared" si="959"/>
        <v/>
      </c>
      <c r="AQ214" s="120" t="str">
        <f t="shared" si="960"/>
        <v/>
      </c>
      <c r="AR214" s="120" t="str">
        <f t="shared" si="961"/>
        <v/>
      </c>
      <c r="AS214" s="120" t="str">
        <f t="shared" si="962"/>
        <v/>
      </c>
      <c r="AT214" s="13" t="str">
        <f t="shared" si="963"/>
        <v/>
      </c>
      <c r="AU214" s="13" t="str">
        <f t="shared" si="964"/>
        <v xml:space="preserve">               </v>
      </c>
      <c r="AV214" s="13" t="str">
        <f t="shared" si="937"/>
        <v/>
      </c>
      <c r="AW214" s="13" t="str">
        <f t="shared" si="965"/>
        <v xml:space="preserve">                                                                 </v>
      </c>
      <c r="AX214" s="13" t="str">
        <f t="shared" si="966"/>
        <v/>
      </c>
      <c r="AY214" s="13" t="str">
        <f t="shared" si="966"/>
        <v/>
      </c>
      <c r="AZ214" s="13" t="str">
        <f t="shared" si="966"/>
        <v/>
      </c>
      <c r="BA214" s="13" t="str">
        <f t="shared" si="966"/>
        <v/>
      </c>
      <c r="BB214" s="13" t="str">
        <f t="shared" si="966"/>
        <v/>
      </c>
      <c r="BC214" s="13" t="str">
        <f t="shared" si="966"/>
        <v/>
      </c>
      <c r="BE214" s="13" t="str">
        <f t="shared" si="967"/>
        <v/>
      </c>
      <c r="BF214" s="13" t="str">
        <f t="shared" si="967"/>
        <v/>
      </c>
      <c r="BG214" s="13" t="str">
        <f t="shared" si="967"/>
        <v/>
      </c>
      <c r="BH214" s="13" t="str">
        <f t="shared" si="967"/>
        <v/>
      </c>
      <c r="BI214" s="13" t="str">
        <f t="shared" si="967"/>
        <v/>
      </c>
      <c r="BJ214" s="13" t="str">
        <f t="shared" si="967"/>
        <v/>
      </c>
      <c r="BM214" s="13" t="str">
        <f t="shared" si="968"/>
        <v>Tdb</v>
      </c>
      <c r="BN214" s="13" t="str">
        <f t="shared" si="968"/>
        <v>Toadb</v>
      </c>
      <c r="BQ214" s="13">
        <f t="shared" si="971"/>
        <v>25</v>
      </c>
      <c r="BR214" s="13">
        <f t="shared" si="969"/>
        <v>12</v>
      </c>
      <c r="BS214" s="13">
        <f t="shared" si="969"/>
        <v>16</v>
      </c>
      <c r="BT214" s="13">
        <f t="shared" si="969"/>
        <v>-5</v>
      </c>
      <c r="BU214" s="104"/>
      <c r="BV214" s="115">
        <f t="shared" si="970"/>
        <v>0.8729660096376991</v>
      </c>
      <c r="BW214" s="104">
        <f t="shared" si="970"/>
        <v>0.7679118774126179</v>
      </c>
    </row>
    <row r="215" spans="2:75" hidden="1" outlineLevel="1" x14ac:dyDescent="0.3">
      <c r="E215" s="13" t="s">
        <v>753</v>
      </c>
      <c r="F215" s="13" t="s">
        <v>761</v>
      </c>
      <c r="G215" s="22" t="s">
        <v>841</v>
      </c>
      <c r="H215" s="13" t="s">
        <v>806</v>
      </c>
      <c r="J215" s="13" t="s">
        <v>144</v>
      </c>
      <c r="L215" s="13" t="s">
        <v>777</v>
      </c>
      <c r="M215" s="13" t="s">
        <v>785</v>
      </c>
      <c r="N215" s="13" t="str">
        <f t="shared" si="958"/>
        <v>VRFSysHtgQRatio_fCombRat</v>
      </c>
      <c r="O215" s="13" t="s">
        <v>162</v>
      </c>
      <c r="P215" s="13" t="s">
        <v>160</v>
      </c>
      <c r="Q215" s="13" t="s">
        <v>802</v>
      </c>
      <c r="V215" s="33">
        <v>-0.48562281567377696</v>
      </c>
      <c r="W215" s="33">
        <v>2.373916681045698</v>
      </c>
      <c r="X215" s="33">
        <v>-0.89931201754924539</v>
      </c>
      <c r="AI215" s="13">
        <v>1.3</v>
      </c>
      <c r="AJ215" s="13">
        <v>0.5</v>
      </c>
      <c r="AO215" s="13">
        <v>0</v>
      </c>
      <c r="AP215" s="120" t="str">
        <f t="shared" si="959"/>
        <v/>
      </c>
      <c r="AQ215" s="120" t="str">
        <f t="shared" si="960"/>
        <v/>
      </c>
      <c r="AR215" s="120" t="str">
        <f t="shared" si="961"/>
        <v/>
      </c>
      <c r="AS215" s="120" t="str">
        <f t="shared" si="962"/>
        <v/>
      </c>
      <c r="AT215" s="13" t="str">
        <f t="shared" si="963"/>
        <v/>
      </c>
      <c r="AU215" s="13" t="str">
        <f t="shared" si="964"/>
        <v xml:space="preserve">               </v>
      </c>
      <c r="AV215" s="13" t="str">
        <f t="shared" si="937"/>
        <v/>
      </c>
      <c r="AW215" s="13" t="str">
        <f t="shared" si="965"/>
        <v xml:space="preserve">                                                                 </v>
      </c>
      <c r="AX215" s="13" t="str">
        <f t="shared" si="966"/>
        <v/>
      </c>
      <c r="AY215" s="13" t="str">
        <f t="shared" si="966"/>
        <v/>
      </c>
      <c r="AZ215" s="13" t="str">
        <f t="shared" si="966"/>
        <v/>
      </c>
      <c r="BA215" s="13" t="str">
        <f t="shared" si="966"/>
        <v/>
      </c>
      <c r="BB215" s="13" t="str">
        <f t="shared" si="966"/>
        <v/>
      </c>
      <c r="BC215" s="13" t="str">
        <f t="shared" si="966"/>
        <v/>
      </c>
      <c r="BE215" s="13" t="str">
        <f t="shared" si="967"/>
        <v/>
      </c>
      <c r="BF215" s="13" t="str">
        <f t="shared" si="967"/>
        <v/>
      </c>
      <c r="BG215" s="13" t="str">
        <f t="shared" si="967"/>
        <v/>
      </c>
      <c r="BH215" s="13" t="str">
        <f t="shared" si="967"/>
        <v/>
      </c>
      <c r="BI215" s="13" t="str">
        <f t="shared" si="967"/>
        <v/>
      </c>
      <c r="BJ215" s="13" t="str">
        <f t="shared" si="967"/>
        <v/>
      </c>
      <c r="BM215" s="13" t="str">
        <f t="shared" si="968"/>
        <v>CombRat</v>
      </c>
      <c r="BQ215" s="13">
        <f t="shared" si="971"/>
        <v>1.3</v>
      </c>
      <c r="BR215" s="13">
        <f t="shared" si="969"/>
        <v>0.5</v>
      </c>
      <c r="BU215" s="104"/>
      <c r="BV215" s="115">
        <f t="shared" si="970"/>
        <v>1.0806315600274055</v>
      </c>
      <c r="BW215" s="104">
        <f t="shared" si="970"/>
        <v>0.4765075204617607</v>
      </c>
    </row>
    <row r="216" spans="2:75" hidden="1" outlineLevel="1" x14ac:dyDescent="0.3">
      <c r="E216" s="13" t="s">
        <v>753</v>
      </c>
      <c r="F216" s="13" t="s">
        <v>763</v>
      </c>
      <c r="G216" s="22" t="s">
        <v>841</v>
      </c>
      <c r="H216" s="13" t="s">
        <v>808</v>
      </c>
      <c r="I216" s="13" t="s">
        <v>660</v>
      </c>
      <c r="J216" s="13" t="s">
        <v>144</v>
      </c>
      <c r="L216" s="13" t="s">
        <v>777</v>
      </c>
      <c r="M216" s="13" t="s">
        <v>787</v>
      </c>
      <c r="N216" s="13" t="str">
        <f t="shared" si="958"/>
        <v>VRFSysHtRcvryHtgQRatio_fTdbToadbSI</v>
      </c>
      <c r="O216" s="13" t="s">
        <v>165</v>
      </c>
      <c r="P216" s="13" t="s">
        <v>160</v>
      </c>
      <c r="Q216" s="13" t="s">
        <v>117</v>
      </c>
      <c r="R216" s="13" t="s">
        <v>460</v>
      </c>
      <c r="V216" s="33">
        <v>0.19619368598671386</v>
      </c>
      <c r="W216" s="33">
        <v>8.8252067746086293E-2</v>
      </c>
      <c r="X216" s="33">
        <v>-2.5201724061301276E-3</v>
      </c>
      <c r="Y216" s="33">
        <v>4.0784262256617701E-2</v>
      </c>
      <c r="Z216" s="33">
        <v>-1.8179740698207579E-4</v>
      </c>
      <c r="AA216" s="33">
        <v>-1.4010741902207849E-3</v>
      </c>
      <c r="AI216" s="13">
        <v>25</v>
      </c>
      <c r="AJ216" s="13">
        <v>12</v>
      </c>
      <c r="AK216" s="13">
        <v>16</v>
      </c>
      <c r="AL216" s="13">
        <v>-20</v>
      </c>
      <c r="AO216" s="13">
        <v>0</v>
      </c>
      <c r="AP216" s="120" t="str">
        <f t="shared" si="959"/>
        <v/>
      </c>
      <c r="AQ216" s="120" t="str">
        <f t="shared" si="960"/>
        <v/>
      </c>
      <c r="AR216" s="120" t="str">
        <f t="shared" si="961"/>
        <v/>
      </c>
      <c r="AS216" s="120" t="str">
        <f t="shared" si="962"/>
        <v/>
      </c>
      <c r="AT216" s="13" t="str">
        <f t="shared" si="963"/>
        <v/>
      </c>
      <c r="AU216" s="13" t="str">
        <f t="shared" si="964"/>
        <v xml:space="preserve">               </v>
      </c>
      <c r="AV216" s="13" t="str">
        <f t="shared" si="937"/>
        <v/>
      </c>
      <c r="AW216" s="13" t="str">
        <f t="shared" si="965"/>
        <v xml:space="preserve">                                                                 </v>
      </c>
      <c r="AX216" s="13" t="str">
        <f t="shared" si="966"/>
        <v/>
      </c>
      <c r="AY216" s="13" t="str">
        <f t="shared" si="966"/>
        <v/>
      </c>
      <c r="AZ216" s="13" t="str">
        <f t="shared" si="966"/>
        <v/>
      </c>
      <c r="BA216" s="13" t="str">
        <f t="shared" si="966"/>
        <v/>
      </c>
      <c r="BB216" s="13" t="str">
        <f t="shared" si="966"/>
        <v/>
      </c>
      <c r="BC216" s="13" t="str">
        <f t="shared" si="966"/>
        <v/>
      </c>
      <c r="BE216" s="13" t="str">
        <f t="shared" si="967"/>
        <v/>
      </c>
      <c r="BF216" s="13" t="str">
        <f t="shared" si="967"/>
        <v/>
      </c>
      <c r="BG216" s="13" t="str">
        <f t="shared" si="967"/>
        <v/>
      </c>
      <c r="BH216" s="13" t="str">
        <f t="shared" si="967"/>
        <v/>
      </c>
      <c r="BI216" s="13" t="str">
        <f t="shared" si="967"/>
        <v/>
      </c>
      <c r="BJ216" s="13" t="str">
        <f t="shared" si="967"/>
        <v/>
      </c>
      <c r="BM216" s="13" t="str">
        <f t="shared" si="968"/>
        <v>Tdb</v>
      </c>
      <c r="BN216" s="13" t="str">
        <f t="shared" si="968"/>
        <v>Toadb</v>
      </c>
      <c r="BQ216" s="13">
        <f>AI216</f>
        <v>25</v>
      </c>
      <c r="BR216" s="13">
        <f t="shared" si="969"/>
        <v>12</v>
      </c>
      <c r="BS216" s="13">
        <f t="shared" si="969"/>
        <v>16</v>
      </c>
      <c r="BT216" s="13">
        <f t="shared" si="969"/>
        <v>-20</v>
      </c>
      <c r="BU216" s="104"/>
      <c r="BV216" s="115">
        <f>$V216+$W216*BQ216+$X216*BQ216^2+$Y216*BS216+$Z216*BS216^2+$AA216*BQ216*BS216</f>
        <v>0.8729660096376991</v>
      </c>
      <c r="BW216" s="104">
        <f>$V216+$W216*BR216+$X216*BR216^2+$Y216*BT216+$Z216*BT216^2+$AA216*BR216*BT216</f>
        <v>0.34016727018481518</v>
      </c>
    </row>
    <row r="217" spans="2:75" hidden="1" outlineLevel="1" x14ac:dyDescent="0.3">
      <c r="B217" s="13" t="s">
        <v>927</v>
      </c>
      <c r="D217" s="22" t="s">
        <v>764</v>
      </c>
      <c r="E217" s="13" t="s">
        <v>753</v>
      </c>
      <c r="F217" s="13" t="s">
        <v>765</v>
      </c>
      <c r="G217" s="22" t="s">
        <v>841</v>
      </c>
      <c r="H217" s="13" t="s">
        <v>805</v>
      </c>
      <c r="I217" s="13" t="s">
        <v>660</v>
      </c>
      <c r="J217" s="13" t="s">
        <v>144</v>
      </c>
      <c r="L217" s="13" t="s">
        <v>777</v>
      </c>
      <c r="M217" s="13" t="s">
        <v>788</v>
      </c>
      <c r="N217" s="13" t="str">
        <f t="shared" si="958"/>
        <v>VRFSysClgEIRRatio_fTwbToadbLowSI</v>
      </c>
      <c r="O217" s="13" t="s">
        <v>165</v>
      </c>
      <c r="P217" s="13" t="s">
        <v>288</v>
      </c>
      <c r="Q217" s="13" t="s">
        <v>116</v>
      </c>
      <c r="R217" s="13" t="s">
        <v>460</v>
      </c>
      <c r="S217" s="13" t="s">
        <v>798</v>
      </c>
      <c r="V217" s="33">
        <v>0.71171783597032667</v>
      </c>
      <c r="W217" s="33">
        <v>-3.6905499171819276E-3</v>
      </c>
      <c r="X217" s="33">
        <v>-5.4441544275302775E-5</v>
      </c>
      <c r="Y217" s="33">
        <v>-4.2622599288942107E-3</v>
      </c>
      <c r="Z217" s="33">
        <v>2.3850131099014776E-4</v>
      </c>
      <c r="AA217" s="33">
        <v>2.467049202990621E-4</v>
      </c>
      <c r="AI217" s="13">
        <v>28</v>
      </c>
      <c r="AJ217" s="13">
        <v>15</v>
      </c>
      <c r="AK217" s="13">
        <v>32</v>
      </c>
      <c r="AL217" s="13">
        <v>-5</v>
      </c>
      <c r="AO217" s="13">
        <v>0</v>
      </c>
      <c r="AP217" s="120" t="str">
        <f t="shared" si="959"/>
        <v/>
      </c>
      <c r="AQ217" s="120" t="str">
        <f t="shared" si="960"/>
        <v/>
      </c>
      <c r="AR217" s="120" t="str">
        <f t="shared" si="961"/>
        <v/>
      </c>
      <c r="AS217" s="120" t="str">
        <f t="shared" si="962"/>
        <v/>
      </c>
      <c r="AT217" s="13" t="str">
        <f t="shared" si="963"/>
        <v/>
      </c>
      <c r="AU217" s="13" t="str">
        <f t="shared" si="964"/>
        <v xml:space="preserve">               </v>
      </c>
      <c r="AV217" s="13" t="str">
        <f t="shared" si="937"/>
        <v/>
      </c>
      <c r="AW217" s="13" t="str">
        <f t="shared" si="965"/>
        <v xml:space="preserve">                                                                 </v>
      </c>
      <c r="AX217" s="13" t="str">
        <f t="shared" si="966"/>
        <v/>
      </c>
      <c r="AY217" s="13" t="str">
        <f t="shared" si="966"/>
        <v/>
      </c>
      <c r="AZ217" s="13" t="str">
        <f t="shared" si="966"/>
        <v/>
      </c>
      <c r="BA217" s="13" t="str">
        <f t="shared" si="966"/>
        <v/>
      </c>
      <c r="BB217" s="13" t="str">
        <f t="shared" si="966"/>
        <v/>
      </c>
      <c r="BC217" s="13" t="str">
        <f t="shared" si="966"/>
        <v/>
      </c>
      <c r="BE217" s="13" t="str">
        <f t="shared" si="967"/>
        <v/>
      </c>
      <c r="BF217" s="13" t="str">
        <f t="shared" si="967"/>
        <v/>
      </c>
      <c r="BG217" s="13" t="str">
        <f t="shared" si="967"/>
        <v/>
      </c>
      <c r="BH217" s="13" t="str">
        <f t="shared" si="967"/>
        <v/>
      </c>
      <c r="BI217" s="13" t="str">
        <f t="shared" si="967"/>
        <v/>
      </c>
      <c r="BJ217" s="13" t="str">
        <f t="shared" si="967"/>
        <v/>
      </c>
      <c r="BM217" s="13" t="str">
        <f t="shared" si="968"/>
        <v>Twb</v>
      </c>
      <c r="BN217" s="13" t="str">
        <f t="shared" si="968"/>
        <v>Toadb</v>
      </c>
      <c r="BQ217" s="13">
        <f>AI217</f>
        <v>28</v>
      </c>
      <c r="BR217" s="13">
        <f t="shared" si="969"/>
        <v>15</v>
      </c>
      <c r="BS217" s="13">
        <f t="shared" si="969"/>
        <v>32</v>
      </c>
      <c r="BT217" s="13">
        <f t="shared" si="969"/>
        <v>-5</v>
      </c>
      <c r="BU217" s="104"/>
      <c r="BV217" s="115">
        <f>$V217+$W217*BQ217+$X217*BQ217^2+$Y217*BS217+$Z217*BS217^2+$AA217*BQ217*BS217</f>
        <v>0.89458090089465148</v>
      </c>
      <c r="BW217" s="104">
        <f>$V217+$W217*BR217+$X217*BR217^2+$Y217*BT217+$Z217*BT217^2+$AA217*BR217*BT217</f>
        <v>0.65288120314744968</v>
      </c>
    </row>
    <row r="218" spans="2:75" hidden="1" outlineLevel="1" x14ac:dyDescent="0.3">
      <c r="E218" s="13" t="s">
        <v>753</v>
      </c>
      <c r="F218" s="13" t="s">
        <v>766</v>
      </c>
      <c r="G218" s="22" t="s">
        <v>841</v>
      </c>
      <c r="H218" s="13" t="s">
        <v>805</v>
      </c>
      <c r="I218" s="13" t="s">
        <v>660</v>
      </c>
      <c r="J218" s="13" t="s">
        <v>144</v>
      </c>
      <c r="L218" s="13" t="s">
        <v>777</v>
      </c>
      <c r="M218" s="13" t="s">
        <v>789</v>
      </c>
      <c r="N218" s="13" t="str">
        <f t="shared" si="958"/>
        <v>VRFSysClgEIRBdry_fTwbSI</v>
      </c>
      <c r="O218" s="13" t="s">
        <v>286</v>
      </c>
      <c r="P218" s="13" t="s">
        <v>800</v>
      </c>
      <c r="Q218" s="13" t="s">
        <v>116</v>
      </c>
      <c r="V218" s="33">
        <v>37.830798073405703</v>
      </c>
      <c r="W218" s="33">
        <v>-0.55469607364955575</v>
      </c>
      <c r="AI218" s="13">
        <v>28</v>
      </c>
      <c r="AJ218" s="13">
        <v>15</v>
      </c>
      <c r="AO218" s="13">
        <v>0</v>
      </c>
      <c r="AP218" s="120" t="str">
        <f t="shared" si="959"/>
        <v/>
      </c>
      <c r="AQ218" s="120" t="str">
        <f t="shared" si="960"/>
        <v/>
      </c>
      <c r="AR218" s="120" t="str">
        <f t="shared" si="961"/>
        <v/>
      </c>
      <c r="AS218" s="120" t="str">
        <f t="shared" si="962"/>
        <v/>
      </c>
      <c r="AT218" s="13" t="str">
        <f t="shared" si="963"/>
        <v/>
      </c>
      <c r="AU218" s="13" t="str">
        <f t="shared" si="964"/>
        <v xml:space="preserve">               </v>
      </c>
      <c r="AV218" s="13" t="str">
        <f t="shared" si="937"/>
        <v/>
      </c>
      <c r="AW218" s="13" t="str">
        <f t="shared" si="965"/>
        <v xml:space="preserve">                                                                 </v>
      </c>
      <c r="AX218" s="13" t="str">
        <f t="shared" si="966"/>
        <v/>
      </c>
      <c r="AY218" s="13" t="str">
        <f t="shared" si="966"/>
        <v/>
      </c>
      <c r="AZ218" s="13" t="str">
        <f t="shared" si="966"/>
        <v/>
      </c>
      <c r="BA218" s="13" t="str">
        <f t="shared" si="966"/>
        <v/>
      </c>
      <c r="BB218" s="13" t="str">
        <f t="shared" si="966"/>
        <v/>
      </c>
      <c r="BC218" s="13" t="str">
        <f t="shared" si="966"/>
        <v/>
      </c>
      <c r="BE218" s="13" t="str">
        <f t="shared" si="967"/>
        <v/>
      </c>
      <c r="BF218" s="13" t="str">
        <f t="shared" si="967"/>
        <v/>
      </c>
      <c r="BG218" s="13" t="str">
        <f t="shared" si="967"/>
        <v/>
      </c>
      <c r="BH218" s="13" t="str">
        <f t="shared" si="967"/>
        <v/>
      </c>
      <c r="BI218" s="13" t="str">
        <f t="shared" si="967"/>
        <v/>
      </c>
      <c r="BJ218" s="13" t="str">
        <f t="shared" si="967"/>
        <v/>
      </c>
      <c r="BM218" s="13" t="str">
        <f t="shared" si="968"/>
        <v>Twb</v>
      </c>
      <c r="BQ218" s="13">
        <f t="shared" ref="BQ218:BT229" si="972">AI218</f>
        <v>28</v>
      </c>
      <c r="BR218" s="13">
        <f t="shared" si="969"/>
        <v>15</v>
      </c>
      <c r="BU218" s="104"/>
      <c r="BV218" s="115">
        <f t="shared" ref="BV218:BW229" si="973">$V218+$W218*BQ218+$X218*BQ218^2+$Y218*BS218+$Z218*BS218^2+$AA218*BQ218*BS218</f>
        <v>22.299308011218141</v>
      </c>
      <c r="BW218" s="104">
        <f t="shared" si="973"/>
        <v>29.510356968662364</v>
      </c>
    </row>
    <row r="219" spans="2:75" hidden="1" outlineLevel="1" x14ac:dyDescent="0.3">
      <c r="E219" s="13" t="s">
        <v>753</v>
      </c>
      <c r="F219" s="13" t="s">
        <v>767</v>
      </c>
      <c r="G219" s="22" t="s">
        <v>841</v>
      </c>
      <c r="H219" s="13" t="s">
        <v>805</v>
      </c>
      <c r="I219" s="13" t="s">
        <v>660</v>
      </c>
      <c r="J219" s="13" t="s">
        <v>144</v>
      </c>
      <c r="L219" s="13" t="s">
        <v>777</v>
      </c>
      <c r="M219" s="13" t="s">
        <v>790</v>
      </c>
      <c r="N219" s="13" t="str">
        <f t="shared" si="958"/>
        <v>VRFSysClgEIRRatio_fTwbToadbHiSI</v>
      </c>
      <c r="O219" s="13" t="s">
        <v>165</v>
      </c>
      <c r="P219" s="13" t="s">
        <v>288</v>
      </c>
      <c r="Q219" s="13" t="s">
        <v>116</v>
      </c>
      <c r="R219" s="13" t="s">
        <v>460</v>
      </c>
      <c r="S219" s="13" t="s">
        <v>799</v>
      </c>
      <c r="V219" s="33">
        <v>-2.8598049434423511E-2</v>
      </c>
      <c r="W219" s="33">
        <v>8.0180654505548302E-2</v>
      </c>
      <c r="X219" s="33">
        <v>-1.8525864652531271E-3</v>
      </c>
      <c r="Y219" s="33">
        <v>-9.3215430514193513E-3</v>
      </c>
      <c r="Z219" s="33">
        <v>5.3111080818192438E-4</v>
      </c>
      <c r="AA219" s="33">
        <v>-2.3427206674931316E-4</v>
      </c>
      <c r="AI219" s="13">
        <v>28</v>
      </c>
      <c r="AJ219" s="13">
        <v>15</v>
      </c>
      <c r="AK219" s="13">
        <v>45</v>
      </c>
      <c r="AL219" s="13">
        <v>22</v>
      </c>
      <c r="AO219" s="13">
        <v>0</v>
      </c>
      <c r="AP219" s="120" t="str">
        <f t="shared" si="959"/>
        <v/>
      </c>
      <c r="AQ219" s="120" t="str">
        <f t="shared" si="960"/>
        <v/>
      </c>
      <c r="AR219" s="120" t="str">
        <f t="shared" si="961"/>
        <v/>
      </c>
      <c r="AS219" s="120" t="str">
        <f t="shared" si="962"/>
        <v/>
      </c>
      <c r="AT219" s="13" t="str">
        <f t="shared" si="963"/>
        <v/>
      </c>
      <c r="AU219" s="13" t="str">
        <f t="shared" si="964"/>
        <v xml:space="preserve">               </v>
      </c>
      <c r="AV219" s="13" t="str">
        <f t="shared" si="937"/>
        <v/>
      </c>
      <c r="AW219" s="13" t="str">
        <f t="shared" si="965"/>
        <v xml:space="preserve">                                                                 </v>
      </c>
      <c r="AX219" s="13" t="str">
        <f t="shared" si="966"/>
        <v/>
      </c>
      <c r="AY219" s="13" t="str">
        <f t="shared" si="966"/>
        <v/>
      </c>
      <c r="AZ219" s="13" t="str">
        <f t="shared" si="966"/>
        <v/>
      </c>
      <c r="BA219" s="13" t="str">
        <f t="shared" si="966"/>
        <v/>
      </c>
      <c r="BB219" s="13" t="str">
        <f t="shared" si="966"/>
        <v/>
      </c>
      <c r="BC219" s="13" t="str">
        <f t="shared" si="966"/>
        <v/>
      </c>
      <c r="BE219" s="13" t="str">
        <f t="shared" si="967"/>
        <v/>
      </c>
      <c r="BF219" s="13" t="str">
        <f t="shared" si="967"/>
        <v/>
      </c>
      <c r="BG219" s="13" t="str">
        <f t="shared" si="967"/>
        <v/>
      </c>
      <c r="BH219" s="13" t="str">
        <f t="shared" si="967"/>
        <v/>
      </c>
      <c r="BI219" s="13" t="str">
        <f t="shared" si="967"/>
        <v/>
      </c>
      <c r="BJ219" s="13" t="str">
        <f t="shared" si="967"/>
        <v/>
      </c>
      <c r="BM219" s="13" t="str">
        <f t="shared" si="968"/>
        <v>Twb</v>
      </c>
      <c r="BN219" s="13" t="str">
        <f t="shared" si="968"/>
        <v>Toadb</v>
      </c>
      <c r="BQ219" s="13">
        <f t="shared" si="972"/>
        <v>28</v>
      </c>
      <c r="BR219" s="13">
        <f t="shared" si="969"/>
        <v>15</v>
      </c>
      <c r="BS219" s="13">
        <f t="shared" si="969"/>
        <v>45</v>
      </c>
      <c r="BT219" s="13">
        <f t="shared" si="969"/>
        <v>22</v>
      </c>
      <c r="BU219" s="104"/>
      <c r="BV219" s="115">
        <f t="shared" si="973"/>
        <v>1.1248796331128688</v>
      </c>
      <c r="BW219" s="104">
        <f t="shared" si="973"/>
        <v>0.7319537154683996</v>
      </c>
    </row>
    <row r="220" spans="2:75" hidden="1" outlineLevel="1" x14ac:dyDescent="0.3">
      <c r="E220" s="13" t="s">
        <v>753</v>
      </c>
      <c r="F220" s="13" t="s">
        <v>768</v>
      </c>
      <c r="G220" s="22" t="s">
        <v>841</v>
      </c>
      <c r="H220" s="13" t="s">
        <v>805</v>
      </c>
      <c r="I220" s="13" t="s">
        <v>660</v>
      </c>
      <c r="J220" s="13" t="s">
        <v>144</v>
      </c>
      <c r="L220" s="13" t="s">
        <v>777</v>
      </c>
      <c r="M220" s="13" t="s">
        <v>791</v>
      </c>
      <c r="N220" s="13" t="str">
        <f t="shared" si="958"/>
        <v>VRFSysClgEIRRatio_fPLRSI</v>
      </c>
      <c r="O220" s="13" t="s">
        <v>162</v>
      </c>
      <c r="P220" s="13" t="s">
        <v>288</v>
      </c>
      <c r="Q220" s="13" t="s">
        <v>28</v>
      </c>
      <c r="V220" s="33">
        <v>9.6858760461230597E-2</v>
      </c>
      <c r="W220" s="33">
        <v>2.7701525850679146E-2</v>
      </c>
      <c r="X220" s="33">
        <v>0.8524127953202626</v>
      </c>
      <c r="AI220" s="13">
        <v>1.3</v>
      </c>
      <c r="AJ220" s="13">
        <v>0.2</v>
      </c>
      <c r="AO220" s="13">
        <v>0</v>
      </c>
      <c r="AP220" s="120" t="str">
        <f t="shared" si="959"/>
        <v/>
      </c>
      <c r="AQ220" s="120" t="str">
        <f t="shared" si="960"/>
        <v/>
      </c>
      <c r="AR220" s="120" t="str">
        <f t="shared" si="961"/>
        <v/>
      </c>
      <c r="AS220" s="120" t="str">
        <f t="shared" si="962"/>
        <v/>
      </c>
      <c r="AT220" s="13" t="str">
        <f t="shared" si="963"/>
        <v/>
      </c>
      <c r="AU220" s="13" t="str">
        <f t="shared" si="964"/>
        <v xml:space="preserve">               </v>
      </c>
      <c r="AV220" s="13" t="str">
        <f t="shared" si="937"/>
        <v/>
      </c>
      <c r="AW220" s="13" t="str">
        <f t="shared" si="965"/>
        <v xml:space="preserve">                                                                 </v>
      </c>
      <c r="AX220" s="13" t="str">
        <f t="shared" si="966"/>
        <v/>
      </c>
      <c r="AY220" s="13" t="str">
        <f t="shared" si="966"/>
        <v/>
      </c>
      <c r="AZ220" s="13" t="str">
        <f t="shared" si="966"/>
        <v/>
      </c>
      <c r="BA220" s="13" t="str">
        <f t="shared" si="966"/>
        <v/>
      </c>
      <c r="BB220" s="13" t="str">
        <f t="shared" si="966"/>
        <v/>
      </c>
      <c r="BC220" s="13" t="str">
        <f t="shared" si="966"/>
        <v/>
      </c>
      <c r="BE220" s="13" t="str">
        <f t="shared" si="967"/>
        <v/>
      </c>
      <c r="BF220" s="13" t="str">
        <f t="shared" si="967"/>
        <v/>
      </c>
      <c r="BG220" s="13" t="str">
        <f t="shared" si="967"/>
        <v/>
      </c>
      <c r="BH220" s="13" t="str">
        <f t="shared" si="967"/>
        <v/>
      </c>
      <c r="BI220" s="13" t="str">
        <f t="shared" si="967"/>
        <v/>
      </c>
      <c r="BJ220" s="13" t="str">
        <f t="shared" si="967"/>
        <v/>
      </c>
      <c r="BM220" s="13" t="str">
        <f t="shared" si="968"/>
        <v>PLR</v>
      </c>
      <c r="BQ220" s="13">
        <f t="shared" si="972"/>
        <v>1.3</v>
      </c>
      <c r="BR220" s="13">
        <f t="shared" si="969"/>
        <v>0.2</v>
      </c>
      <c r="BU220" s="104"/>
      <c r="BV220" s="115">
        <f t="shared" si="973"/>
        <v>1.5734483681583575</v>
      </c>
      <c r="BW220" s="104">
        <f t="shared" si="973"/>
        <v>0.13649557744417695</v>
      </c>
    </row>
    <row r="221" spans="2:75" hidden="1" outlineLevel="1" x14ac:dyDescent="0.3">
      <c r="E221" s="13" t="s">
        <v>753</v>
      </c>
      <c r="F221" s="13" t="s">
        <v>769</v>
      </c>
      <c r="G221" s="22" t="s">
        <v>841</v>
      </c>
      <c r="H221" s="13" t="s">
        <v>805</v>
      </c>
      <c r="I221" s="13" t="s">
        <v>660</v>
      </c>
      <c r="J221" s="13" t="s">
        <v>144</v>
      </c>
      <c r="L221" s="13" t="s">
        <v>777</v>
      </c>
      <c r="M221" s="13" t="s">
        <v>792</v>
      </c>
      <c r="N221" s="13" t="str">
        <f t="shared" si="958"/>
        <v>VRFSysClgEIRRatio_fPLRSI</v>
      </c>
      <c r="O221" s="13" t="s">
        <v>162</v>
      </c>
      <c r="P221" s="13" t="s">
        <v>288</v>
      </c>
      <c r="Q221" s="13" t="s">
        <v>28</v>
      </c>
      <c r="V221" s="33">
        <v>9.6858760461230597E-2</v>
      </c>
      <c r="W221" s="33">
        <v>2.7701525850679146E-2</v>
      </c>
      <c r="X221" s="33">
        <v>0.8524127953202626</v>
      </c>
      <c r="AI221" s="13">
        <v>1.3</v>
      </c>
      <c r="AJ221" s="13">
        <v>0.2</v>
      </c>
      <c r="AO221" s="13">
        <v>0</v>
      </c>
      <c r="AP221" s="120" t="str">
        <f t="shared" si="959"/>
        <v/>
      </c>
      <c r="AQ221" s="120" t="str">
        <f t="shared" si="960"/>
        <v/>
      </c>
      <c r="AR221" s="120" t="str">
        <f t="shared" si="961"/>
        <v/>
      </c>
      <c r="AS221" s="120" t="str">
        <f t="shared" si="962"/>
        <v/>
      </c>
      <c r="AT221" s="13" t="str">
        <f t="shared" si="963"/>
        <v/>
      </c>
      <c r="AU221" s="13" t="str">
        <f t="shared" si="964"/>
        <v xml:space="preserve">               </v>
      </c>
      <c r="AV221" s="13" t="str">
        <f t="shared" si="937"/>
        <v/>
      </c>
      <c r="AW221" s="13" t="str">
        <f t="shared" si="965"/>
        <v xml:space="preserve">                                                                 </v>
      </c>
      <c r="AX221" s="13" t="str">
        <f t="shared" si="966"/>
        <v/>
      </c>
      <c r="AY221" s="13" t="str">
        <f t="shared" si="966"/>
        <v/>
      </c>
      <c r="AZ221" s="13" t="str">
        <f t="shared" si="966"/>
        <v/>
      </c>
      <c r="BA221" s="13" t="str">
        <f t="shared" si="966"/>
        <v/>
      </c>
      <c r="BB221" s="13" t="str">
        <f t="shared" si="966"/>
        <v/>
      </c>
      <c r="BC221" s="13" t="str">
        <f t="shared" si="966"/>
        <v/>
      </c>
      <c r="BE221" s="13" t="str">
        <f t="shared" si="967"/>
        <v/>
      </c>
      <c r="BF221" s="13" t="str">
        <f t="shared" si="967"/>
        <v/>
      </c>
      <c r="BG221" s="13" t="str">
        <f t="shared" si="967"/>
        <v/>
      </c>
      <c r="BH221" s="13" t="str">
        <f t="shared" si="967"/>
        <v/>
      </c>
      <c r="BI221" s="13" t="str">
        <f t="shared" si="967"/>
        <v/>
      </c>
      <c r="BJ221" s="13" t="str">
        <f t="shared" si="967"/>
        <v/>
      </c>
      <c r="BM221" s="13" t="str">
        <f t="shared" si="968"/>
        <v>PLR</v>
      </c>
      <c r="BQ221" s="13">
        <f t="shared" si="972"/>
        <v>1.3</v>
      </c>
      <c r="BR221" s="13">
        <f t="shared" si="969"/>
        <v>0.2</v>
      </c>
      <c r="BU221" s="104"/>
      <c r="BV221" s="115">
        <f t="shared" si="973"/>
        <v>1.5734483681583575</v>
      </c>
      <c r="BW221" s="104">
        <f t="shared" si="973"/>
        <v>0.13649557744417695</v>
      </c>
    </row>
    <row r="222" spans="2:75" hidden="1" outlineLevel="1" x14ac:dyDescent="0.3">
      <c r="E222" s="13" t="s">
        <v>753</v>
      </c>
      <c r="F222" s="13" t="s">
        <v>803</v>
      </c>
      <c r="G222" s="22" t="s">
        <v>841</v>
      </c>
      <c r="H222" s="13" t="s">
        <v>805</v>
      </c>
      <c r="I222" s="13" t="s">
        <v>660</v>
      </c>
      <c r="J222" s="13" t="s">
        <v>144</v>
      </c>
      <c r="L222" s="13" t="s">
        <v>777</v>
      </c>
      <c r="M222" s="13" t="s">
        <v>813</v>
      </c>
      <c r="N222" s="13" t="str">
        <f t="shared" si="958"/>
        <v>VRFSysClgEIRRatio_fCycRatSI</v>
      </c>
      <c r="O222" s="13" t="s">
        <v>230</v>
      </c>
      <c r="P222" s="13" t="s">
        <v>288</v>
      </c>
      <c r="Q222" s="13" t="s">
        <v>804</v>
      </c>
      <c r="V222" s="33">
        <v>0.85</v>
      </c>
      <c r="W222" s="33">
        <v>0.15</v>
      </c>
      <c r="X222" s="33">
        <v>0</v>
      </c>
      <c r="Y222" s="33">
        <v>0</v>
      </c>
      <c r="AI222" s="13">
        <v>1</v>
      </c>
      <c r="AJ222" s="13">
        <v>0</v>
      </c>
      <c r="AM222" s="22" t="s">
        <v>914</v>
      </c>
      <c r="AO222" s="13">
        <v>0</v>
      </c>
      <c r="AP222" s="120" t="str">
        <f t="shared" si="959"/>
        <v/>
      </c>
      <c r="AQ222" s="120" t="str">
        <f t="shared" si="960"/>
        <v/>
      </c>
      <c r="AR222" s="120" t="str">
        <f t="shared" si="961"/>
        <v/>
      </c>
      <c r="AS222" s="120" t="str">
        <f t="shared" si="962"/>
        <v/>
      </c>
      <c r="AT222" s="13" t="str">
        <f t="shared" si="963"/>
        <v/>
      </c>
      <c r="AU222" s="13" t="str">
        <f t="shared" si="964"/>
        <v xml:space="preserve">               </v>
      </c>
      <c r="AV222" s="13" t="str">
        <f t="shared" si="937"/>
        <v/>
      </c>
      <c r="AW222" s="13" t="str">
        <f t="shared" si="965"/>
        <v xml:space="preserve">                                                                 </v>
      </c>
      <c r="AX222" s="13" t="str">
        <f t="shared" si="966"/>
        <v/>
      </c>
      <c r="AY222" s="13" t="str">
        <f t="shared" si="966"/>
        <v/>
      </c>
      <c r="AZ222" s="13" t="str">
        <f t="shared" si="966"/>
        <v/>
      </c>
      <c r="BA222" s="13" t="str">
        <f t="shared" si="966"/>
        <v/>
      </c>
      <c r="BB222" s="13" t="str">
        <f t="shared" si="966"/>
        <v/>
      </c>
      <c r="BC222" s="13" t="str">
        <f t="shared" si="966"/>
        <v/>
      </c>
      <c r="BE222" s="13" t="str">
        <f t="shared" si="967"/>
        <v/>
      </c>
      <c r="BF222" s="13" t="str">
        <f t="shared" si="967"/>
        <v/>
      </c>
      <c r="BG222" s="13" t="str">
        <f t="shared" si="967"/>
        <v/>
      </c>
      <c r="BH222" s="13" t="str">
        <f t="shared" si="967"/>
        <v/>
      </c>
      <c r="BI222" s="13" t="str">
        <f t="shared" si="967"/>
        <v/>
      </c>
      <c r="BJ222" s="13" t="str">
        <f t="shared" si="967"/>
        <v/>
      </c>
      <c r="BM222" s="13" t="str">
        <f t="shared" si="968"/>
        <v>CycRat</v>
      </c>
      <c r="BQ222" s="13">
        <f t="shared" si="972"/>
        <v>1</v>
      </c>
      <c r="BU222" s="104"/>
      <c r="BV222" s="115">
        <f>$V222+$W222*BQ222+$X222*BQ222^2+$Y222*BS222+$Z222*BS222^2+$AA222*BQ222*BS222</f>
        <v>1</v>
      </c>
      <c r="BW222" s="104">
        <f t="shared" si="973"/>
        <v>0.85</v>
      </c>
    </row>
    <row r="223" spans="2:75" hidden="1" outlineLevel="1" x14ac:dyDescent="0.3">
      <c r="E223" s="13" t="s">
        <v>753</v>
      </c>
      <c r="F223" s="13" t="s">
        <v>770</v>
      </c>
      <c r="G223" s="22" t="s">
        <v>841</v>
      </c>
      <c r="H223" s="13" t="s">
        <v>807</v>
      </c>
      <c r="I223" s="13" t="s">
        <v>660</v>
      </c>
      <c r="J223" s="13" t="s">
        <v>144</v>
      </c>
      <c r="L223" s="13" t="s">
        <v>777</v>
      </c>
      <c r="M223" s="13" t="s">
        <v>814</v>
      </c>
      <c r="N223" s="13" t="str">
        <f t="shared" si="958"/>
        <v>VRFSysHtRcvryClgEIRRatio_fTwbToadbSI</v>
      </c>
      <c r="O223" s="13" t="s">
        <v>165</v>
      </c>
      <c r="P223" s="13" t="s">
        <v>288</v>
      </c>
      <c r="Q223" s="13" t="s">
        <v>116</v>
      </c>
      <c r="R223" s="13" t="s">
        <v>460</v>
      </c>
      <c r="V223" s="33">
        <v>0.71171783597032667</v>
      </c>
      <c r="W223" s="33">
        <v>-3.6905499171819276E-3</v>
      </c>
      <c r="X223" s="33">
        <v>-5.4441544275302775E-5</v>
      </c>
      <c r="Y223" s="33">
        <v>-4.2622599288942107E-3</v>
      </c>
      <c r="Z223" s="33">
        <v>2.3850131099014776E-4</v>
      </c>
      <c r="AA223" s="33">
        <v>2.467049202990621E-4</v>
      </c>
      <c r="AI223" s="13">
        <v>28</v>
      </c>
      <c r="AJ223" s="13">
        <v>15</v>
      </c>
      <c r="AK223" s="13">
        <v>45</v>
      </c>
      <c r="AL223" s="13">
        <v>-5</v>
      </c>
      <c r="AO223" s="13">
        <v>0</v>
      </c>
      <c r="AP223" s="120" t="str">
        <f t="shared" si="959"/>
        <v/>
      </c>
      <c r="AQ223" s="120" t="str">
        <f t="shared" si="960"/>
        <v/>
      </c>
      <c r="AR223" s="120" t="str">
        <f t="shared" si="961"/>
        <v/>
      </c>
      <c r="AS223" s="120" t="str">
        <f t="shared" si="962"/>
        <v/>
      </c>
      <c r="AT223" s="13" t="str">
        <f t="shared" si="963"/>
        <v/>
      </c>
      <c r="AU223" s="13" t="str">
        <f t="shared" si="964"/>
        <v xml:space="preserve">               </v>
      </c>
      <c r="AV223" s="13" t="str">
        <f t="shared" si="937"/>
        <v/>
      </c>
      <c r="AW223" s="13" t="str">
        <f t="shared" si="965"/>
        <v xml:space="preserve">                                                                 </v>
      </c>
      <c r="AX223" s="13" t="str">
        <f t="shared" ref="AX223:BC234" si="974">IF($AO223=1,IF(ISBLANK(V223),"-",CONCATENATE(TEXT(V223," 0.000000;-0.000000"),"  ")),"")</f>
        <v/>
      </c>
      <c r="AY223" s="13" t="str">
        <f t="shared" si="974"/>
        <v/>
      </c>
      <c r="AZ223" s="13" t="str">
        <f t="shared" si="974"/>
        <v/>
      </c>
      <c r="BA223" s="13" t="str">
        <f t="shared" si="974"/>
        <v/>
      </c>
      <c r="BB223" s="13" t="str">
        <f t="shared" si="974"/>
        <v/>
      </c>
      <c r="BC223" s="13" t="str">
        <f t="shared" si="974"/>
        <v/>
      </c>
      <c r="BE223" s="13" t="str">
        <f t="shared" si="967"/>
        <v/>
      </c>
      <c r="BF223" s="13" t="str">
        <f t="shared" si="967"/>
        <v/>
      </c>
      <c r="BG223" s="13" t="str">
        <f t="shared" si="967"/>
        <v/>
      </c>
      <c r="BH223" s="13" t="str">
        <f t="shared" si="967"/>
        <v/>
      </c>
      <c r="BI223" s="13" t="str">
        <f t="shared" si="967"/>
        <v/>
      </c>
      <c r="BJ223" s="13" t="str">
        <f t="shared" si="967"/>
        <v/>
      </c>
      <c r="BM223" s="13" t="str">
        <f t="shared" si="968"/>
        <v>Twb</v>
      </c>
      <c r="BN223" s="13" t="str">
        <f t="shared" si="968"/>
        <v>Toadb</v>
      </c>
      <c r="BQ223" s="13">
        <f t="shared" si="972"/>
        <v>28</v>
      </c>
      <c r="BR223" s="13">
        <f t="shared" si="972"/>
        <v>15</v>
      </c>
      <c r="BS223" s="13">
        <f t="shared" si="972"/>
        <v>45</v>
      </c>
      <c r="BT223" s="13">
        <f t="shared" si="972"/>
        <v>-5</v>
      </c>
      <c r="BU223" s="104"/>
      <c r="BV223" s="115">
        <f t="shared" si="973"/>
        <v>1.1677119251090233</v>
      </c>
      <c r="BW223" s="104">
        <f t="shared" si="973"/>
        <v>0.65288120314744968</v>
      </c>
    </row>
    <row r="224" spans="2:75" hidden="1" outlineLevel="1" x14ac:dyDescent="0.3">
      <c r="E224" s="13" t="s">
        <v>753</v>
      </c>
      <c r="F224" s="13" t="s">
        <v>771</v>
      </c>
      <c r="G224" s="22" t="s">
        <v>841</v>
      </c>
      <c r="H224" s="13" t="s">
        <v>806</v>
      </c>
      <c r="I224" s="13" t="s">
        <v>660</v>
      </c>
      <c r="J224" s="13" t="s">
        <v>144</v>
      </c>
      <c r="L224" s="13" t="s">
        <v>777</v>
      </c>
      <c r="M224" s="13" t="s">
        <v>793</v>
      </c>
      <c r="N224" s="13" t="str">
        <f t="shared" si="958"/>
        <v>VRFSysHtgEIRRatio_fTdbToadbLowSI</v>
      </c>
      <c r="O224" s="13" t="s">
        <v>165</v>
      </c>
      <c r="P224" s="13" t="s">
        <v>288</v>
      </c>
      <c r="Q224" s="13" t="s">
        <v>117</v>
      </c>
      <c r="R224" s="13" t="s">
        <v>460</v>
      </c>
      <c r="S224" s="13" t="s">
        <v>798</v>
      </c>
      <c r="V224" s="33">
        <v>1.3252510737425265</v>
      </c>
      <c r="W224" s="33">
        <v>-3.5855366225108078E-2</v>
      </c>
      <c r="X224" s="33">
        <v>1.3423318668480031E-3</v>
      </c>
      <c r="Y224" s="33">
        <v>-2.1599320570742708E-2</v>
      </c>
      <c r="Z224" s="33">
        <v>-1.4177902651932108E-4</v>
      </c>
      <c r="AA224" s="33">
        <v>-2.1793972544392699E-4</v>
      </c>
      <c r="AI224" s="13">
        <v>25</v>
      </c>
      <c r="AJ224" s="13">
        <v>12</v>
      </c>
      <c r="AK224" s="13">
        <v>7</v>
      </c>
      <c r="AL224" s="13">
        <v>-20</v>
      </c>
      <c r="AO224" s="13">
        <v>0</v>
      </c>
      <c r="AP224" s="120" t="str">
        <f t="shared" si="959"/>
        <v/>
      </c>
      <c r="AQ224" s="120" t="str">
        <f t="shared" si="960"/>
        <v/>
      </c>
      <c r="AR224" s="120" t="str">
        <f t="shared" si="961"/>
        <v/>
      </c>
      <c r="AS224" s="120" t="str">
        <f t="shared" si="962"/>
        <v/>
      </c>
      <c r="AT224" s="13" t="str">
        <f t="shared" si="963"/>
        <v/>
      </c>
      <c r="AU224" s="13" t="str">
        <f t="shared" si="964"/>
        <v xml:space="preserve">               </v>
      </c>
      <c r="AV224" s="13" t="str">
        <f t="shared" si="937"/>
        <v/>
      </c>
      <c r="AW224" s="13" t="str">
        <f t="shared" si="965"/>
        <v xml:space="preserve">                                                                 </v>
      </c>
      <c r="AX224" s="13" t="str">
        <f t="shared" si="974"/>
        <v/>
      </c>
      <c r="AY224" s="13" t="str">
        <f t="shared" si="974"/>
        <v/>
      </c>
      <c r="AZ224" s="13" t="str">
        <f t="shared" si="974"/>
        <v/>
      </c>
      <c r="BA224" s="13" t="str">
        <f t="shared" si="974"/>
        <v/>
      </c>
      <c r="BB224" s="13" t="str">
        <f t="shared" si="974"/>
        <v/>
      </c>
      <c r="BC224" s="13" t="str">
        <f t="shared" si="974"/>
        <v/>
      </c>
      <c r="BE224" s="13" t="str">
        <f t="shared" si="967"/>
        <v/>
      </c>
      <c r="BF224" s="13" t="str">
        <f t="shared" si="967"/>
        <v/>
      </c>
      <c r="BG224" s="13" t="str">
        <f t="shared" si="967"/>
        <v/>
      </c>
      <c r="BH224" s="13" t="str">
        <f t="shared" si="967"/>
        <v/>
      </c>
      <c r="BI224" s="13" t="str">
        <f t="shared" si="967"/>
        <v/>
      </c>
      <c r="BJ224" s="13" t="str">
        <f t="shared" si="967"/>
        <v/>
      </c>
      <c r="BM224" s="13" t="str">
        <f t="shared" si="968"/>
        <v>Tdb</v>
      </c>
      <c r="BN224" s="13" t="str">
        <f t="shared" si="968"/>
        <v>Toadb</v>
      </c>
      <c r="BQ224" s="13">
        <f t="shared" si="972"/>
        <v>25</v>
      </c>
      <c r="BR224" s="13">
        <f t="shared" si="972"/>
        <v>12</v>
      </c>
      <c r="BS224" s="13">
        <f t="shared" si="972"/>
        <v>7</v>
      </c>
      <c r="BT224" s="13">
        <f t="shared" si="972"/>
        <v>-20</v>
      </c>
      <c r="BU224" s="104"/>
      <c r="BV224" s="115">
        <f t="shared" si="973"/>
        <v>1.0715424666474938</v>
      </c>
      <c r="BW224" s="104">
        <f t="shared" si="973"/>
        <v>1.5158628027810102</v>
      </c>
    </row>
    <row r="225" spans="2:75" hidden="1" outlineLevel="1" x14ac:dyDescent="0.3">
      <c r="E225" s="13" t="s">
        <v>753</v>
      </c>
      <c r="F225" s="13" t="s">
        <v>772</v>
      </c>
      <c r="G225" s="22" t="s">
        <v>841</v>
      </c>
      <c r="H225" s="13" t="s">
        <v>806</v>
      </c>
      <c r="I225" s="13" t="s">
        <v>660</v>
      </c>
      <c r="J225" s="13" t="s">
        <v>144</v>
      </c>
      <c r="L225" s="13" t="s">
        <v>777</v>
      </c>
      <c r="M225" s="13" t="s">
        <v>794</v>
      </c>
      <c r="N225" s="13" t="str">
        <f t="shared" si="958"/>
        <v>VRFSysHtgEIRBdry_fTdbSI</v>
      </c>
      <c r="O225" s="13" t="s">
        <v>162</v>
      </c>
      <c r="P225" s="13" t="s">
        <v>800</v>
      </c>
      <c r="Q225" s="13" t="s">
        <v>117</v>
      </c>
      <c r="V225" s="33">
        <v>-38.662146343899053</v>
      </c>
      <c r="W225" s="33">
        <v>5.2351709478316586</v>
      </c>
      <c r="X225" s="33">
        <v>-0.15369276785977504</v>
      </c>
      <c r="AI225" s="13">
        <v>25</v>
      </c>
      <c r="AJ225" s="13">
        <v>12</v>
      </c>
      <c r="AO225" s="13">
        <v>0</v>
      </c>
      <c r="AP225" s="120" t="str">
        <f t="shared" si="959"/>
        <v/>
      </c>
      <c r="AQ225" s="120" t="str">
        <f t="shared" si="960"/>
        <v/>
      </c>
      <c r="AR225" s="120" t="str">
        <f t="shared" si="961"/>
        <v/>
      </c>
      <c r="AS225" s="120" t="str">
        <f t="shared" si="962"/>
        <v/>
      </c>
      <c r="AT225" s="13" t="str">
        <f t="shared" si="963"/>
        <v/>
      </c>
      <c r="AU225" s="13" t="str">
        <f t="shared" si="964"/>
        <v xml:space="preserve">               </v>
      </c>
      <c r="AV225" s="13" t="str">
        <f t="shared" si="937"/>
        <v/>
      </c>
      <c r="AW225" s="13" t="str">
        <f t="shared" si="965"/>
        <v xml:space="preserve">                                                                 </v>
      </c>
      <c r="AX225" s="13" t="str">
        <f t="shared" si="974"/>
        <v/>
      </c>
      <c r="AY225" s="13" t="str">
        <f t="shared" si="974"/>
        <v/>
      </c>
      <c r="AZ225" s="13" t="str">
        <f t="shared" si="974"/>
        <v/>
      </c>
      <c r="BA225" s="13" t="str">
        <f t="shared" si="974"/>
        <v/>
      </c>
      <c r="BB225" s="13" t="str">
        <f t="shared" si="974"/>
        <v/>
      </c>
      <c r="BC225" s="13" t="str">
        <f t="shared" si="974"/>
        <v/>
      </c>
      <c r="BE225" s="13" t="str">
        <f t="shared" si="967"/>
        <v/>
      </c>
      <c r="BF225" s="13" t="str">
        <f t="shared" si="967"/>
        <v/>
      </c>
      <c r="BG225" s="13" t="str">
        <f t="shared" si="967"/>
        <v/>
      </c>
      <c r="BH225" s="13" t="str">
        <f t="shared" si="967"/>
        <v/>
      </c>
      <c r="BI225" s="13" t="str">
        <f t="shared" si="967"/>
        <v/>
      </c>
      <c r="BJ225" s="13" t="str">
        <f t="shared" si="967"/>
        <v/>
      </c>
      <c r="BM225" s="13" t="str">
        <f t="shared" si="968"/>
        <v>Tdb</v>
      </c>
      <c r="BQ225" s="13">
        <f t="shared" si="972"/>
        <v>25</v>
      </c>
      <c r="BR225" s="13">
        <f t="shared" si="972"/>
        <v>12</v>
      </c>
      <c r="BU225" s="104"/>
      <c r="BV225" s="115">
        <f t="shared" si="973"/>
        <v>-3.840852560466999</v>
      </c>
      <c r="BW225" s="104">
        <f t="shared" si="973"/>
        <v>2.0281464582732447</v>
      </c>
    </row>
    <row r="226" spans="2:75" hidden="1" outlineLevel="1" x14ac:dyDescent="0.3">
      <c r="E226" s="13" t="s">
        <v>753</v>
      </c>
      <c r="F226" s="13" t="s">
        <v>773</v>
      </c>
      <c r="G226" s="22" t="s">
        <v>841</v>
      </c>
      <c r="H226" s="13" t="s">
        <v>806</v>
      </c>
      <c r="I226" s="13" t="s">
        <v>660</v>
      </c>
      <c r="J226" s="13" t="s">
        <v>144</v>
      </c>
      <c r="L226" s="13" t="s">
        <v>777</v>
      </c>
      <c r="M226" s="13" t="s">
        <v>795</v>
      </c>
      <c r="N226" s="13" t="str">
        <f t="shared" si="958"/>
        <v>VRFSysHtgEIRRatio_fTdbToadbHiSI</v>
      </c>
      <c r="O226" s="13" t="s">
        <v>165</v>
      </c>
      <c r="P226" s="13" t="s">
        <v>288</v>
      </c>
      <c r="Q226" s="13" t="s">
        <v>117</v>
      </c>
      <c r="R226" s="13" t="s">
        <v>460</v>
      </c>
      <c r="S226" s="13" t="s">
        <v>799</v>
      </c>
      <c r="V226" s="33">
        <v>0.8696914864448636</v>
      </c>
      <c r="W226" s="33">
        <v>1.7188975486905633E-2</v>
      </c>
      <c r="X226" s="33">
        <v>-1.5083441778968623E-4</v>
      </c>
      <c r="Y226" s="33">
        <v>-1.5776789126802623E-2</v>
      </c>
      <c r="Z226" s="33">
        <v>5.8191354904987803E-4</v>
      </c>
      <c r="AA226" s="33">
        <v>-6.9746489602280322E-4</v>
      </c>
      <c r="AI226" s="13">
        <v>25</v>
      </c>
      <c r="AJ226" s="13">
        <v>12</v>
      </c>
      <c r="AK226" s="13">
        <v>16</v>
      </c>
      <c r="AL226" s="13">
        <v>-5</v>
      </c>
      <c r="AO226" s="13">
        <v>0</v>
      </c>
      <c r="AP226" s="120" t="str">
        <f t="shared" si="959"/>
        <v/>
      </c>
      <c r="AQ226" s="120" t="str">
        <f t="shared" si="960"/>
        <v/>
      </c>
      <c r="AR226" s="120" t="str">
        <f t="shared" si="961"/>
        <v/>
      </c>
      <c r="AS226" s="120" t="str">
        <f t="shared" si="962"/>
        <v/>
      </c>
      <c r="AT226" s="13" t="str">
        <f t="shared" si="963"/>
        <v/>
      </c>
      <c r="AU226" s="13" t="str">
        <f t="shared" si="964"/>
        <v xml:space="preserve">               </v>
      </c>
      <c r="AV226" s="13" t="str">
        <f t="shared" si="937"/>
        <v/>
      </c>
      <c r="AW226" s="13" t="str">
        <f t="shared" si="965"/>
        <v xml:space="preserve">                                                                 </v>
      </c>
      <c r="AX226" s="13" t="str">
        <f t="shared" si="974"/>
        <v/>
      </c>
      <c r="AY226" s="13" t="str">
        <f t="shared" si="974"/>
        <v/>
      </c>
      <c r="AZ226" s="13" t="str">
        <f t="shared" si="974"/>
        <v/>
      </c>
      <c r="BA226" s="13" t="str">
        <f t="shared" si="974"/>
        <v/>
      </c>
      <c r="BB226" s="13" t="str">
        <f t="shared" si="974"/>
        <v/>
      </c>
      <c r="BC226" s="13" t="str">
        <f t="shared" si="974"/>
        <v/>
      </c>
      <c r="BE226" s="13" t="str">
        <f t="shared" si="967"/>
        <v/>
      </c>
      <c r="BF226" s="13" t="str">
        <f t="shared" si="967"/>
        <v/>
      </c>
      <c r="BG226" s="13" t="str">
        <f t="shared" si="967"/>
        <v/>
      </c>
      <c r="BH226" s="13" t="str">
        <f t="shared" si="967"/>
        <v/>
      </c>
      <c r="BI226" s="13" t="str">
        <f t="shared" si="967"/>
        <v/>
      </c>
      <c r="BJ226" s="13" t="str">
        <f t="shared" si="967"/>
        <v/>
      </c>
      <c r="BM226" s="13" t="str">
        <f t="shared" si="968"/>
        <v>Tdb</v>
      </c>
      <c r="BN226" s="13" t="str">
        <f t="shared" si="968"/>
        <v>Toadb</v>
      </c>
      <c r="BQ226" s="13">
        <f t="shared" si="972"/>
        <v>25</v>
      </c>
      <c r="BR226" s="13">
        <f t="shared" si="972"/>
        <v>12</v>
      </c>
      <c r="BS226" s="13">
        <f t="shared" si="972"/>
        <v>16</v>
      </c>
      <c r="BT226" s="13">
        <f t="shared" si="972"/>
        <v>-5</v>
      </c>
      <c r="BU226" s="104"/>
      <c r="BV226" s="115">
        <f t="shared" si="973"/>
        <v>0.82269964661775608</v>
      </c>
      <c r="BW226" s="104">
        <f t="shared" si="973"/>
        <v>1.1895187142476447</v>
      </c>
    </row>
    <row r="227" spans="2:75" hidden="1" outlineLevel="1" x14ac:dyDescent="0.3">
      <c r="E227" s="13" t="s">
        <v>753</v>
      </c>
      <c r="F227" s="13" t="s">
        <v>774</v>
      </c>
      <c r="G227" s="22" t="s">
        <v>841</v>
      </c>
      <c r="H227" s="13" t="s">
        <v>806</v>
      </c>
      <c r="I227" s="13" t="s">
        <v>660</v>
      </c>
      <c r="J227" s="13" t="s">
        <v>144</v>
      </c>
      <c r="L227" s="13" t="s">
        <v>777</v>
      </c>
      <c r="M227" s="13" t="s">
        <v>796</v>
      </c>
      <c r="N227" s="13" t="str">
        <f t="shared" si="958"/>
        <v>VRFSysHtgEIRRatio_fPLRSI</v>
      </c>
      <c r="O227" s="13" t="s">
        <v>162</v>
      </c>
      <c r="P227" s="13" t="s">
        <v>288</v>
      </c>
      <c r="Q227" s="13" t="s">
        <v>28</v>
      </c>
      <c r="V227" s="33">
        <v>1.0474850632692934E-3</v>
      </c>
      <c r="W227" s="33">
        <v>0.69116791128515909</v>
      </c>
      <c r="X227" s="33">
        <v>0.27364101671439572</v>
      </c>
      <c r="AI227" s="13">
        <v>1.3</v>
      </c>
      <c r="AJ227" s="13">
        <v>0.2</v>
      </c>
      <c r="AO227" s="13">
        <v>0</v>
      </c>
      <c r="AP227" s="120" t="str">
        <f t="shared" si="959"/>
        <v/>
      </c>
      <c r="AQ227" s="120" t="str">
        <f t="shared" si="960"/>
        <v/>
      </c>
      <c r="AR227" s="120" t="str">
        <f t="shared" si="961"/>
        <v/>
      </c>
      <c r="AS227" s="120" t="str">
        <f t="shared" si="962"/>
        <v/>
      </c>
      <c r="AT227" s="13" t="str">
        <f t="shared" si="963"/>
        <v/>
      </c>
      <c r="AU227" s="13" t="str">
        <f t="shared" si="964"/>
        <v xml:space="preserve">               </v>
      </c>
      <c r="AV227" s="13" t="str">
        <f t="shared" si="937"/>
        <v/>
      </c>
      <c r="AW227" s="13" t="str">
        <f t="shared" si="965"/>
        <v xml:space="preserve">                                                                 </v>
      </c>
      <c r="AX227" s="13" t="str">
        <f t="shared" si="974"/>
        <v/>
      </c>
      <c r="AY227" s="13" t="str">
        <f t="shared" si="974"/>
        <v/>
      </c>
      <c r="AZ227" s="13" t="str">
        <f t="shared" si="974"/>
        <v/>
      </c>
      <c r="BA227" s="13" t="str">
        <f t="shared" si="974"/>
        <v/>
      </c>
      <c r="BB227" s="13" t="str">
        <f t="shared" si="974"/>
        <v/>
      </c>
      <c r="BC227" s="13" t="str">
        <f t="shared" si="974"/>
        <v/>
      </c>
      <c r="BE227" s="13" t="str">
        <f t="shared" si="967"/>
        <v/>
      </c>
      <c r="BF227" s="13" t="str">
        <f t="shared" si="967"/>
        <v/>
      </c>
      <c r="BG227" s="13" t="str">
        <f t="shared" si="967"/>
        <v/>
      </c>
      <c r="BH227" s="13" t="str">
        <f t="shared" si="967"/>
        <v/>
      </c>
      <c r="BI227" s="13" t="str">
        <f t="shared" si="967"/>
        <v/>
      </c>
      <c r="BJ227" s="13" t="str">
        <f t="shared" si="967"/>
        <v/>
      </c>
      <c r="BM227" s="13" t="str">
        <f t="shared" si="968"/>
        <v>PLR</v>
      </c>
      <c r="BQ227" s="13">
        <f t="shared" si="972"/>
        <v>1.3</v>
      </c>
      <c r="BR227" s="13">
        <f t="shared" si="972"/>
        <v>0.2</v>
      </c>
      <c r="BU227" s="104"/>
      <c r="BV227" s="115">
        <f t="shared" si="973"/>
        <v>1.362019087981305</v>
      </c>
      <c r="BW227" s="104">
        <f t="shared" si="973"/>
        <v>0.15022670798887697</v>
      </c>
    </row>
    <row r="228" spans="2:75" hidden="1" outlineLevel="1" x14ac:dyDescent="0.3">
      <c r="E228" s="13" t="s">
        <v>753</v>
      </c>
      <c r="F228" s="13" t="s">
        <v>775</v>
      </c>
      <c r="G228" s="22" t="s">
        <v>841</v>
      </c>
      <c r="H228" s="13" t="s">
        <v>806</v>
      </c>
      <c r="I228" s="13" t="s">
        <v>660</v>
      </c>
      <c r="J228" s="13" t="s">
        <v>144</v>
      </c>
      <c r="L228" s="13" t="s">
        <v>777</v>
      </c>
      <c r="M228" s="13" t="s">
        <v>797</v>
      </c>
      <c r="N228" s="13" t="str">
        <f t="shared" si="958"/>
        <v>VRFSysHtgEIRRatio_fPLRSI</v>
      </c>
      <c r="O228" s="13" t="s">
        <v>162</v>
      </c>
      <c r="P228" s="13" t="s">
        <v>288</v>
      </c>
      <c r="Q228" s="13" t="s">
        <v>28</v>
      </c>
      <c r="V228" s="33">
        <v>1.0474850632692934E-3</v>
      </c>
      <c r="W228" s="33">
        <v>0.69116791128515909</v>
      </c>
      <c r="X228" s="33">
        <v>0.27364101671439572</v>
      </c>
      <c r="AI228" s="13">
        <v>1.3</v>
      </c>
      <c r="AJ228" s="13">
        <v>0.2</v>
      </c>
      <c r="AO228" s="13">
        <v>0</v>
      </c>
      <c r="AP228" s="120" t="str">
        <f t="shared" si="959"/>
        <v/>
      </c>
      <c r="AQ228" s="120" t="str">
        <f t="shared" si="960"/>
        <v/>
      </c>
      <c r="AR228" s="120" t="str">
        <f t="shared" si="961"/>
        <v/>
      </c>
      <c r="AS228" s="120" t="str">
        <f t="shared" si="962"/>
        <v/>
      </c>
      <c r="AT228" s="13" t="str">
        <f t="shared" si="963"/>
        <v/>
      </c>
      <c r="AU228" s="13" t="str">
        <f t="shared" si="964"/>
        <v xml:space="preserve">               </v>
      </c>
      <c r="AV228" s="13" t="str">
        <f t="shared" si="937"/>
        <v/>
      </c>
      <c r="AW228" s="13" t="str">
        <f t="shared" si="965"/>
        <v xml:space="preserve">                                                                 </v>
      </c>
      <c r="AX228" s="13" t="str">
        <f t="shared" si="974"/>
        <v/>
      </c>
      <c r="AY228" s="13" t="str">
        <f t="shared" si="974"/>
        <v/>
      </c>
      <c r="AZ228" s="13" t="str">
        <f t="shared" si="974"/>
        <v/>
      </c>
      <c r="BA228" s="13" t="str">
        <f t="shared" si="974"/>
        <v/>
      </c>
      <c r="BB228" s="13" t="str">
        <f t="shared" si="974"/>
        <v/>
      </c>
      <c r="BC228" s="13" t="str">
        <f t="shared" si="974"/>
        <v/>
      </c>
      <c r="BE228" s="13" t="str">
        <f t="shared" si="967"/>
        <v/>
      </c>
      <c r="BF228" s="13" t="str">
        <f t="shared" si="967"/>
        <v/>
      </c>
      <c r="BG228" s="13" t="str">
        <f t="shared" si="967"/>
        <v/>
      </c>
      <c r="BH228" s="13" t="str">
        <f t="shared" si="967"/>
        <v/>
      </c>
      <c r="BI228" s="13" t="str">
        <f t="shared" si="967"/>
        <v/>
      </c>
      <c r="BJ228" s="13" t="str">
        <f t="shared" si="967"/>
        <v/>
      </c>
      <c r="BM228" s="13" t="str">
        <f t="shared" si="968"/>
        <v>PLR</v>
      </c>
      <c r="BQ228" s="13">
        <f t="shared" si="972"/>
        <v>1.3</v>
      </c>
      <c r="BR228" s="13">
        <f t="shared" si="972"/>
        <v>0.2</v>
      </c>
      <c r="BU228" s="104"/>
      <c r="BV228" s="115">
        <f t="shared" si="973"/>
        <v>1.362019087981305</v>
      </c>
      <c r="BW228" s="104">
        <f t="shared" si="973"/>
        <v>0.15022670798887697</v>
      </c>
    </row>
    <row r="229" spans="2:75" hidden="1" outlineLevel="1" x14ac:dyDescent="0.3">
      <c r="E229" s="13" t="s">
        <v>753</v>
      </c>
      <c r="F229" s="13" t="s">
        <v>809</v>
      </c>
      <c r="G229" s="22" t="s">
        <v>841</v>
      </c>
      <c r="H229" s="13" t="s">
        <v>806</v>
      </c>
      <c r="I229" s="13" t="s">
        <v>660</v>
      </c>
      <c r="J229" s="13" t="s">
        <v>144</v>
      </c>
      <c r="L229" s="13" t="s">
        <v>777</v>
      </c>
      <c r="M229" s="13" t="s">
        <v>812</v>
      </c>
      <c r="N229" s="13" t="str">
        <f t="shared" si="958"/>
        <v>VRFSysHtgEIRRatio_fCycRatSI</v>
      </c>
      <c r="O229" s="13" t="s">
        <v>230</v>
      </c>
      <c r="P229" s="13" t="s">
        <v>288</v>
      </c>
      <c r="Q229" s="13" t="s">
        <v>804</v>
      </c>
      <c r="V229" s="33">
        <v>0.85</v>
      </c>
      <c r="W229" s="33">
        <v>0.15</v>
      </c>
      <c r="X229" s="33">
        <v>0</v>
      </c>
      <c r="Y229" s="33">
        <v>0</v>
      </c>
      <c r="AI229" s="13">
        <v>1</v>
      </c>
      <c r="AJ229" s="13">
        <v>0</v>
      </c>
      <c r="AM229" s="22" t="s">
        <v>914</v>
      </c>
      <c r="AO229" s="13">
        <v>0</v>
      </c>
      <c r="AP229" s="120" t="str">
        <f t="shared" si="959"/>
        <v/>
      </c>
      <c r="AQ229" s="120" t="str">
        <f t="shared" si="960"/>
        <v/>
      </c>
      <c r="AR229" s="120" t="str">
        <f t="shared" si="961"/>
        <v/>
      </c>
      <c r="AS229" s="120" t="str">
        <f t="shared" si="962"/>
        <v/>
      </c>
      <c r="AT229" s="13" t="str">
        <f t="shared" si="963"/>
        <v/>
      </c>
      <c r="AU229" s="13" t="str">
        <f t="shared" si="964"/>
        <v xml:space="preserve">               </v>
      </c>
      <c r="AV229" s="13" t="str">
        <f t="shared" si="937"/>
        <v/>
      </c>
      <c r="AW229" s="13" t="str">
        <f t="shared" si="965"/>
        <v xml:space="preserve">                                                                 </v>
      </c>
      <c r="AX229" s="13" t="str">
        <f t="shared" si="974"/>
        <v/>
      </c>
      <c r="AY229" s="13" t="str">
        <f t="shared" si="974"/>
        <v/>
      </c>
      <c r="AZ229" s="13" t="str">
        <f t="shared" si="974"/>
        <v/>
      </c>
      <c r="BA229" s="13" t="str">
        <f t="shared" si="974"/>
        <v/>
      </c>
      <c r="BB229" s="13" t="str">
        <f t="shared" si="974"/>
        <v/>
      </c>
      <c r="BC229" s="13" t="str">
        <f t="shared" si="974"/>
        <v/>
      </c>
      <c r="BE229" s="13" t="str">
        <f t="shared" si="967"/>
        <v/>
      </c>
      <c r="BF229" s="13" t="str">
        <f t="shared" si="967"/>
        <v/>
      </c>
      <c r="BG229" s="13" t="str">
        <f t="shared" si="967"/>
        <v/>
      </c>
      <c r="BH229" s="13" t="str">
        <f t="shared" si="967"/>
        <v/>
      </c>
      <c r="BI229" s="13" t="str">
        <f t="shared" si="967"/>
        <v/>
      </c>
      <c r="BJ229" s="13" t="str">
        <f t="shared" si="967"/>
        <v/>
      </c>
      <c r="BQ229" s="13">
        <f t="shared" si="972"/>
        <v>1</v>
      </c>
      <c r="BU229" s="104"/>
      <c r="BV229" s="115">
        <f t="shared" si="973"/>
        <v>1</v>
      </c>
      <c r="BW229" s="104">
        <f t="shared" si="973"/>
        <v>0.85</v>
      </c>
    </row>
    <row r="230" spans="2:75" hidden="1" outlineLevel="1" x14ac:dyDescent="0.3">
      <c r="E230" s="13" t="s">
        <v>753</v>
      </c>
      <c r="F230" s="13" t="s">
        <v>776</v>
      </c>
      <c r="G230" s="22" t="s">
        <v>841</v>
      </c>
      <c r="H230" s="13" t="s">
        <v>808</v>
      </c>
      <c r="I230" s="13" t="s">
        <v>660</v>
      </c>
      <c r="J230" s="13" t="s">
        <v>144</v>
      </c>
      <c r="L230" s="13" t="s">
        <v>777</v>
      </c>
      <c r="M230" s="13" t="s">
        <v>811</v>
      </c>
      <c r="N230" s="13" t="str">
        <f t="shared" si="958"/>
        <v>VRFSysHtRcvryHtgEIRRatio_fTdbToadbSI</v>
      </c>
      <c r="O230" s="13" t="s">
        <v>165</v>
      </c>
      <c r="P230" s="13" t="s">
        <v>288</v>
      </c>
      <c r="Q230" s="13" t="s">
        <v>117</v>
      </c>
      <c r="R230" s="13" t="s">
        <v>460</v>
      </c>
      <c r="V230" s="33">
        <v>0.8696914864448636</v>
      </c>
      <c r="W230" s="33">
        <v>1.7188975486905633E-2</v>
      </c>
      <c r="X230" s="33">
        <v>-1.5083441778968623E-4</v>
      </c>
      <c r="Y230" s="33">
        <v>-1.5776789126802623E-2</v>
      </c>
      <c r="Z230" s="33">
        <v>5.8191354904987803E-4</v>
      </c>
      <c r="AA230" s="33">
        <v>-6.9746489602280322E-4</v>
      </c>
      <c r="AI230" s="13">
        <v>25</v>
      </c>
      <c r="AJ230" s="13">
        <v>12</v>
      </c>
      <c r="AK230" s="13">
        <v>16</v>
      </c>
      <c r="AL230" s="13">
        <v>-20</v>
      </c>
      <c r="AO230" s="13">
        <v>0</v>
      </c>
      <c r="AP230" s="120" t="str">
        <f t="shared" si="959"/>
        <v/>
      </c>
      <c r="AQ230" s="120" t="str">
        <f t="shared" si="960"/>
        <v/>
      </c>
      <c r="AR230" s="120" t="str">
        <f t="shared" si="961"/>
        <v/>
      </c>
      <c r="AS230" s="120" t="str">
        <f t="shared" si="962"/>
        <v/>
      </c>
      <c r="AT230" s="13" t="str">
        <f t="shared" si="963"/>
        <v/>
      </c>
      <c r="AU230" s="13" t="str">
        <f t="shared" si="964"/>
        <v xml:space="preserve">               </v>
      </c>
      <c r="AV230" s="13" t="str">
        <f t="shared" si="937"/>
        <v/>
      </c>
      <c r="AW230" s="13" t="str">
        <f t="shared" si="965"/>
        <v xml:space="preserve">                                                                 </v>
      </c>
      <c r="AX230" s="13" t="str">
        <f t="shared" si="974"/>
        <v/>
      </c>
      <c r="AY230" s="13" t="str">
        <f t="shared" si="974"/>
        <v/>
      </c>
      <c r="AZ230" s="13" t="str">
        <f t="shared" si="974"/>
        <v/>
      </c>
      <c r="BA230" s="13" t="str">
        <f t="shared" si="974"/>
        <v/>
      </c>
      <c r="BB230" s="13" t="str">
        <f t="shared" si="974"/>
        <v/>
      </c>
      <c r="BC230" s="13" t="str">
        <f t="shared" si="974"/>
        <v/>
      </c>
      <c r="BE230" s="13" t="str">
        <f t="shared" si="967"/>
        <v/>
      </c>
      <c r="BF230" s="13" t="str">
        <f t="shared" si="967"/>
        <v/>
      </c>
      <c r="BG230" s="13" t="str">
        <f t="shared" si="967"/>
        <v/>
      </c>
      <c r="BH230" s="13" t="str">
        <f t="shared" si="967"/>
        <v/>
      </c>
      <c r="BI230" s="13" t="str">
        <f t="shared" si="967"/>
        <v/>
      </c>
      <c r="BJ230" s="13" t="str">
        <f t="shared" si="967"/>
        <v/>
      </c>
      <c r="BM230" s="13" t="str">
        <f t="shared" si="968"/>
        <v>Tdb</v>
      </c>
      <c r="BN230" s="13" t="str">
        <f t="shared" si="968"/>
        <v>Toadb</v>
      </c>
      <c r="BQ230" s="13">
        <f>AI230</f>
        <v>25</v>
      </c>
      <c r="BR230" s="13">
        <f t="shared" ref="BR230:BT230" si="975">AJ230</f>
        <v>12</v>
      </c>
      <c r="BS230" s="13">
        <f t="shared" si="975"/>
        <v>16</v>
      </c>
      <c r="BT230" s="13">
        <f t="shared" si="975"/>
        <v>-20</v>
      </c>
      <c r="BU230" s="104"/>
      <c r="BV230" s="115">
        <f>$V230+$W230*BQ230+$X230*BQ230^2+$Y230*BS230+$Z230*BS230^2+$AA230*BQ230*BS230</f>
        <v>0.82269964661775608</v>
      </c>
      <c r="BW230" s="104">
        <f>$V230+$W230*BR230+$X230*BR230^2+$Y230*BT230+$Z230*BT230^2+$AA230*BR230*BT230</f>
        <v>1.7699318133274926</v>
      </c>
    </row>
    <row r="231" spans="2:75" hidden="1" outlineLevel="1" x14ac:dyDescent="0.3">
      <c r="B231" s="13" t="s">
        <v>927</v>
      </c>
      <c r="D231" s="22" t="s">
        <v>816</v>
      </c>
      <c r="E231" s="13" t="s">
        <v>753</v>
      </c>
      <c r="F231" s="13" t="s">
        <v>842</v>
      </c>
      <c r="G231" s="22" t="s">
        <v>841</v>
      </c>
      <c r="H231" s="13" t="s">
        <v>805</v>
      </c>
      <c r="I231" s="13" t="s">
        <v>660</v>
      </c>
      <c r="J231" s="13" t="s">
        <v>144</v>
      </c>
      <c r="L231" s="13" t="s">
        <v>777</v>
      </c>
      <c r="M231" s="13" t="s">
        <v>819</v>
      </c>
      <c r="N231" s="13" t="str">
        <f t="shared" si="958"/>
        <v>VRFSysClgPipeLoss_fLenRatioSI</v>
      </c>
      <c r="O231" s="13" t="s">
        <v>162</v>
      </c>
      <c r="P231" s="13" t="s">
        <v>821</v>
      </c>
      <c r="Q231" s="13" t="s">
        <v>849</v>
      </c>
      <c r="V231" s="33">
        <v>1.0105958905174834</v>
      </c>
      <c r="W231" s="33">
        <v>-1.1410996332361966E-2</v>
      </c>
      <c r="X231" s="33">
        <v>6.383802361392983E-5</v>
      </c>
      <c r="AI231" s="13">
        <v>25</v>
      </c>
      <c r="AJ231" s="13">
        <v>1</v>
      </c>
      <c r="AO231" s="13">
        <v>0</v>
      </c>
      <c r="AP231" s="120" t="str">
        <f t="shared" si="959"/>
        <v/>
      </c>
      <c r="AQ231" s="120" t="str">
        <f t="shared" si="960"/>
        <v/>
      </c>
      <c r="AR231" s="120" t="str">
        <f t="shared" si="961"/>
        <v/>
      </c>
      <c r="AS231" s="120" t="str">
        <f t="shared" si="962"/>
        <v/>
      </c>
      <c r="AT231" s="13" t="str">
        <f t="shared" si="963"/>
        <v/>
      </c>
      <c r="AU231" s="13" t="str">
        <f t="shared" si="964"/>
        <v xml:space="preserve">               </v>
      </c>
      <c r="AV231" s="13" t="str">
        <f t="shared" si="937"/>
        <v/>
      </c>
      <c r="AW231" s="13" t="str">
        <f t="shared" si="965"/>
        <v xml:space="preserve">                                                                 </v>
      </c>
      <c r="AX231" s="13" t="str">
        <f t="shared" si="974"/>
        <v/>
      </c>
      <c r="AY231" s="13" t="str">
        <f t="shared" si="974"/>
        <v/>
      </c>
      <c r="AZ231" s="13" t="str">
        <f t="shared" si="974"/>
        <v/>
      </c>
      <c r="BA231" s="13" t="str">
        <f t="shared" si="974"/>
        <v/>
      </c>
      <c r="BB231" s="13" t="str">
        <f t="shared" si="974"/>
        <v/>
      </c>
      <c r="BC231" s="13" t="str">
        <f t="shared" si="974"/>
        <v/>
      </c>
      <c r="BE231" s="13" t="str">
        <f t="shared" si="967"/>
        <v/>
      </c>
      <c r="BF231" s="13" t="str">
        <f t="shared" si="967"/>
        <v/>
      </c>
      <c r="BG231" s="13" t="str">
        <f t="shared" si="967"/>
        <v/>
      </c>
      <c r="BH231" s="13" t="str">
        <f t="shared" si="967"/>
        <v/>
      </c>
      <c r="BI231" s="13" t="str">
        <f t="shared" si="967"/>
        <v/>
      </c>
      <c r="BJ231" s="13" t="str">
        <f t="shared" si="967"/>
        <v/>
      </c>
      <c r="BM231" s="13" t="str">
        <f t="shared" si="968"/>
        <v>LenRatio</v>
      </c>
      <c r="BU231" s="104"/>
      <c r="BV231" s="115"/>
      <c r="BW231" s="104"/>
    </row>
    <row r="232" spans="2:75" hidden="1" outlineLevel="1" x14ac:dyDescent="0.3">
      <c r="E232" s="13" t="s">
        <v>753</v>
      </c>
      <c r="F232" s="13" t="s">
        <v>843</v>
      </c>
      <c r="G232" s="22" t="s">
        <v>841</v>
      </c>
      <c r="H232" s="13" t="s">
        <v>806</v>
      </c>
      <c r="I232" s="13" t="s">
        <v>660</v>
      </c>
      <c r="J232" s="13" t="s">
        <v>144</v>
      </c>
      <c r="L232" s="13" t="s">
        <v>777</v>
      </c>
      <c r="M232" s="13" t="s">
        <v>820</v>
      </c>
      <c r="N232" s="13" t="str">
        <f t="shared" si="958"/>
        <v>VRFSysHtgPipeLoss_fLenRatioSI</v>
      </c>
      <c r="O232" s="13" t="s">
        <v>162</v>
      </c>
      <c r="P232" s="13" t="s">
        <v>821</v>
      </c>
      <c r="Q232" s="13" t="s">
        <v>849</v>
      </c>
      <c r="V232" s="33">
        <v>1.0015678426442838</v>
      </c>
      <c r="W232" s="33">
        <v>-2.4185540091695274E-3</v>
      </c>
      <c r="X232" s="33">
        <v>-2.0376217630457912E-5</v>
      </c>
      <c r="AI232" s="13">
        <v>25</v>
      </c>
      <c r="AJ232" s="13">
        <v>1</v>
      </c>
      <c r="AO232" s="13">
        <v>0</v>
      </c>
      <c r="AP232" s="120" t="str">
        <f t="shared" si="959"/>
        <v/>
      </c>
      <c r="AQ232" s="120" t="str">
        <f t="shared" si="960"/>
        <v/>
      </c>
      <c r="AR232" s="120" t="str">
        <f t="shared" si="961"/>
        <v/>
      </c>
      <c r="AS232" s="120" t="str">
        <f t="shared" si="962"/>
        <v/>
      </c>
      <c r="AT232" s="13" t="str">
        <f t="shared" si="963"/>
        <v/>
      </c>
      <c r="AU232" s="13" t="str">
        <f t="shared" si="964"/>
        <v xml:space="preserve">               </v>
      </c>
      <c r="AV232" s="13" t="str">
        <f t="shared" si="937"/>
        <v/>
      </c>
      <c r="AW232" s="13" t="str">
        <f t="shared" si="965"/>
        <v xml:space="preserve">                                                                 </v>
      </c>
      <c r="AX232" s="13" t="str">
        <f t="shared" si="974"/>
        <v/>
      </c>
      <c r="AY232" s="13" t="str">
        <f t="shared" si="974"/>
        <v/>
      </c>
      <c r="AZ232" s="13" t="str">
        <f t="shared" si="974"/>
        <v/>
      </c>
      <c r="BA232" s="13" t="str">
        <f t="shared" si="974"/>
        <v/>
      </c>
      <c r="BB232" s="13" t="str">
        <f t="shared" si="974"/>
        <v/>
      </c>
      <c r="BC232" s="13" t="str">
        <f t="shared" si="974"/>
        <v/>
      </c>
      <c r="BE232" s="13" t="str">
        <f t="shared" si="967"/>
        <v/>
      </c>
      <c r="BF232" s="13" t="str">
        <f t="shared" si="967"/>
        <v/>
      </c>
      <c r="BG232" s="13" t="str">
        <f t="shared" si="967"/>
        <v/>
      </c>
      <c r="BH232" s="13" t="str">
        <f t="shared" si="967"/>
        <v/>
      </c>
      <c r="BI232" s="13" t="str">
        <f t="shared" si="967"/>
        <v/>
      </c>
      <c r="BJ232" s="13" t="str">
        <f t="shared" si="967"/>
        <v/>
      </c>
      <c r="BM232" s="13" t="str">
        <f t="shared" si="968"/>
        <v>LenRatio</v>
      </c>
      <c r="BU232" s="104"/>
      <c r="BV232" s="115"/>
      <c r="BW232" s="104"/>
    </row>
    <row r="233" spans="2:75" hidden="1" outlineLevel="1" x14ac:dyDescent="0.3">
      <c r="E233" s="13" t="s">
        <v>753</v>
      </c>
      <c r="F233" s="13" t="s">
        <v>844</v>
      </c>
      <c r="G233" s="22" t="s">
        <v>841</v>
      </c>
      <c r="H233" s="13" t="s">
        <v>805</v>
      </c>
      <c r="I233" s="13" t="s">
        <v>660</v>
      </c>
      <c r="J233" s="13" t="s">
        <v>144</v>
      </c>
      <c r="L233" s="13" t="s">
        <v>777</v>
      </c>
      <c r="M233" s="13" t="s">
        <v>846</v>
      </c>
      <c r="N233" s="13" t="str">
        <f t="shared" si="958"/>
        <v>VRFSysClgPipeLoss_fHeightSI</v>
      </c>
      <c r="O233" s="13" t="s">
        <v>286</v>
      </c>
      <c r="P233" s="13" t="s">
        <v>821</v>
      </c>
      <c r="Q233" s="13" t="s">
        <v>848</v>
      </c>
      <c r="V233" s="33">
        <v>1.0022713238282841</v>
      </c>
      <c r="W233" s="33">
        <v>-5.4610620502684628E-4</v>
      </c>
      <c r="AI233" s="13">
        <v>70</v>
      </c>
      <c r="AJ233" s="13">
        <v>0</v>
      </c>
      <c r="AO233" s="13">
        <v>0</v>
      </c>
      <c r="AP233" s="120" t="str">
        <f t="shared" si="959"/>
        <v/>
      </c>
      <c r="AQ233" s="120" t="str">
        <f t="shared" si="960"/>
        <v/>
      </c>
      <c r="AR233" s="120" t="str">
        <f t="shared" si="961"/>
        <v/>
      </c>
      <c r="AS233" s="120" t="str">
        <f t="shared" si="962"/>
        <v/>
      </c>
      <c r="AT233" s="13" t="str">
        <f t="shared" si="963"/>
        <v/>
      </c>
      <c r="AU233" s="13" t="str">
        <f t="shared" si="964"/>
        <v xml:space="preserve">               </v>
      </c>
      <c r="AV233" s="13" t="str">
        <f t="shared" si="937"/>
        <v/>
      </c>
      <c r="AW233" s="13" t="str">
        <f t="shared" si="965"/>
        <v xml:space="preserve">                                                                 </v>
      </c>
      <c r="AX233" s="13" t="str">
        <f t="shared" si="974"/>
        <v/>
      </c>
      <c r="AY233" s="13" t="str">
        <f t="shared" si="974"/>
        <v/>
      </c>
      <c r="AZ233" s="13" t="str">
        <f t="shared" si="974"/>
        <v/>
      </c>
      <c r="BA233" s="13" t="str">
        <f t="shared" si="974"/>
        <v/>
      </c>
      <c r="BB233" s="13" t="str">
        <f t="shared" si="974"/>
        <v/>
      </c>
      <c r="BC233" s="13" t="str">
        <f t="shared" si="974"/>
        <v/>
      </c>
      <c r="BE233" s="13" t="str">
        <f t="shared" si="967"/>
        <v/>
      </c>
      <c r="BF233" s="13" t="str">
        <f t="shared" si="967"/>
        <v/>
      </c>
      <c r="BG233" s="13" t="str">
        <f t="shared" si="967"/>
        <v/>
      </c>
      <c r="BH233" s="13" t="str">
        <f t="shared" si="967"/>
        <v/>
      </c>
      <c r="BI233" s="13" t="str">
        <f t="shared" si="967"/>
        <v/>
      </c>
      <c r="BJ233" s="13" t="str">
        <f t="shared" si="967"/>
        <v/>
      </c>
      <c r="BM233" s="13" t="str">
        <f t="shared" si="968"/>
        <v>Height</v>
      </c>
      <c r="BU233" s="104"/>
      <c r="BV233" s="115"/>
      <c r="BW233" s="104"/>
    </row>
    <row r="234" spans="2:75" hidden="1" outlineLevel="1" x14ac:dyDescent="0.3">
      <c r="E234" s="13" t="s">
        <v>753</v>
      </c>
      <c r="F234" s="13" t="s">
        <v>845</v>
      </c>
      <c r="G234" s="22" t="s">
        <v>841</v>
      </c>
      <c r="H234" s="13" t="s">
        <v>806</v>
      </c>
      <c r="I234" s="13" t="s">
        <v>660</v>
      </c>
      <c r="J234" s="13" t="s">
        <v>144</v>
      </c>
      <c r="L234" s="13" t="s">
        <v>777</v>
      </c>
      <c r="M234" s="13" t="s">
        <v>847</v>
      </c>
      <c r="N234" s="13" t="str">
        <f t="shared" si="958"/>
        <v>VRFSysHtgPipeLoss_fHeightSI</v>
      </c>
      <c r="O234" s="13" t="s">
        <v>286</v>
      </c>
      <c r="P234" s="13" t="s">
        <v>821</v>
      </c>
      <c r="Q234" s="13" t="s">
        <v>848</v>
      </c>
      <c r="V234" s="33">
        <v>1.000520041897258</v>
      </c>
      <c r="W234" s="33">
        <v>-1.6844886345871259E-4</v>
      </c>
      <c r="AI234" s="13">
        <v>70</v>
      </c>
      <c r="AJ234" s="13">
        <v>0</v>
      </c>
      <c r="AO234" s="13">
        <v>0</v>
      </c>
      <c r="AP234" s="120" t="str">
        <f t="shared" si="959"/>
        <v/>
      </c>
      <c r="AQ234" s="120" t="str">
        <f t="shared" si="960"/>
        <v/>
      </c>
      <c r="AR234" s="120" t="str">
        <f t="shared" si="961"/>
        <v/>
      </c>
      <c r="AS234" s="120" t="str">
        <f t="shared" si="962"/>
        <v/>
      </c>
      <c r="AT234" s="13" t="str">
        <f t="shared" si="963"/>
        <v/>
      </c>
      <c r="AU234" s="13" t="str">
        <f t="shared" si="964"/>
        <v xml:space="preserve">               </v>
      </c>
      <c r="AV234" s="13" t="str">
        <f t="shared" si="937"/>
        <v/>
      </c>
      <c r="AW234" s="13" t="str">
        <f t="shared" si="965"/>
        <v xml:space="preserve">                                                                 </v>
      </c>
      <c r="AX234" s="13" t="str">
        <f t="shared" si="974"/>
        <v/>
      </c>
      <c r="AY234" s="13" t="str">
        <f t="shared" si="974"/>
        <v/>
      </c>
      <c r="AZ234" s="13" t="str">
        <f t="shared" si="974"/>
        <v/>
      </c>
      <c r="BA234" s="13" t="str">
        <f t="shared" si="974"/>
        <v/>
      </c>
      <c r="BB234" s="13" t="str">
        <f t="shared" si="974"/>
        <v/>
      </c>
      <c r="BC234" s="13" t="str">
        <f t="shared" si="974"/>
        <v/>
      </c>
      <c r="BE234" s="13" t="str">
        <f t="shared" si="967"/>
        <v/>
      </c>
      <c r="BF234" s="13" t="str">
        <f t="shared" si="967"/>
        <v/>
      </c>
      <c r="BG234" s="13" t="str">
        <f t="shared" si="967"/>
        <v/>
      </c>
      <c r="BH234" s="13" t="str">
        <f t="shared" si="967"/>
        <v/>
      </c>
      <c r="BI234" s="13" t="str">
        <f t="shared" si="967"/>
        <v/>
      </c>
      <c r="BJ234" s="13" t="str">
        <f t="shared" si="967"/>
        <v/>
      </c>
      <c r="BM234" s="13" t="str">
        <f t="shared" si="968"/>
        <v>Height</v>
      </c>
      <c r="BU234" s="104"/>
      <c r="BV234" s="115"/>
      <c r="BW234" s="104"/>
    </row>
    <row r="235" spans="2:75" hidden="1" outlineLevel="1" x14ac:dyDescent="0.3">
      <c r="B235" s="13" t="s">
        <v>810</v>
      </c>
      <c r="D235" s="22" t="s">
        <v>758</v>
      </c>
      <c r="E235" s="13" t="s">
        <v>913</v>
      </c>
      <c r="F235" s="13" t="s">
        <v>754</v>
      </c>
      <c r="G235" s="22" t="s">
        <v>841</v>
      </c>
      <c r="H235" s="13" t="s">
        <v>805</v>
      </c>
      <c r="I235" s="13" t="s">
        <v>660</v>
      </c>
      <c r="J235" s="13" t="s">
        <v>912</v>
      </c>
      <c r="L235" s="13" t="s">
        <v>777</v>
      </c>
      <c r="M235" s="13" t="s">
        <v>778</v>
      </c>
      <c r="N235" s="13" t="str">
        <f t="shared" ref="N235:N244" si="976">IF(ISBLANK(E235),"-",E235&amp;H235&amp;P235&amp;"_f"&amp;Q235&amp;R235&amp;S235&amp;T235&amp;U235&amp;I235)</f>
        <v>OSDef-VRFSysClgQRatio_fTwbToadbLowSI</v>
      </c>
      <c r="O235" s="13" t="s">
        <v>165</v>
      </c>
      <c r="P235" s="13" t="s">
        <v>160</v>
      </c>
      <c r="Q235" s="13" t="s">
        <v>116</v>
      </c>
      <c r="R235" s="13" t="s">
        <v>460</v>
      </c>
      <c r="S235" s="13" t="s">
        <v>798</v>
      </c>
      <c r="V235" s="33">
        <v>0.57688269199999997</v>
      </c>
      <c r="W235" s="33">
        <v>1.7447951999999999E-2</v>
      </c>
      <c r="X235" s="33">
        <v>5.8326899999999997E-4</v>
      </c>
      <c r="Y235" s="33">
        <v>-1.76324E-6</v>
      </c>
      <c r="Z235" s="33">
        <v>-7.4739999999999996E-9</v>
      </c>
      <c r="AA235" s="33">
        <v>-1.3041299999999999E-7</v>
      </c>
      <c r="AI235" s="13">
        <v>24</v>
      </c>
      <c r="AJ235" s="13">
        <v>15</v>
      </c>
      <c r="AK235" s="13">
        <v>23</v>
      </c>
      <c r="AL235" s="13">
        <v>-5</v>
      </c>
      <c r="AM235" s="22" t="s">
        <v>915</v>
      </c>
      <c r="AO235" s="13">
        <v>0</v>
      </c>
      <c r="AP235" s="120" t="str">
        <f t="shared" ref="AP235:AP244" si="977">IF(AO235=1,CONCATENATE(AQ235,AR235,AS235),"")</f>
        <v/>
      </c>
      <c r="AQ235" s="120" t="str">
        <f t="shared" ref="AQ235:AQ243" si="978">IF(AO235=1,CONCATENATE(AT235,AU235,AV235,AW235,IF(AX235="-","",$AX$15&amp;AX235),IF(AY235="-","",$AY$15&amp;AY235),IF(AZ235="-","",$AZ$15&amp;AZ235),IF(BA235="-","",$BA$15&amp;BA235),IF(BB235="-","",$BB$15&amp;BB235),IF(BC235="-","",$BC$15&amp;BC235)),"")</f>
        <v/>
      </c>
      <c r="AR235" s="120" t="str">
        <f t="shared" ref="AR235:AR244" si="979">IF(AO235=1,CONCATENATE(BD235,IF(BE235="-","",$BE$15&amp;BE235),IF(BF235="-","",$BF$15&amp;BF235),IF(BG235="-","",$BG$15&amp;BG235),IF(BH235="-","",$BH$15&amp;BH235),IF(BI235="-","",$BI$15&amp;BI235),IF(BJ235="-","",$BJ$15&amp;BJ235)),"")</f>
        <v/>
      </c>
      <c r="AS235" s="120" t="str">
        <f t="shared" ref="AS235:AS243" si="980">IF(AO235=1,CHAR(13)&amp;CHAR(10)&amp;"..","")</f>
        <v/>
      </c>
      <c r="AT235" s="13" t="str">
        <f t="shared" ref="AT235:AT243" si="981">IF(AO235=1,VLOOKUP(O235,$AT$2:$AV$13,2,0),"")</f>
        <v/>
      </c>
      <c r="AU235" s="13" t="str">
        <f t="shared" ref="AU235:AU260" si="982">REPT(" ",AU$14-LEN(AT235))</f>
        <v xml:space="preserve">               </v>
      </c>
      <c r="AV235" s="13" t="str">
        <f t="shared" ref="AV235:AV260" si="983">IF(AO235=1,CONCATENATE("""",N235,""""),"")</f>
        <v/>
      </c>
      <c r="AW235" s="13" t="str">
        <f t="shared" ref="AW235:AW243" si="984">REPT(" ",$AW$14-LEN(AV235))</f>
        <v xml:space="preserve">                                                                 </v>
      </c>
      <c r="AX235" s="13" t="str">
        <f t="shared" ref="AX235:AX243" si="985">IF($AO235=1,IF(ISBLANK(V235),"-",CONCATENATE(TEXT(V235," 0.000000;-0.000000"),"  ")),"")</f>
        <v/>
      </c>
      <c r="AY235" s="13" t="str">
        <f t="shared" ref="AY235:AY243" si="986">IF($AO235=1,IF(ISBLANK(W235),"-",CONCATENATE(TEXT(W235," 0.000000;-0.000000"),"  ")),"")</f>
        <v/>
      </c>
      <c r="AZ235" s="13" t="str">
        <f t="shared" ref="AZ235:AZ243" si="987">IF($AO235=1,IF(ISBLANK(X235),"-",CONCATENATE(TEXT(X235," 0.000000;-0.000000"),"  ")),"")</f>
        <v/>
      </c>
      <c r="BA235" s="13" t="str">
        <f t="shared" ref="BA235:BA243" si="988">IF($AO235=1,IF(ISBLANK(Y235),"-",CONCATENATE(TEXT(Y235," 0.000000;-0.000000"),"  ")),"")</f>
        <v/>
      </c>
      <c r="BB235" s="13" t="str">
        <f t="shared" ref="BB235:BB243" si="989">IF($AO235=1,IF(ISBLANK(Z235),"-",CONCATENATE(TEXT(Z235," 0.000000;-0.000000"),"  ")),"")</f>
        <v/>
      </c>
      <c r="BC235" s="13" t="str">
        <f t="shared" ref="BC235:BC243" si="990">IF($AO235=1,IF(ISBLANK(AA235),"-",CONCATENATE(TEXT(AA235," 0.000000;-0.000000"),"  ")),"")</f>
        <v/>
      </c>
      <c r="BD235" s="13" t="str">
        <f t="shared" ref="BD235:BD243" si="991">IF(MAX(AG235:AL235)=0,REPT(" ",1),CHAR(13)&amp;CHAR(10)&amp;REPT(" ",BD$14))</f>
        <v xml:space="preserve">_x000D_
                                                                                </v>
      </c>
      <c r="BE235" s="13" t="str">
        <f t="shared" ref="BE235:BE260" si="992">IF($AO235=1,IF(AG235="","-",CONCATENATE(TEXT(AG235,"0.000"),"   ")),"")</f>
        <v/>
      </c>
      <c r="BF235" s="13" t="str">
        <f t="shared" ref="BF235:BF260" si="993">IF($AO235=1,IF(AH235="","-",CONCATENATE(TEXT(AH235,"0.000"),"   ")),"")</f>
        <v/>
      </c>
      <c r="BG235" s="13" t="str">
        <f t="shared" ref="BG235:BG260" si="994">IF($AO235=1,IF(AI235="","-",CONCATENATE(TEXT(AI235,"0.000"),"   ")),"")</f>
        <v/>
      </c>
      <c r="BH235" s="13" t="str">
        <f t="shared" ref="BH235:BH260" si="995">IF($AO235=1,IF(AJ235="","-",CONCATENATE(TEXT(AJ235,"0.000"),"   ")),"")</f>
        <v/>
      </c>
      <c r="BI235" s="13" t="str">
        <f t="shared" ref="BI235:BI260" si="996">IF($AO235=1,IF(AK235="","-",CONCATENATE(TEXT(AK235,"0.000"),"   ")),"")</f>
        <v/>
      </c>
      <c r="BJ235" s="13" t="str">
        <f t="shared" ref="BJ235:BJ260" si="997">IF($AO235=1,IF(AL235="","-",CONCATENATE(TEXT(AL235,"0.000"),"   ")),"")</f>
        <v/>
      </c>
      <c r="BM235" s="13" t="str">
        <f>Q235</f>
        <v>Twb</v>
      </c>
      <c r="BN235" s="13" t="str">
        <f>R235</f>
        <v>Toadb</v>
      </c>
      <c r="BO235" s="13">
        <v>1</v>
      </c>
      <c r="BR235" s="13">
        <v>0</v>
      </c>
      <c r="BU235" s="104">
        <f t="shared" ref="BU235:BU260" si="998">$V235+$W235*BO235+$X235*BO235^2</f>
        <v>0.59491391300000007</v>
      </c>
      <c r="BV235" s="115"/>
      <c r="BW235" s="104">
        <f t="shared" ref="BW235:BW260" si="999">$V235+$W235*BR235+$X235*BR235^2</f>
        <v>0.57688269199999997</v>
      </c>
    </row>
    <row r="236" spans="2:75" hidden="1" outlineLevel="1" x14ac:dyDescent="0.3">
      <c r="E236" s="13" t="s">
        <v>913</v>
      </c>
      <c r="F236" s="13" t="s">
        <v>755</v>
      </c>
      <c r="G236" s="22" t="s">
        <v>841</v>
      </c>
      <c r="H236" s="13" t="s">
        <v>805</v>
      </c>
      <c r="I236" s="13" t="s">
        <v>660</v>
      </c>
      <c r="J236" s="13" t="s">
        <v>912</v>
      </c>
      <c r="L236" s="13" t="s">
        <v>777</v>
      </c>
      <c r="M236" s="13" t="s">
        <v>779</v>
      </c>
      <c r="N236" s="13" t="str">
        <f t="shared" si="976"/>
        <v>OSDef-VRFSysClgCapBdry_fToadbSI</v>
      </c>
      <c r="O236" s="13" t="s">
        <v>230</v>
      </c>
      <c r="P236" s="13" t="s">
        <v>801</v>
      </c>
      <c r="Q236" s="13" t="s">
        <v>460</v>
      </c>
      <c r="V236" s="33">
        <v>25.73</v>
      </c>
      <c r="W236" s="33">
        <v>-3.1500430000000003E-2</v>
      </c>
      <c r="X236" s="33">
        <v>-1.416595E-2</v>
      </c>
      <c r="Y236" s="33">
        <v>0</v>
      </c>
      <c r="AI236" s="13">
        <v>30</v>
      </c>
      <c r="AJ236" s="13">
        <v>11</v>
      </c>
      <c r="AM236" s="22" t="s">
        <v>915</v>
      </c>
      <c r="AO236" s="13">
        <v>0</v>
      </c>
      <c r="AP236" s="120" t="str">
        <f t="shared" si="977"/>
        <v/>
      </c>
      <c r="AQ236" s="120" t="str">
        <f t="shared" si="978"/>
        <v/>
      </c>
      <c r="AR236" s="120" t="str">
        <f t="shared" si="979"/>
        <v/>
      </c>
      <c r="AS236" s="120" t="str">
        <f t="shared" si="980"/>
        <v/>
      </c>
      <c r="AT236" s="13" t="str">
        <f t="shared" si="981"/>
        <v/>
      </c>
      <c r="AU236" s="13" t="str">
        <f t="shared" si="982"/>
        <v xml:space="preserve">               </v>
      </c>
      <c r="AV236" s="13" t="str">
        <f t="shared" si="983"/>
        <v/>
      </c>
      <c r="AW236" s="13" t="str">
        <f t="shared" si="984"/>
        <v xml:space="preserve">                                                                 </v>
      </c>
      <c r="AX236" s="13" t="str">
        <f t="shared" si="985"/>
        <v/>
      </c>
      <c r="AY236" s="13" t="str">
        <f t="shared" si="986"/>
        <v/>
      </c>
      <c r="AZ236" s="13" t="str">
        <f t="shared" si="987"/>
        <v/>
      </c>
      <c r="BA236" s="13" t="str">
        <f t="shared" si="988"/>
        <v/>
      </c>
      <c r="BB236" s="13" t="str">
        <f t="shared" si="989"/>
        <v/>
      </c>
      <c r="BC236" s="13" t="str">
        <f t="shared" si="990"/>
        <v/>
      </c>
      <c r="BD236" s="13" t="str">
        <f t="shared" si="991"/>
        <v xml:space="preserve">_x000D_
                                                                                </v>
      </c>
      <c r="BE236" s="13" t="str">
        <f t="shared" si="992"/>
        <v/>
      </c>
      <c r="BF236" s="13" t="str">
        <f t="shared" si="993"/>
        <v/>
      </c>
      <c r="BG236" s="13" t="str">
        <f t="shared" si="994"/>
        <v/>
      </c>
      <c r="BH236" s="13" t="str">
        <f t="shared" si="995"/>
        <v/>
      </c>
      <c r="BI236" s="13" t="str">
        <f t="shared" si="996"/>
        <v/>
      </c>
      <c r="BJ236" s="13" t="str">
        <f t="shared" si="997"/>
        <v/>
      </c>
      <c r="BM236" s="13" t="str">
        <f t="shared" ref="BM236:BM242" si="1000">Q236</f>
        <v>Toadb</v>
      </c>
      <c r="BO236" s="13">
        <v>1</v>
      </c>
      <c r="BR236" s="13">
        <v>0</v>
      </c>
      <c r="BU236" s="104">
        <f t="shared" si="998"/>
        <v>25.68433362</v>
      </c>
      <c r="BV236" s="115"/>
      <c r="BW236" s="104">
        <f t="shared" si="999"/>
        <v>25.73</v>
      </c>
    </row>
    <row r="237" spans="2:75" hidden="1" outlineLevel="1" x14ac:dyDescent="0.3">
      <c r="E237" s="13" t="s">
        <v>913</v>
      </c>
      <c r="F237" s="13" t="s">
        <v>756</v>
      </c>
      <c r="G237" s="22" t="s">
        <v>841</v>
      </c>
      <c r="H237" s="13" t="s">
        <v>805</v>
      </c>
      <c r="I237" s="13" t="s">
        <v>660</v>
      </c>
      <c r="J237" s="13" t="s">
        <v>912</v>
      </c>
      <c r="L237" s="13" t="s">
        <v>777</v>
      </c>
      <c r="M237" s="13" t="s">
        <v>780</v>
      </c>
      <c r="N237" s="13" t="str">
        <f t="shared" si="976"/>
        <v>OSDef-VRFSysClgQRatio_fTdbToadbHiSI</v>
      </c>
      <c r="O237" s="13" t="s">
        <v>165</v>
      </c>
      <c r="P237" s="13" t="s">
        <v>160</v>
      </c>
      <c r="Q237" s="13" t="s">
        <v>117</v>
      </c>
      <c r="R237" s="13" t="s">
        <v>460</v>
      </c>
      <c r="S237" s="13" t="s">
        <v>799</v>
      </c>
      <c r="U237" s="33"/>
      <c r="V237" s="33">
        <v>0.68673580000000001</v>
      </c>
      <c r="W237" s="33">
        <v>2.07631E-2</v>
      </c>
      <c r="X237" s="33">
        <v>5.4469999999999996E-4</v>
      </c>
      <c r="Y237" s="33">
        <v>-1.6218000000000001E-3</v>
      </c>
      <c r="Z237" s="33">
        <v>-4.2590000000000002E-7</v>
      </c>
      <c r="AA237" s="33">
        <v>-3.392E-4</v>
      </c>
      <c r="AI237" s="13">
        <v>24</v>
      </c>
      <c r="AJ237" s="13">
        <v>15</v>
      </c>
      <c r="AK237" s="13">
        <v>43</v>
      </c>
      <c r="AL237" s="13">
        <v>16</v>
      </c>
      <c r="AM237" s="22" t="s">
        <v>915</v>
      </c>
      <c r="AO237" s="13">
        <v>0</v>
      </c>
      <c r="AP237" s="120" t="str">
        <f t="shared" si="977"/>
        <v/>
      </c>
      <c r="AQ237" s="120" t="str">
        <f t="shared" si="978"/>
        <v/>
      </c>
      <c r="AR237" s="120" t="str">
        <f t="shared" si="979"/>
        <v/>
      </c>
      <c r="AS237" s="120" t="str">
        <f t="shared" si="980"/>
        <v/>
      </c>
      <c r="AT237" s="13" t="str">
        <f t="shared" si="981"/>
        <v/>
      </c>
      <c r="AU237" s="13" t="str">
        <f t="shared" si="982"/>
        <v xml:space="preserve">               </v>
      </c>
      <c r="AV237" s="13" t="str">
        <f t="shared" si="983"/>
        <v/>
      </c>
      <c r="AW237" s="13" t="str">
        <f t="shared" si="984"/>
        <v xml:space="preserve">                                                                 </v>
      </c>
      <c r="AX237" s="13" t="str">
        <f t="shared" si="985"/>
        <v/>
      </c>
      <c r="AY237" s="13" t="str">
        <f t="shared" si="986"/>
        <v/>
      </c>
      <c r="AZ237" s="13" t="str">
        <f t="shared" si="987"/>
        <v/>
      </c>
      <c r="BA237" s="13" t="str">
        <f t="shared" si="988"/>
        <v/>
      </c>
      <c r="BB237" s="13" t="str">
        <f t="shared" si="989"/>
        <v/>
      </c>
      <c r="BC237" s="13" t="str">
        <f t="shared" si="990"/>
        <v/>
      </c>
      <c r="BD237" s="13" t="str">
        <f t="shared" si="991"/>
        <v xml:space="preserve">_x000D_
                                                                                </v>
      </c>
      <c r="BE237" s="13" t="str">
        <f t="shared" si="992"/>
        <v/>
      </c>
      <c r="BF237" s="13" t="str">
        <f t="shared" si="993"/>
        <v/>
      </c>
      <c r="BG237" s="13" t="str">
        <f t="shared" si="994"/>
        <v/>
      </c>
      <c r="BH237" s="13" t="str">
        <f t="shared" si="995"/>
        <v/>
      </c>
      <c r="BI237" s="13" t="str">
        <f t="shared" si="996"/>
        <v/>
      </c>
      <c r="BJ237" s="13" t="str">
        <f t="shared" si="997"/>
        <v/>
      </c>
      <c r="BM237" s="13" t="str">
        <f t="shared" si="1000"/>
        <v>Tdb</v>
      </c>
      <c r="BN237" s="13" t="str">
        <f t="shared" ref="BN237" si="1001">R237</f>
        <v>Toadb</v>
      </c>
      <c r="BO237" s="13">
        <v>1</v>
      </c>
      <c r="BR237" s="13">
        <v>0</v>
      </c>
      <c r="BU237" s="104">
        <f t="shared" si="998"/>
        <v>0.7080436</v>
      </c>
      <c r="BV237" s="115"/>
      <c r="BW237" s="104">
        <f t="shared" si="999"/>
        <v>0.68673580000000001</v>
      </c>
    </row>
    <row r="238" spans="2:75" hidden="1" outlineLevel="1" x14ac:dyDescent="0.3">
      <c r="E238" s="13" t="s">
        <v>913</v>
      </c>
      <c r="F238" s="13" t="s">
        <v>757</v>
      </c>
      <c r="G238" s="22" t="s">
        <v>841</v>
      </c>
      <c r="H238" s="13" t="s">
        <v>805</v>
      </c>
      <c r="J238" s="13" t="s">
        <v>912</v>
      </c>
      <c r="L238" s="13" t="s">
        <v>777</v>
      </c>
      <c r="M238" s="13" t="s">
        <v>781</v>
      </c>
      <c r="N238" s="13" t="str">
        <f t="shared" si="976"/>
        <v>OSDef-VRFSysClgQRatio_fCombRat</v>
      </c>
      <c r="O238" s="13" t="s">
        <v>230</v>
      </c>
      <c r="P238" s="13" t="s">
        <v>160</v>
      </c>
      <c r="Q238" s="13" t="s">
        <v>802</v>
      </c>
      <c r="U238" s="33"/>
      <c r="V238" s="33">
        <v>0.57659326300000002</v>
      </c>
      <c r="W238" s="33">
        <v>0.63494086969999997</v>
      </c>
      <c r="X238" s="33">
        <v>-0.3076093963</v>
      </c>
      <c r="Y238" s="33">
        <v>9.6075263600000002E-2</v>
      </c>
      <c r="AI238" s="13">
        <v>1.5</v>
      </c>
      <c r="AJ238" s="13">
        <v>1</v>
      </c>
      <c r="AM238" s="22" t="s">
        <v>915</v>
      </c>
      <c r="AO238" s="13">
        <v>0</v>
      </c>
      <c r="AP238" s="120" t="str">
        <f t="shared" si="977"/>
        <v/>
      </c>
      <c r="AQ238" s="120" t="str">
        <f t="shared" si="978"/>
        <v/>
      </c>
      <c r="AR238" s="120" t="str">
        <f t="shared" si="979"/>
        <v/>
      </c>
      <c r="AS238" s="120" t="str">
        <f t="shared" si="980"/>
        <v/>
      </c>
      <c r="AT238" s="13" t="str">
        <f t="shared" si="981"/>
        <v/>
      </c>
      <c r="AU238" s="13" t="str">
        <f t="shared" si="982"/>
        <v xml:space="preserve">               </v>
      </c>
      <c r="AV238" s="13" t="str">
        <f t="shared" si="983"/>
        <v/>
      </c>
      <c r="AW238" s="13" t="str">
        <f t="shared" si="984"/>
        <v xml:space="preserve">                                                                 </v>
      </c>
      <c r="AX238" s="13" t="str">
        <f t="shared" si="985"/>
        <v/>
      </c>
      <c r="AY238" s="13" t="str">
        <f t="shared" si="986"/>
        <v/>
      </c>
      <c r="AZ238" s="13" t="str">
        <f t="shared" si="987"/>
        <v/>
      </c>
      <c r="BA238" s="13" t="str">
        <f t="shared" si="988"/>
        <v/>
      </c>
      <c r="BB238" s="13" t="str">
        <f t="shared" si="989"/>
        <v/>
      </c>
      <c r="BC238" s="13" t="str">
        <f t="shared" si="990"/>
        <v/>
      </c>
      <c r="BD238" s="13" t="str">
        <f t="shared" si="991"/>
        <v xml:space="preserve">_x000D_
                                                                                </v>
      </c>
      <c r="BE238" s="13" t="str">
        <f t="shared" si="992"/>
        <v/>
      </c>
      <c r="BF238" s="13" t="str">
        <f t="shared" si="993"/>
        <v/>
      </c>
      <c r="BG238" s="13" t="str">
        <f t="shared" si="994"/>
        <v/>
      </c>
      <c r="BH238" s="13" t="str">
        <f t="shared" si="995"/>
        <v/>
      </c>
      <c r="BI238" s="13" t="str">
        <f t="shared" si="996"/>
        <v/>
      </c>
      <c r="BJ238" s="13" t="str">
        <f t="shared" si="997"/>
        <v/>
      </c>
      <c r="BM238" s="13" t="str">
        <f t="shared" si="1000"/>
        <v>CombRat</v>
      </c>
      <c r="BO238" s="13">
        <v>1</v>
      </c>
      <c r="BR238" s="13">
        <v>0</v>
      </c>
      <c r="BU238" s="104">
        <f t="shared" si="998"/>
        <v>0.90392473640000004</v>
      </c>
      <c r="BV238" s="115"/>
      <c r="BW238" s="104">
        <f t="shared" si="999"/>
        <v>0.57659326300000002</v>
      </c>
    </row>
    <row r="239" spans="2:75" hidden="1" outlineLevel="1" x14ac:dyDescent="0.3">
      <c r="E239" s="13" t="s">
        <v>913</v>
      </c>
      <c r="F239" s="13" t="s">
        <v>762</v>
      </c>
      <c r="G239" s="22" t="s">
        <v>841</v>
      </c>
      <c r="H239" s="13" t="s">
        <v>807</v>
      </c>
      <c r="I239" s="13" t="s">
        <v>660</v>
      </c>
      <c r="J239" s="13" t="s">
        <v>912</v>
      </c>
      <c r="L239" s="13" t="s">
        <v>777</v>
      </c>
      <c r="M239" s="13" t="s">
        <v>786</v>
      </c>
      <c r="N239" s="13" t="str">
        <f t="shared" si="976"/>
        <v>OSDef-VRFSysHtRcvryClgQRatio_fTwbToadbSI</v>
      </c>
      <c r="O239" s="13" t="s">
        <v>165</v>
      </c>
      <c r="P239" s="13" t="s">
        <v>160</v>
      </c>
      <c r="Q239" s="13" t="s">
        <v>116</v>
      </c>
      <c r="R239" s="13" t="s">
        <v>460</v>
      </c>
      <c r="U239" s="33"/>
      <c r="V239" s="33">
        <v>0.9</v>
      </c>
      <c r="W239" s="33">
        <v>0</v>
      </c>
      <c r="X239" s="33">
        <v>0</v>
      </c>
      <c r="Y239" s="33">
        <v>0</v>
      </c>
      <c r="Z239" s="33">
        <v>0</v>
      </c>
      <c r="AA239" s="33">
        <v>0</v>
      </c>
      <c r="AI239" s="13">
        <v>1</v>
      </c>
      <c r="AJ239" s="13">
        <v>0</v>
      </c>
      <c r="AM239" s="22" t="s">
        <v>915</v>
      </c>
      <c r="AO239" s="13">
        <v>0</v>
      </c>
      <c r="AP239" s="120" t="str">
        <f t="shared" si="977"/>
        <v/>
      </c>
      <c r="AQ239" s="120" t="str">
        <f t="shared" si="978"/>
        <v/>
      </c>
      <c r="AR239" s="120" t="str">
        <f t="shared" si="979"/>
        <v/>
      </c>
      <c r="AS239" s="120" t="str">
        <f t="shared" si="980"/>
        <v/>
      </c>
      <c r="AT239" s="13" t="str">
        <f t="shared" si="981"/>
        <v/>
      </c>
      <c r="AU239" s="13" t="str">
        <f t="shared" si="982"/>
        <v xml:space="preserve">               </v>
      </c>
      <c r="AV239" s="13" t="str">
        <f t="shared" si="983"/>
        <v/>
      </c>
      <c r="AW239" s="13" t="str">
        <f t="shared" si="984"/>
        <v xml:space="preserve">                                                                 </v>
      </c>
      <c r="AX239" s="13" t="str">
        <f t="shared" si="985"/>
        <v/>
      </c>
      <c r="AY239" s="13" t="str">
        <f t="shared" si="986"/>
        <v/>
      </c>
      <c r="AZ239" s="13" t="str">
        <f t="shared" si="987"/>
        <v/>
      </c>
      <c r="BA239" s="13" t="str">
        <f t="shared" si="988"/>
        <v/>
      </c>
      <c r="BB239" s="13" t="str">
        <f t="shared" si="989"/>
        <v/>
      </c>
      <c r="BC239" s="13" t="str">
        <f t="shared" si="990"/>
        <v/>
      </c>
      <c r="BD239" s="13" t="str">
        <f t="shared" si="991"/>
        <v xml:space="preserve">_x000D_
                                                                                </v>
      </c>
      <c r="BE239" s="13" t="str">
        <f t="shared" si="992"/>
        <v/>
      </c>
      <c r="BF239" s="13" t="str">
        <f t="shared" si="993"/>
        <v/>
      </c>
      <c r="BG239" s="13" t="str">
        <f t="shared" si="994"/>
        <v/>
      </c>
      <c r="BH239" s="13" t="str">
        <f t="shared" si="995"/>
        <v/>
      </c>
      <c r="BI239" s="13" t="str">
        <f t="shared" si="996"/>
        <v/>
      </c>
      <c r="BJ239" s="13" t="str">
        <f t="shared" si="997"/>
        <v/>
      </c>
      <c r="BM239" s="13" t="str">
        <f t="shared" si="1000"/>
        <v>Twb</v>
      </c>
      <c r="BN239" s="13" t="str">
        <f t="shared" ref="BN239:BN240" si="1002">R239</f>
        <v>Toadb</v>
      </c>
      <c r="BO239" s="13">
        <v>1</v>
      </c>
      <c r="BR239" s="13">
        <v>0</v>
      </c>
      <c r="BU239" s="104">
        <f t="shared" si="998"/>
        <v>0.9</v>
      </c>
      <c r="BV239" s="115"/>
      <c r="BW239" s="104">
        <f t="shared" si="999"/>
        <v>0.9</v>
      </c>
    </row>
    <row r="240" spans="2:75" hidden="1" outlineLevel="1" x14ac:dyDescent="0.3">
      <c r="E240" s="13" t="s">
        <v>913</v>
      </c>
      <c r="F240" s="13" t="s">
        <v>759</v>
      </c>
      <c r="G240" s="22" t="s">
        <v>841</v>
      </c>
      <c r="H240" s="13" t="s">
        <v>806</v>
      </c>
      <c r="I240" s="13" t="s">
        <v>660</v>
      </c>
      <c r="J240" s="13" t="s">
        <v>912</v>
      </c>
      <c r="L240" s="13" t="s">
        <v>777</v>
      </c>
      <c r="M240" s="13" t="s">
        <v>782</v>
      </c>
      <c r="N240" s="13" t="str">
        <f t="shared" si="976"/>
        <v>OSDef-VRFSysHtgQRatio_fTwbToadbLowSI</v>
      </c>
      <c r="O240" s="13" t="s">
        <v>165</v>
      </c>
      <c r="P240" s="13" t="s">
        <v>160</v>
      </c>
      <c r="Q240" s="13" t="s">
        <v>116</v>
      </c>
      <c r="R240" s="13" t="s">
        <v>460</v>
      </c>
      <c r="S240" s="13" t="s">
        <v>798</v>
      </c>
      <c r="U240" s="33"/>
      <c r="V240" s="33">
        <v>1.012090154</v>
      </c>
      <c r="W240" s="33">
        <v>-1.2467553000000001E-3</v>
      </c>
      <c r="X240" s="33">
        <v>-1.2718469999999999E-4</v>
      </c>
      <c r="Y240" s="13">
        <v>2.67564328E-2</v>
      </c>
      <c r="Z240" s="126">
        <v>-4.9859999999999998E-7</v>
      </c>
      <c r="AA240" s="13">
        <v>-2.6352390000000003E-4</v>
      </c>
      <c r="AI240" s="13">
        <v>27.2</v>
      </c>
      <c r="AJ240" s="13">
        <v>21.1</v>
      </c>
      <c r="AK240" s="13">
        <v>3.33</v>
      </c>
      <c r="AL240" s="13">
        <v>-20</v>
      </c>
      <c r="AM240" s="22" t="s">
        <v>915</v>
      </c>
      <c r="AO240" s="13">
        <v>0</v>
      </c>
      <c r="AP240" s="120" t="str">
        <f t="shared" si="977"/>
        <v/>
      </c>
      <c r="AQ240" s="120" t="str">
        <f t="shared" si="978"/>
        <v/>
      </c>
      <c r="AR240" s="120" t="str">
        <f t="shared" si="979"/>
        <v/>
      </c>
      <c r="AS240" s="120" t="str">
        <f t="shared" si="980"/>
        <v/>
      </c>
      <c r="AT240" s="13" t="str">
        <f t="shared" si="981"/>
        <v/>
      </c>
      <c r="AU240" s="13" t="str">
        <f t="shared" si="982"/>
        <v xml:space="preserve">               </v>
      </c>
      <c r="AV240" s="13" t="str">
        <f t="shared" si="983"/>
        <v/>
      </c>
      <c r="AW240" s="13" t="str">
        <f t="shared" si="984"/>
        <v xml:space="preserve">                                                                 </v>
      </c>
      <c r="AX240" s="13" t="str">
        <f t="shared" si="985"/>
        <v/>
      </c>
      <c r="AY240" s="13" t="str">
        <f t="shared" si="986"/>
        <v/>
      </c>
      <c r="AZ240" s="13" t="str">
        <f t="shared" si="987"/>
        <v/>
      </c>
      <c r="BA240" s="13" t="str">
        <f t="shared" si="988"/>
        <v/>
      </c>
      <c r="BB240" s="13" t="str">
        <f t="shared" si="989"/>
        <v/>
      </c>
      <c r="BC240" s="13" t="str">
        <f t="shared" si="990"/>
        <v/>
      </c>
      <c r="BD240" s="13" t="str">
        <f t="shared" si="991"/>
        <v xml:space="preserve">_x000D_
                                                                                </v>
      </c>
      <c r="BE240" s="13" t="str">
        <f t="shared" si="992"/>
        <v/>
      </c>
      <c r="BF240" s="13" t="str">
        <f t="shared" si="993"/>
        <v/>
      </c>
      <c r="BG240" s="13" t="str">
        <f t="shared" si="994"/>
        <v/>
      </c>
      <c r="BH240" s="13" t="str">
        <f t="shared" si="995"/>
        <v/>
      </c>
      <c r="BI240" s="13" t="str">
        <f t="shared" si="996"/>
        <v/>
      </c>
      <c r="BJ240" s="13" t="str">
        <f t="shared" si="997"/>
        <v/>
      </c>
      <c r="BM240" s="13" t="str">
        <f t="shared" si="1000"/>
        <v>Twb</v>
      </c>
      <c r="BN240" s="13" t="str">
        <f t="shared" si="1002"/>
        <v>Toadb</v>
      </c>
      <c r="BO240" s="13">
        <v>1</v>
      </c>
      <c r="BR240" s="13">
        <v>0</v>
      </c>
      <c r="BU240" s="104">
        <f t="shared" si="998"/>
        <v>1.0107162140000001</v>
      </c>
      <c r="BV240" s="115"/>
      <c r="BW240" s="104">
        <f t="shared" si="999"/>
        <v>1.012090154</v>
      </c>
    </row>
    <row r="241" spans="2:75" hidden="1" outlineLevel="1" x14ac:dyDescent="0.3">
      <c r="E241" s="13" t="s">
        <v>913</v>
      </c>
      <c r="F241" s="13" t="s">
        <v>815</v>
      </c>
      <c r="G241" s="22" t="s">
        <v>841</v>
      </c>
      <c r="H241" s="13" t="s">
        <v>806</v>
      </c>
      <c r="I241" s="13" t="s">
        <v>660</v>
      </c>
      <c r="J241" s="13" t="s">
        <v>912</v>
      </c>
      <c r="L241" s="13" t="s">
        <v>777</v>
      </c>
      <c r="M241" s="13" t="s">
        <v>783</v>
      </c>
      <c r="N241" s="13" t="str">
        <f t="shared" si="976"/>
        <v>OSDef-VRFSysHtgCapBdry_fToadbSI</v>
      </c>
      <c r="O241" s="13" t="s">
        <v>230</v>
      </c>
      <c r="P241" s="13" t="s">
        <v>801</v>
      </c>
      <c r="Q241" s="13" t="s">
        <v>460</v>
      </c>
      <c r="U241" s="33"/>
      <c r="V241" s="33">
        <v>58.576999999999998</v>
      </c>
      <c r="W241" s="33">
        <v>-3.0255000000000001</v>
      </c>
      <c r="X241" s="33">
        <v>1.9300000000000001E-2</v>
      </c>
      <c r="Y241" s="33">
        <v>0</v>
      </c>
      <c r="AI241" s="13">
        <v>23.9</v>
      </c>
      <c r="AJ241" s="13">
        <v>15</v>
      </c>
      <c r="AM241" s="22" t="s">
        <v>915</v>
      </c>
      <c r="AO241" s="13">
        <v>0</v>
      </c>
      <c r="AP241" s="120" t="str">
        <f t="shared" si="977"/>
        <v/>
      </c>
      <c r="AQ241" s="120" t="str">
        <f t="shared" si="978"/>
        <v/>
      </c>
      <c r="AR241" s="120" t="str">
        <f t="shared" si="979"/>
        <v/>
      </c>
      <c r="AS241" s="120" t="str">
        <f t="shared" si="980"/>
        <v/>
      </c>
      <c r="AT241" s="13" t="str">
        <f t="shared" si="981"/>
        <v/>
      </c>
      <c r="AU241" s="13" t="str">
        <f t="shared" si="982"/>
        <v xml:space="preserve">               </v>
      </c>
      <c r="AV241" s="13" t="str">
        <f t="shared" si="983"/>
        <v/>
      </c>
      <c r="AW241" s="13" t="str">
        <f t="shared" si="984"/>
        <v xml:space="preserve">                                                                 </v>
      </c>
      <c r="AX241" s="13" t="str">
        <f t="shared" si="985"/>
        <v/>
      </c>
      <c r="AY241" s="13" t="str">
        <f t="shared" si="986"/>
        <v/>
      </c>
      <c r="AZ241" s="13" t="str">
        <f t="shared" si="987"/>
        <v/>
      </c>
      <c r="BA241" s="13" t="str">
        <f t="shared" si="988"/>
        <v/>
      </c>
      <c r="BB241" s="13" t="str">
        <f t="shared" si="989"/>
        <v/>
      </c>
      <c r="BC241" s="13" t="str">
        <f t="shared" si="990"/>
        <v/>
      </c>
      <c r="BD241" s="13" t="str">
        <f t="shared" si="991"/>
        <v xml:space="preserve">_x000D_
                                                                                </v>
      </c>
      <c r="BE241" s="13" t="str">
        <f t="shared" si="992"/>
        <v/>
      </c>
      <c r="BF241" s="13" t="str">
        <f t="shared" si="993"/>
        <v/>
      </c>
      <c r="BG241" s="13" t="str">
        <f t="shared" si="994"/>
        <v/>
      </c>
      <c r="BH241" s="13" t="str">
        <f t="shared" si="995"/>
        <v/>
      </c>
      <c r="BI241" s="13" t="str">
        <f t="shared" si="996"/>
        <v/>
      </c>
      <c r="BJ241" s="13" t="str">
        <f t="shared" si="997"/>
        <v/>
      </c>
      <c r="BM241" s="13" t="str">
        <f t="shared" si="1000"/>
        <v>Toadb</v>
      </c>
      <c r="BO241" s="13">
        <v>1</v>
      </c>
      <c r="BR241" s="13">
        <v>0</v>
      </c>
      <c r="BU241" s="104">
        <f t="shared" si="998"/>
        <v>55.570799999999998</v>
      </c>
      <c r="BV241" s="115"/>
      <c r="BW241" s="104">
        <f t="shared" si="999"/>
        <v>58.576999999999998</v>
      </c>
    </row>
    <row r="242" spans="2:75" hidden="1" outlineLevel="1" x14ac:dyDescent="0.3">
      <c r="E242" s="13" t="s">
        <v>913</v>
      </c>
      <c r="F242" s="13" t="s">
        <v>760</v>
      </c>
      <c r="G242" s="22" t="s">
        <v>841</v>
      </c>
      <c r="H242" s="13" t="s">
        <v>806</v>
      </c>
      <c r="I242" s="13" t="s">
        <v>660</v>
      </c>
      <c r="J242" s="13" t="s">
        <v>912</v>
      </c>
      <c r="L242" s="13" t="s">
        <v>777</v>
      </c>
      <c r="M242" s="13" t="s">
        <v>784</v>
      </c>
      <c r="N242" s="13" t="str">
        <f t="shared" si="976"/>
        <v>OSDef-VRFSysHtgQRatio_fTwbToadbHiSI</v>
      </c>
      <c r="O242" s="13" t="s">
        <v>165</v>
      </c>
      <c r="P242" s="13" t="s">
        <v>160</v>
      </c>
      <c r="Q242" s="13" t="s">
        <v>116</v>
      </c>
      <c r="R242" s="13" t="s">
        <v>460</v>
      </c>
      <c r="S242" s="13" t="s">
        <v>799</v>
      </c>
      <c r="U242" s="33"/>
      <c r="V242" s="33">
        <v>2.5859872367999999</v>
      </c>
      <c r="W242" s="33">
        <v>-9.5322710099999999E-2</v>
      </c>
      <c r="X242" s="33">
        <v>9.5532880000000003E-4</v>
      </c>
      <c r="Y242" s="33">
        <v>0</v>
      </c>
      <c r="Z242" s="33">
        <v>0</v>
      </c>
      <c r="AA242" s="33">
        <v>0</v>
      </c>
      <c r="AI242" s="13">
        <v>27.2</v>
      </c>
      <c r="AJ242" s="13">
        <v>21.1</v>
      </c>
      <c r="AK242" s="13">
        <v>15</v>
      </c>
      <c r="AL242" s="13">
        <v>-9.44</v>
      </c>
      <c r="AM242" s="22" t="s">
        <v>915</v>
      </c>
      <c r="AO242" s="13">
        <v>0</v>
      </c>
      <c r="AP242" s="120" t="str">
        <f t="shared" si="977"/>
        <v/>
      </c>
      <c r="AQ242" s="120" t="str">
        <f t="shared" si="978"/>
        <v/>
      </c>
      <c r="AR242" s="120" t="str">
        <f t="shared" si="979"/>
        <v/>
      </c>
      <c r="AS242" s="120" t="str">
        <f t="shared" si="980"/>
        <v/>
      </c>
      <c r="AT242" s="13" t="str">
        <f t="shared" si="981"/>
        <v/>
      </c>
      <c r="AU242" s="13" t="str">
        <f t="shared" si="982"/>
        <v xml:space="preserve">               </v>
      </c>
      <c r="AV242" s="13" t="str">
        <f t="shared" si="983"/>
        <v/>
      </c>
      <c r="AW242" s="13" t="str">
        <f t="shared" si="984"/>
        <v xml:space="preserve">                                                                 </v>
      </c>
      <c r="AX242" s="13" t="str">
        <f t="shared" si="985"/>
        <v/>
      </c>
      <c r="AY242" s="13" t="str">
        <f t="shared" si="986"/>
        <v/>
      </c>
      <c r="AZ242" s="13" t="str">
        <f t="shared" si="987"/>
        <v/>
      </c>
      <c r="BA242" s="13" t="str">
        <f t="shared" si="988"/>
        <v/>
      </c>
      <c r="BB242" s="13" t="str">
        <f t="shared" si="989"/>
        <v/>
      </c>
      <c r="BC242" s="13" t="str">
        <f t="shared" si="990"/>
        <v/>
      </c>
      <c r="BD242" s="13" t="str">
        <f t="shared" si="991"/>
        <v xml:space="preserve">_x000D_
                                                                                </v>
      </c>
      <c r="BE242" s="13" t="str">
        <f t="shared" si="992"/>
        <v/>
      </c>
      <c r="BF242" s="13" t="str">
        <f t="shared" si="993"/>
        <v/>
      </c>
      <c r="BG242" s="13" t="str">
        <f t="shared" si="994"/>
        <v/>
      </c>
      <c r="BH242" s="13" t="str">
        <f t="shared" si="995"/>
        <v/>
      </c>
      <c r="BI242" s="13" t="str">
        <f t="shared" si="996"/>
        <v/>
      </c>
      <c r="BJ242" s="13" t="str">
        <f t="shared" si="997"/>
        <v/>
      </c>
      <c r="BM242" s="13" t="str">
        <f t="shared" si="1000"/>
        <v>Twb</v>
      </c>
      <c r="BN242" s="13" t="str">
        <f t="shared" ref="BN242" si="1003">R242</f>
        <v>Toadb</v>
      </c>
      <c r="BO242" s="13">
        <v>1</v>
      </c>
      <c r="BR242" s="13">
        <v>0</v>
      </c>
      <c r="BU242" s="104">
        <f t="shared" si="998"/>
        <v>2.4916198554999998</v>
      </c>
      <c r="BV242" s="115"/>
      <c r="BW242" s="104">
        <f t="shared" si="999"/>
        <v>2.5859872367999999</v>
      </c>
    </row>
    <row r="243" spans="2:75" hidden="1" outlineLevel="1" x14ac:dyDescent="0.3">
      <c r="E243" s="13" t="s">
        <v>913</v>
      </c>
      <c r="F243" s="13" t="s">
        <v>761</v>
      </c>
      <c r="G243" s="22" t="s">
        <v>841</v>
      </c>
      <c r="H243" s="13" t="s">
        <v>806</v>
      </c>
      <c r="J243" s="13" t="s">
        <v>912</v>
      </c>
      <c r="L243" s="13" t="s">
        <v>777</v>
      </c>
      <c r="M243" s="13" t="s">
        <v>785</v>
      </c>
      <c r="N243" s="13" t="str">
        <f t="shared" si="976"/>
        <v>OSDef-VRFSysHtgQRatio_fCombRat</v>
      </c>
      <c r="O243" s="13" t="s">
        <v>230</v>
      </c>
      <c r="P243" s="13" t="s">
        <v>160</v>
      </c>
      <c r="Q243" s="13" t="s">
        <v>802</v>
      </c>
      <c r="V243" s="33">
        <v>0.76671966039999995</v>
      </c>
      <c r="W243" s="33">
        <v>0.26173020190000001</v>
      </c>
      <c r="X243" s="33">
        <v>-1.5911024499999999E-2</v>
      </c>
      <c r="Y243" s="33">
        <v>-1.25388376E-2</v>
      </c>
      <c r="AI243" s="13">
        <v>1.5</v>
      </c>
      <c r="AJ243" s="13">
        <v>1</v>
      </c>
      <c r="AM243" s="22" t="s">
        <v>915</v>
      </c>
      <c r="AO243" s="13">
        <v>0</v>
      </c>
      <c r="AP243" s="120" t="str">
        <f t="shared" si="977"/>
        <v/>
      </c>
      <c r="AQ243" s="120" t="str">
        <f t="shared" si="978"/>
        <v/>
      </c>
      <c r="AR243" s="120" t="str">
        <f t="shared" si="979"/>
        <v/>
      </c>
      <c r="AS243" s="120" t="str">
        <f t="shared" si="980"/>
        <v/>
      </c>
      <c r="AT243" s="13" t="str">
        <f t="shared" si="981"/>
        <v/>
      </c>
      <c r="AU243" s="13" t="str">
        <f t="shared" si="982"/>
        <v xml:space="preserve">               </v>
      </c>
      <c r="AV243" s="13" t="str">
        <f t="shared" si="983"/>
        <v/>
      </c>
      <c r="AW243" s="13" t="str">
        <f t="shared" si="984"/>
        <v xml:space="preserve">                                                                 </v>
      </c>
      <c r="AX243" s="13" t="str">
        <f t="shared" si="985"/>
        <v/>
      </c>
      <c r="AY243" s="13" t="str">
        <f t="shared" si="986"/>
        <v/>
      </c>
      <c r="AZ243" s="13" t="str">
        <f t="shared" si="987"/>
        <v/>
      </c>
      <c r="BA243" s="13" t="str">
        <f t="shared" si="988"/>
        <v/>
      </c>
      <c r="BB243" s="13" t="str">
        <f t="shared" si="989"/>
        <v/>
      </c>
      <c r="BC243" s="13" t="str">
        <f t="shared" si="990"/>
        <v/>
      </c>
      <c r="BD243" s="13" t="str">
        <f t="shared" si="991"/>
        <v xml:space="preserve">_x000D_
                                                                                </v>
      </c>
      <c r="BE243" s="13" t="str">
        <f t="shared" si="992"/>
        <v/>
      </c>
      <c r="BF243" s="13" t="str">
        <f t="shared" si="993"/>
        <v/>
      </c>
      <c r="BG243" s="13" t="str">
        <f t="shared" si="994"/>
        <v/>
      </c>
      <c r="BH243" s="13" t="str">
        <f t="shared" si="995"/>
        <v/>
      </c>
      <c r="BI243" s="13" t="str">
        <f t="shared" si="996"/>
        <v/>
      </c>
      <c r="BJ243" s="13" t="str">
        <f t="shared" si="997"/>
        <v/>
      </c>
      <c r="BM243" s="13" t="str">
        <f t="shared" ref="BM243:BM244" si="1004">Q243</f>
        <v>CombRat</v>
      </c>
      <c r="BO243" s="13">
        <v>1</v>
      </c>
      <c r="BR243" s="13">
        <v>0</v>
      </c>
      <c r="BU243" s="104">
        <f t="shared" si="998"/>
        <v>1.0125388378</v>
      </c>
      <c r="BV243" s="115"/>
      <c r="BW243" s="104">
        <f t="shared" si="999"/>
        <v>0.76671966039999995</v>
      </c>
    </row>
    <row r="244" spans="2:75" hidden="1" outlineLevel="1" x14ac:dyDescent="0.3">
      <c r="E244" s="13" t="s">
        <v>913</v>
      </c>
      <c r="F244" s="13" t="s">
        <v>763</v>
      </c>
      <c r="G244" s="22" t="s">
        <v>841</v>
      </c>
      <c r="H244" s="13" t="s">
        <v>808</v>
      </c>
      <c r="I244" s="13" t="s">
        <v>660</v>
      </c>
      <c r="J244" s="13" t="s">
        <v>912</v>
      </c>
      <c r="L244" s="13" t="s">
        <v>777</v>
      </c>
      <c r="M244" s="13" t="s">
        <v>787</v>
      </c>
      <c r="N244" s="13" t="str">
        <f t="shared" si="976"/>
        <v>OSDef-VRFSysHtRcvryHtgQRatio_fTwbToadbSI</v>
      </c>
      <c r="O244" s="13" t="s">
        <v>165</v>
      </c>
      <c r="P244" s="13" t="s">
        <v>160</v>
      </c>
      <c r="Q244" s="13" t="s">
        <v>116</v>
      </c>
      <c r="R244" s="13" t="s">
        <v>460</v>
      </c>
      <c r="V244" s="33">
        <v>0.9</v>
      </c>
      <c r="W244" s="33">
        <v>0</v>
      </c>
      <c r="X244" s="33">
        <v>0</v>
      </c>
      <c r="Y244" s="33">
        <v>0</v>
      </c>
      <c r="Z244" s="33">
        <v>0</v>
      </c>
      <c r="AA244" s="33">
        <v>0</v>
      </c>
      <c r="AI244" s="13">
        <v>1</v>
      </c>
      <c r="AJ244" s="13">
        <v>0</v>
      </c>
      <c r="AM244" s="22" t="s">
        <v>915</v>
      </c>
      <c r="AO244" s="13">
        <v>0</v>
      </c>
      <c r="AP244" s="120" t="str">
        <f t="shared" si="977"/>
        <v/>
      </c>
      <c r="AQ244" s="120" t="str">
        <f t="shared" ref="AQ244" si="1005">IF(AO244=1,CONCATENATE(AT244,AU244,AV244,AW244,IF(AX244="-","",$AX$15&amp;AX244),IF(AY244="-","",$AY$15&amp;AY244),IF(AZ244="-","",$AZ$15&amp;AZ244),IF(BA244="-","",$BA$15&amp;BA244),IF(BB244="-","",$BB$15&amp;BB244),IF(BC244="-","",$BC$15&amp;BC244)),"")</f>
        <v/>
      </c>
      <c r="AR244" s="120" t="str">
        <f t="shared" si="979"/>
        <v/>
      </c>
      <c r="AS244" s="120" t="str">
        <f t="shared" ref="AS244" si="1006">IF(AO244=1,CHAR(13)&amp;CHAR(10)&amp;"..","")</f>
        <v/>
      </c>
      <c r="AT244" s="13" t="str">
        <f t="shared" ref="AT244" si="1007">IF(AO244=1,VLOOKUP(O244,$AT$2:$AV$13,2,0),"")</f>
        <v/>
      </c>
      <c r="AU244" s="13" t="str">
        <f t="shared" si="982"/>
        <v xml:space="preserve">               </v>
      </c>
      <c r="AV244" s="13" t="str">
        <f t="shared" si="983"/>
        <v/>
      </c>
      <c r="AX244" s="13" t="str">
        <f t="shared" ref="AX244:AX269" si="1008">IF($AO244=1,IF(ISBLANK(V244),"-",CONCATENATE(TEXT(V244," 0.000000;-0.000000"),"  ")),"")</f>
        <v/>
      </c>
      <c r="AY244" s="13" t="str">
        <f t="shared" ref="AY244:AY269" si="1009">IF($AO244=1,IF(ISBLANK(W244),"-",CONCATENATE(TEXT(W244," 0.000000;-0.000000"),"  ")),"")</f>
        <v/>
      </c>
      <c r="AZ244" s="13" t="str">
        <f t="shared" ref="AZ244:AZ269" si="1010">IF($AO244=1,IF(ISBLANK(X244),"-",CONCATENATE(TEXT(X244," 0.000000;-0.000000"),"  ")),"")</f>
        <v/>
      </c>
      <c r="BA244" s="13" t="str">
        <f t="shared" ref="BA244:BA269" si="1011">IF($AO244=1,IF(ISBLANK(Y244),"-",CONCATENATE(TEXT(Y244," 0.000000;-0.000000"),"  ")),"")</f>
        <v/>
      </c>
      <c r="BE244" s="13" t="str">
        <f t="shared" si="992"/>
        <v/>
      </c>
      <c r="BF244" s="13" t="str">
        <f t="shared" si="993"/>
        <v/>
      </c>
      <c r="BG244" s="13" t="str">
        <f t="shared" si="994"/>
        <v/>
      </c>
      <c r="BH244" s="13" t="str">
        <f t="shared" si="995"/>
        <v/>
      </c>
      <c r="BI244" s="13" t="str">
        <f t="shared" si="996"/>
        <v/>
      </c>
      <c r="BJ244" s="13" t="str">
        <f t="shared" si="997"/>
        <v/>
      </c>
      <c r="BM244" s="13" t="str">
        <f t="shared" si="1004"/>
        <v>Twb</v>
      </c>
      <c r="BN244" s="13" t="str">
        <f t="shared" ref="BN244" si="1012">R244</f>
        <v>Toadb</v>
      </c>
      <c r="BO244" s="13">
        <v>1</v>
      </c>
      <c r="BR244" s="13">
        <v>0</v>
      </c>
      <c r="BU244" s="104">
        <f t="shared" si="998"/>
        <v>0.9</v>
      </c>
      <c r="BV244" s="115"/>
      <c r="BW244" s="104">
        <f t="shared" si="999"/>
        <v>0.9</v>
      </c>
    </row>
    <row r="245" spans="2:75" hidden="1" outlineLevel="1" x14ac:dyDescent="0.3">
      <c r="B245" s="13" t="s">
        <v>810</v>
      </c>
      <c r="D245" s="22" t="s">
        <v>764</v>
      </c>
      <c r="E245" s="13" t="s">
        <v>913</v>
      </c>
      <c r="F245" s="13" t="s">
        <v>765</v>
      </c>
      <c r="G245" s="22" t="s">
        <v>841</v>
      </c>
      <c r="H245" s="13" t="s">
        <v>805</v>
      </c>
      <c r="I245" s="13" t="s">
        <v>660</v>
      </c>
      <c r="J245" s="13" t="s">
        <v>912</v>
      </c>
      <c r="L245" s="13" t="s">
        <v>777</v>
      </c>
      <c r="M245" s="13" t="s">
        <v>788</v>
      </c>
      <c r="N245" s="13" t="str">
        <f t="shared" ref="N245:N270" si="1013">IF(ISBLANK(E245),"-",E245&amp;H245&amp;P245&amp;"_f"&amp;Q245&amp;R245&amp;S245&amp;T245&amp;U245&amp;I245)</f>
        <v>OSDef-VRFSysClgEIRRatio_fTwbToadbLowSI</v>
      </c>
      <c r="O245" s="13" t="s">
        <v>165</v>
      </c>
      <c r="P245" s="13" t="s">
        <v>288</v>
      </c>
      <c r="Q245" s="13" t="s">
        <v>116</v>
      </c>
      <c r="R245" s="13" t="s">
        <v>460</v>
      </c>
      <c r="S245" s="13" t="s">
        <v>798</v>
      </c>
      <c r="V245" s="13">
        <v>0.98901054099999997</v>
      </c>
      <c r="W245" s="13">
        <v>-2.3479670000000001E-2</v>
      </c>
      <c r="X245" s="13">
        <v>1.9971100000000001E-4</v>
      </c>
      <c r="Y245" s="13">
        <v>5.9683360000000003E-3</v>
      </c>
      <c r="Z245" s="126">
        <v>-1.0289E-7</v>
      </c>
      <c r="AA245" s="13">
        <v>-1.5686000000000001E-4</v>
      </c>
      <c r="AI245" s="13">
        <v>24</v>
      </c>
      <c r="AJ245" s="13">
        <v>15</v>
      </c>
      <c r="AK245" s="13">
        <v>23</v>
      </c>
      <c r="AL245" s="13">
        <v>-5</v>
      </c>
      <c r="AM245" s="22" t="s">
        <v>915</v>
      </c>
      <c r="AO245" s="13">
        <v>0</v>
      </c>
      <c r="AP245" s="120" t="str">
        <f t="shared" ref="AP245:AP270" si="1014">IF(AO245=1,CONCATENATE(AQ245,AR245,AS245),"")</f>
        <v/>
      </c>
      <c r="AQ245" s="120" t="str">
        <f t="shared" ref="AQ245:AQ270" si="1015">IF(AO245=1,CONCATENATE(AT245,AU245,AV245,AW245,IF(AX245="-","",$AX$15&amp;AX245),IF(AY245="-","",$AY$15&amp;AY245),IF(AZ245="-","",$AZ$15&amp;AZ245),IF(BA245="-","",$BA$15&amp;BA245),IF(BB245="-","",$BB$15&amp;BB245),IF(BC245="-","",$BC$15&amp;BC245)),"")</f>
        <v/>
      </c>
      <c r="AR245" s="120" t="str">
        <f t="shared" ref="AR245:AR257" si="1016">IF(AO245=1,CONCATENATE(BD245,IF(BE245="-","",$BE$15&amp;BE245),IF(BF245="-","",$BF$15&amp;BF245),IF(BG245="-","",$BG$15&amp;BG245),IF(BH245="-","",$BH$15&amp;BH245),IF(BI245="-","",$BI$15&amp;BI245),IF(BJ245="-","",$BJ$15&amp;BJ245)),"")</f>
        <v/>
      </c>
      <c r="AS245" s="120" t="str">
        <f t="shared" ref="AS245:AS270" si="1017">IF(AO245=1,CHAR(13)&amp;CHAR(10)&amp;"..","")</f>
        <v/>
      </c>
      <c r="AT245" s="13" t="str">
        <f t="shared" ref="AT245:AT270" si="1018">IF(AO245=1,VLOOKUP(O245,$AT$2:$AV$13,2,0),"")</f>
        <v/>
      </c>
      <c r="AU245" s="13" t="str">
        <f t="shared" si="982"/>
        <v xml:space="preserve">               </v>
      </c>
      <c r="AV245" s="13" t="str">
        <f t="shared" si="983"/>
        <v/>
      </c>
      <c r="AW245" s="13" t="str">
        <f t="shared" ref="AW245:AW269" si="1019">REPT(" ",$AW$14-LEN(AV245))</f>
        <v xml:space="preserve">                                                                 </v>
      </c>
      <c r="AX245" s="13" t="str">
        <f t="shared" si="1008"/>
        <v/>
      </c>
      <c r="AY245" s="13" t="str">
        <f t="shared" si="1009"/>
        <v/>
      </c>
      <c r="AZ245" s="13" t="str">
        <f t="shared" si="1010"/>
        <v/>
      </c>
      <c r="BA245" s="13" t="str">
        <f t="shared" si="1011"/>
        <v/>
      </c>
      <c r="BB245" s="13" t="str">
        <f t="shared" ref="BB245:BB269" si="1020">IF($AO245=1,IF(ISBLANK(Z245),"-",CONCATENATE(TEXT(Z245," 0.000000;-0.000000"),"  ")),"")</f>
        <v/>
      </c>
      <c r="BC245" s="13" t="str">
        <f t="shared" ref="BC245:BC269" si="1021">IF($AO245=1,IF(ISBLANK(AA245),"-",CONCATENATE(TEXT(AA245," 0.000000;-0.000000"),"  ")),"")</f>
        <v/>
      </c>
      <c r="BD245" s="13" t="str">
        <f t="shared" ref="BD245:BD269" si="1022">IF(MAX(AG245:AL245)=0,REPT(" ",1),CHAR(13)&amp;CHAR(10)&amp;REPT(" ",BD$14))</f>
        <v xml:space="preserve">_x000D_
                                                                                </v>
      </c>
      <c r="BE245" s="13" t="str">
        <f t="shared" si="992"/>
        <v/>
      </c>
      <c r="BF245" s="13" t="str">
        <f t="shared" si="993"/>
        <v/>
      </c>
      <c r="BG245" s="13" t="str">
        <f t="shared" si="994"/>
        <v/>
      </c>
      <c r="BH245" s="13" t="str">
        <f t="shared" si="995"/>
        <v/>
      </c>
      <c r="BI245" s="13" t="str">
        <f t="shared" si="996"/>
        <v/>
      </c>
      <c r="BJ245" s="13" t="str">
        <f t="shared" si="997"/>
        <v/>
      </c>
      <c r="BM245" s="13" t="str">
        <f>Q245</f>
        <v>Twb</v>
      </c>
      <c r="BN245" s="13" t="str">
        <f>R245</f>
        <v>Toadb</v>
      </c>
      <c r="BO245" s="13">
        <v>1</v>
      </c>
      <c r="BR245" s="13">
        <v>0</v>
      </c>
      <c r="BU245" s="104">
        <f t="shared" si="998"/>
        <v>0.96573058200000006</v>
      </c>
      <c r="BV245" s="115"/>
      <c r="BW245" s="104">
        <f t="shared" si="999"/>
        <v>0.98901054099999997</v>
      </c>
    </row>
    <row r="246" spans="2:75" hidden="1" outlineLevel="1" x14ac:dyDescent="0.3">
      <c r="E246" s="13" t="s">
        <v>913</v>
      </c>
      <c r="F246" s="13" t="s">
        <v>766</v>
      </c>
      <c r="G246" s="22" t="s">
        <v>841</v>
      </c>
      <c r="H246" s="13" t="s">
        <v>805</v>
      </c>
      <c r="I246" s="13" t="s">
        <v>660</v>
      </c>
      <c r="J246" s="13" t="s">
        <v>912</v>
      </c>
      <c r="L246" s="13" t="s">
        <v>777</v>
      </c>
      <c r="M246" s="13" t="s">
        <v>789</v>
      </c>
      <c r="N246" s="13" t="str">
        <f t="shared" si="1013"/>
        <v>OSDef-VRFSysClgEIRBdry_fToadbSI</v>
      </c>
      <c r="O246" s="13" t="s">
        <v>230</v>
      </c>
      <c r="P246" s="13" t="s">
        <v>800</v>
      </c>
      <c r="Q246" s="13" t="s">
        <v>460</v>
      </c>
      <c r="V246" s="13">
        <v>25.734737750000001</v>
      </c>
      <c r="W246" s="13">
        <v>-3.1500430000000003E-2</v>
      </c>
      <c r="X246" s="13">
        <v>-1.416595E-2</v>
      </c>
      <c r="AI246" s="13">
        <v>24</v>
      </c>
      <c r="AJ246" s="13">
        <v>15</v>
      </c>
      <c r="AM246" s="22" t="s">
        <v>915</v>
      </c>
      <c r="AO246" s="13">
        <v>0</v>
      </c>
      <c r="AP246" s="120" t="str">
        <f t="shared" si="1014"/>
        <v/>
      </c>
      <c r="AQ246" s="120" t="str">
        <f t="shared" si="1015"/>
        <v/>
      </c>
      <c r="AR246" s="120" t="str">
        <f t="shared" si="1016"/>
        <v/>
      </c>
      <c r="AS246" s="120" t="str">
        <f t="shared" si="1017"/>
        <v/>
      </c>
      <c r="AT246" s="13" t="str">
        <f t="shared" si="1018"/>
        <v/>
      </c>
      <c r="AU246" s="13" t="str">
        <f t="shared" si="982"/>
        <v xml:space="preserve">               </v>
      </c>
      <c r="AV246" s="13" t="str">
        <f t="shared" si="983"/>
        <v/>
      </c>
      <c r="AW246" s="13" t="str">
        <f t="shared" si="1019"/>
        <v xml:space="preserve">                                                                 </v>
      </c>
      <c r="AX246" s="13" t="str">
        <f t="shared" si="1008"/>
        <v/>
      </c>
      <c r="AY246" s="13" t="str">
        <f t="shared" si="1009"/>
        <v/>
      </c>
      <c r="AZ246" s="13" t="str">
        <f t="shared" si="1010"/>
        <v/>
      </c>
      <c r="BA246" s="13" t="str">
        <f t="shared" si="1011"/>
        <v/>
      </c>
      <c r="BB246" s="13" t="str">
        <f t="shared" si="1020"/>
        <v/>
      </c>
      <c r="BC246" s="13" t="str">
        <f t="shared" si="1021"/>
        <v/>
      </c>
      <c r="BD246" s="13" t="str">
        <f t="shared" si="1022"/>
        <v xml:space="preserve">_x000D_
                                                                                </v>
      </c>
      <c r="BE246" s="13" t="str">
        <f t="shared" si="992"/>
        <v/>
      </c>
      <c r="BF246" s="13" t="str">
        <f t="shared" si="993"/>
        <v/>
      </c>
      <c r="BG246" s="13" t="str">
        <f t="shared" si="994"/>
        <v/>
      </c>
      <c r="BH246" s="13" t="str">
        <f t="shared" si="995"/>
        <v/>
      </c>
      <c r="BI246" s="13" t="str">
        <f t="shared" si="996"/>
        <v/>
      </c>
      <c r="BJ246" s="13" t="str">
        <f t="shared" si="997"/>
        <v/>
      </c>
      <c r="BM246" s="13" t="str">
        <f t="shared" ref="BM246:BM260" si="1023">Q246</f>
        <v>Toadb</v>
      </c>
      <c r="BO246" s="13">
        <v>1</v>
      </c>
      <c r="BR246" s="13">
        <v>0</v>
      </c>
      <c r="BU246" s="104">
        <f t="shared" si="998"/>
        <v>25.689071370000001</v>
      </c>
      <c r="BV246" s="115"/>
      <c r="BW246" s="104">
        <f t="shared" si="999"/>
        <v>25.734737750000001</v>
      </c>
    </row>
    <row r="247" spans="2:75" hidden="1" outlineLevel="1" x14ac:dyDescent="0.3">
      <c r="E247" s="13" t="s">
        <v>913</v>
      </c>
      <c r="F247" s="13" t="s">
        <v>767</v>
      </c>
      <c r="G247" s="22" t="s">
        <v>841</v>
      </c>
      <c r="H247" s="13" t="s">
        <v>805</v>
      </c>
      <c r="I247" s="13" t="s">
        <v>660</v>
      </c>
      <c r="J247" s="13" t="s">
        <v>912</v>
      </c>
      <c r="L247" s="13" t="s">
        <v>777</v>
      </c>
      <c r="M247" s="13" t="s">
        <v>790</v>
      </c>
      <c r="N247" s="13" t="str">
        <f t="shared" si="1013"/>
        <v>OSDef-VRFSysClgEIRRatio_fTwbToadbHiSI</v>
      </c>
      <c r="O247" s="13" t="s">
        <v>165</v>
      </c>
      <c r="P247" s="13" t="s">
        <v>288</v>
      </c>
      <c r="Q247" s="13" t="s">
        <v>116</v>
      </c>
      <c r="R247" s="13" t="s">
        <v>460</v>
      </c>
      <c r="S247" s="13" t="s">
        <v>799</v>
      </c>
      <c r="V247" s="13">
        <v>-1.4395110176000001</v>
      </c>
      <c r="W247" s="13">
        <v>0.16198504590000001</v>
      </c>
      <c r="X247" s="126">
        <v>-3.4911781000000002E-3</v>
      </c>
      <c r="Y247" s="13">
        <v>2.6944264499999999E-2</v>
      </c>
      <c r="Z247" s="13">
        <v>1.3461629999999999E-4</v>
      </c>
      <c r="AA247" s="13">
        <v>-6.7149410000000005E-4</v>
      </c>
      <c r="AI247" s="13">
        <v>23.9</v>
      </c>
      <c r="AJ247" s="13">
        <v>15</v>
      </c>
      <c r="AK247" s="13">
        <v>43.3</v>
      </c>
      <c r="AL247" s="13">
        <v>16.8</v>
      </c>
      <c r="AM247" s="22" t="s">
        <v>915</v>
      </c>
      <c r="AO247" s="13">
        <v>0</v>
      </c>
      <c r="AP247" s="120" t="str">
        <f t="shared" si="1014"/>
        <v/>
      </c>
      <c r="AQ247" s="120" t="str">
        <f t="shared" si="1015"/>
        <v/>
      </c>
      <c r="AR247" s="120" t="str">
        <f t="shared" si="1016"/>
        <v/>
      </c>
      <c r="AS247" s="120" t="str">
        <f t="shared" si="1017"/>
        <v/>
      </c>
      <c r="AT247" s="13" t="str">
        <f t="shared" si="1018"/>
        <v/>
      </c>
      <c r="AU247" s="13" t="str">
        <f t="shared" si="982"/>
        <v xml:space="preserve">               </v>
      </c>
      <c r="AV247" s="13" t="str">
        <f t="shared" si="983"/>
        <v/>
      </c>
      <c r="AW247" s="13" t="str">
        <f t="shared" si="1019"/>
        <v xml:space="preserve">                                                                 </v>
      </c>
      <c r="AX247" s="13" t="str">
        <f t="shared" si="1008"/>
        <v/>
      </c>
      <c r="AY247" s="13" t="str">
        <f t="shared" si="1009"/>
        <v/>
      </c>
      <c r="AZ247" s="13" t="str">
        <f t="shared" si="1010"/>
        <v/>
      </c>
      <c r="BA247" s="13" t="str">
        <f t="shared" si="1011"/>
        <v/>
      </c>
      <c r="BB247" s="13" t="str">
        <f t="shared" si="1020"/>
        <v/>
      </c>
      <c r="BC247" s="13" t="str">
        <f t="shared" si="1021"/>
        <v/>
      </c>
      <c r="BD247" s="13" t="str">
        <f t="shared" si="1022"/>
        <v xml:space="preserve">_x000D_
                                                                                </v>
      </c>
      <c r="BE247" s="13" t="str">
        <f t="shared" si="992"/>
        <v/>
      </c>
      <c r="BF247" s="13" t="str">
        <f t="shared" si="993"/>
        <v/>
      </c>
      <c r="BG247" s="13" t="str">
        <f t="shared" si="994"/>
        <v/>
      </c>
      <c r="BH247" s="13" t="str">
        <f t="shared" si="995"/>
        <v/>
      </c>
      <c r="BI247" s="13" t="str">
        <f t="shared" si="996"/>
        <v/>
      </c>
      <c r="BJ247" s="13" t="str">
        <f t="shared" si="997"/>
        <v/>
      </c>
      <c r="BM247" s="13" t="str">
        <f t="shared" si="1023"/>
        <v>Twb</v>
      </c>
      <c r="BN247" s="13" t="str">
        <f>R247</f>
        <v>Toadb</v>
      </c>
      <c r="BO247" s="13">
        <v>1</v>
      </c>
      <c r="BR247" s="13">
        <v>0</v>
      </c>
      <c r="BU247" s="104">
        <f t="shared" si="998"/>
        <v>-1.2810171498</v>
      </c>
      <c r="BV247" s="115"/>
      <c r="BW247" s="104">
        <f t="shared" si="999"/>
        <v>-1.4395110176000001</v>
      </c>
    </row>
    <row r="248" spans="2:75" hidden="1" outlineLevel="1" x14ac:dyDescent="0.3">
      <c r="E248" s="13" t="s">
        <v>913</v>
      </c>
      <c r="F248" s="13" t="s">
        <v>768</v>
      </c>
      <c r="G248" s="22" t="s">
        <v>841</v>
      </c>
      <c r="H248" s="13" t="s">
        <v>805</v>
      </c>
      <c r="I248" s="13" t="s">
        <v>660</v>
      </c>
      <c r="J248" s="13" t="s">
        <v>912</v>
      </c>
      <c r="L248" s="13" t="s">
        <v>777</v>
      </c>
      <c r="M248" s="13" t="s">
        <v>791</v>
      </c>
      <c r="N248" s="13" t="str">
        <f t="shared" si="1013"/>
        <v>OSDef-VRFSysClgEIRRatio_fPLRLowSI</v>
      </c>
      <c r="O248" s="13" t="s">
        <v>230</v>
      </c>
      <c r="P248" s="13" t="s">
        <v>288</v>
      </c>
      <c r="Q248" s="13" t="s">
        <v>28</v>
      </c>
      <c r="R248" s="13" t="s">
        <v>798</v>
      </c>
      <c r="V248" s="13">
        <v>0.45412261920000002</v>
      </c>
      <c r="W248" s="126">
        <v>-0.17296870810000001</v>
      </c>
      <c r="X248" s="13">
        <v>1.0828661346999999</v>
      </c>
      <c r="Y248" s="13">
        <v>-0.36184808969999999</v>
      </c>
      <c r="AI248" s="13">
        <v>1</v>
      </c>
      <c r="AJ248" s="13">
        <v>0.5</v>
      </c>
      <c r="AM248" s="22" t="s">
        <v>915</v>
      </c>
      <c r="AO248" s="13">
        <v>0</v>
      </c>
      <c r="AP248" s="120" t="str">
        <f t="shared" si="1014"/>
        <v/>
      </c>
      <c r="AQ248" s="120" t="str">
        <f t="shared" si="1015"/>
        <v/>
      </c>
      <c r="AR248" s="120" t="str">
        <f t="shared" si="1016"/>
        <v/>
      </c>
      <c r="AS248" s="120" t="str">
        <f t="shared" si="1017"/>
        <v/>
      </c>
      <c r="AT248" s="13" t="str">
        <f t="shared" si="1018"/>
        <v/>
      </c>
      <c r="AU248" s="13" t="str">
        <f t="shared" si="982"/>
        <v xml:space="preserve">               </v>
      </c>
      <c r="AV248" s="13" t="str">
        <f t="shared" si="983"/>
        <v/>
      </c>
      <c r="AW248" s="13" t="str">
        <f t="shared" si="1019"/>
        <v xml:space="preserve">                                                                 </v>
      </c>
      <c r="AX248" s="13" t="str">
        <f t="shared" si="1008"/>
        <v/>
      </c>
      <c r="AY248" s="13" t="str">
        <f t="shared" si="1009"/>
        <v/>
      </c>
      <c r="AZ248" s="13" t="str">
        <f t="shared" si="1010"/>
        <v/>
      </c>
      <c r="BA248" s="13" t="str">
        <f t="shared" si="1011"/>
        <v/>
      </c>
      <c r="BB248" s="13" t="str">
        <f t="shared" si="1020"/>
        <v/>
      </c>
      <c r="BC248" s="13" t="str">
        <f t="shared" si="1021"/>
        <v/>
      </c>
      <c r="BD248" s="13" t="str">
        <f t="shared" si="1022"/>
        <v xml:space="preserve">_x000D_
                                                                                </v>
      </c>
      <c r="BE248" s="13" t="str">
        <f t="shared" si="992"/>
        <v/>
      </c>
      <c r="BF248" s="13" t="str">
        <f t="shared" si="993"/>
        <v/>
      </c>
      <c r="BG248" s="13" t="str">
        <f t="shared" si="994"/>
        <v/>
      </c>
      <c r="BH248" s="13" t="str">
        <f t="shared" si="995"/>
        <v/>
      </c>
      <c r="BI248" s="13" t="str">
        <f t="shared" si="996"/>
        <v/>
      </c>
      <c r="BJ248" s="13" t="str">
        <f t="shared" si="997"/>
        <v/>
      </c>
      <c r="BM248" s="13" t="str">
        <f t="shared" si="1023"/>
        <v>PLR</v>
      </c>
      <c r="BN248" s="13" t="str">
        <f>R248</f>
        <v>Low</v>
      </c>
      <c r="BO248" s="13">
        <v>1</v>
      </c>
      <c r="BR248" s="13">
        <v>0</v>
      </c>
      <c r="BU248" s="104">
        <f t="shared" si="998"/>
        <v>1.3640200457999998</v>
      </c>
      <c r="BV248" s="115"/>
      <c r="BW248" s="104">
        <f t="shared" si="999"/>
        <v>0.45412261920000002</v>
      </c>
    </row>
    <row r="249" spans="2:75" hidden="1" outlineLevel="1" x14ac:dyDescent="0.3">
      <c r="E249" s="13" t="s">
        <v>913</v>
      </c>
      <c r="F249" s="13" t="s">
        <v>769</v>
      </c>
      <c r="G249" s="22" t="s">
        <v>841</v>
      </c>
      <c r="H249" s="13" t="s">
        <v>805</v>
      </c>
      <c r="I249" s="13" t="s">
        <v>660</v>
      </c>
      <c r="J249" s="13" t="s">
        <v>912</v>
      </c>
      <c r="L249" s="13" t="s">
        <v>777</v>
      </c>
      <c r="M249" s="13" t="s">
        <v>792</v>
      </c>
      <c r="N249" s="13" t="str">
        <f t="shared" si="1013"/>
        <v>OSDef-VRFSysClgEIRRatio_fPLRHiSI</v>
      </c>
      <c r="O249" s="13" t="s">
        <v>230</v>
      </c>
      <c r="P249" s="13" t="s">
        <v>288</v>
      </c>
      <c r="Q249" s="13" t="s">
        <v>28</v>
      </c>
      <c r="R249" s="13" t="s">
        <v>799</v>
      </c>
      <c r="U249" s="126"/>
      <c r="V249" s="33">
        <v>1</v>
      </c>
      <c r="W249" s="33">
        <v>0</v>
      </c>
      <c r="X249" s="33">
        <v>0</v>
      </c>
      <c r="Y249" s="33">
        <v>0</v>
      </c>
      <c r="AI249" s="13">
        <v>1</v>
      </c>
      <c r="AJ249" s="13">
        <v>1.5</v>
      </c>
      <c r="AM249" s="22" t="s">
        <v>915</v>
      </c>
      <c r="AO249" s="13">
        <v>0</v>
      </c>
      <c r="AP249" s="120" t="str">
        <f t="shared" si="1014"/>
        <v/>
      </c>
      <c r="AQ249" s="120" t="str">
        <f t="shared" si="1015"/>
        <v/>
      </c>
      <c r="AR249" s="120" t="str">
        <f t="shared" si="1016"/>
        <v/>
      </c>
      <c r="AS249" s="120" t="str">
        <f t="shared" si="1017"/>
        <v/>
      </c>
      <c r="AT249" s="13" t="str">
        <f t="shared" si="1018"/>
        <v/>
      </c>
      <c r="AU249" s="13" t="str">
        <f t="shared" si="982"/>
        <v xml:space="preserve">               </v>
      </c>
      <c r="AV249" s="13" t="str">
        <f t="shared" si="983"/>
        <v/>
      </c>
      <c r="AW249" s="13" t="str">
        <f t="shared" si="1019"/>
        <v xml:space="preserve">                                                                 </v>
      </c>
      <c r="AX249" s="13" t="str">
        <f t="shared" si="1008"/>
        <v/>
      </c>
      <c r="AY249" s="13" t="str">
        <f t="shared" si="1009"/>
        <v/>
      </c>
      <c r="AZ249" s="13" t="str">
        <f t="shared" si="1010"/>
        <v/>
      </c>
      <c r="BA249" s="13" t="str">
        <f t="shared" si="1011"/>
        <v/>
      </c>
      <c r="BB249" s="13" t="str">
        <f t="shared" si="1020"/>
        <v/>
      </c>
      <c r="BC249" s="13" t="str">
        <f t="shared" si="1021"/>
        <v/>
      </c>
      <c r="BD249" s="13" t="str">
        <f t="shared" si="1022"/>
        <v xml:space="preserve">_x000D_
                                                                                </v>
      </c>
      <c r="BE249" s="13" t="str">
        <f t="shared" si="992"/>
        <v/>
      </c>
      <c r="BF249" s="13" t="str">
        <f t="shared" si="993"/>
        <v/>
      </c>
      <c r="BG249" s="13" t="str">
        <f t="shared" si="994"/>
        <v/>
      </c>
      <c r="BH249" s="13" t="str">
        <f t="shared" si="995"/>
        <v/>
      </c>
      <c r="BI249" s="13" t="str">
        <f t="shared" si="996"/>
        <v/>
      </c>
      <c r="BJ249" s="13" t="str">
        <f t="shared" si="997"/>
        <v/>
      </c>
      <c r="BM249" s="13" t="str">
        <f t="shared" si="1023"/>
        <v>PLR</v>
      </c>
      <c r="BN249" s="13" t="str">
        <f>R249</f>
        <v>Hi</v>
      </c>
      <c r="BO249" s="13">
        <v>1</v>
      </c>
      <c r="BR249" s="13">
        <v>0</v>
      </c>
      <c r="BU249" s="104">
        <f t="shared" si="998"/>
        <v>1</v>
      </c>
      <c r="BV249" s="115"/>
      <c r="BW249" s="104">
        <f t="shared" si="999"/>
        <v>1</v>
      </c>
    </row>
    <row r="250" spans="2:75" hidden="1" outlineLevel="1" x14ac:dyDescent="0.3">
      <c r="E250" s="13" t="s">
        <v>913</v>
      </c>
      <c r="F250" s="13" t="s">
        <v>803</v>
      </c>
      <c r="G250" s="22" t="s">
        <v>841</v>
      </c>
      <c r="H250" s="13" t="s">
        <v>805</v>
      </c>
      <c r="I250" s="13" t="s">
        <v>660</v>
      </c>
      <c r="J250" s="13" t="s">
        <v>912</v>
      </c>
      <c r="L250" s="13" t="s">
        <v>777</v>
      </c>
      <c r="M250" s="13" t="s">
        <v>813</v>
      </c>
      <c r="N250" s="13" t="str">
        <f t="shared" si="1013"/>
        <v>OSDef-VRFSysClgEIRRatio_fCycRatSI</v>
      </c>
      <c r="O250" s="13" t="s">
        <v>230</v>
      </c>
      <c r="P250" s="13" t="s">
        <v>288</v>
      </c>
      <c r="Q250" s="13" t="s">
        <v>804</v>
      </c>
      <c r="V250" s="33">
        <v>0.85</v>
      </c>
      <c r="W250" s="33">
        <v>0.15</v>
      </c>
      <c r="X250" s="33">
        <v>0</v>
      </c>
      <c r="Y250" s="33">
        <v>0</v>
      </c>
      <c r="AI250" s="13">
        <v>1</v>
      </c>
      <c r="AJ250" s="13">
        <v>0</v>
      </c>
      <c r="AM250" s="22" t="s">
        <v>915</v>
      </c>
      <c r="AO250" s="13">
        <v>0</v>
      </c>
      <c r="AP250" s="120" t="str">
        <f t="shared" si="1014"/>
        <v/>
      </c>
      <c r="AQ250" s="120" t="str">
        <f t="shared" si="1015"/>
        <v/>
      </c>
      <c r="AR250" s="120" t="str">
        <f t="shared" si="1016"/>
        <v/>
      </c>
      <c r="AS250" s="120" t="str">
        <f t="shared" si="1017"/>
        <v/>
      </c>
      <c r="AT250" s="13" t="str">
        <f t="shared" si="1018"/>
        <v/>
      </c>
      <c r="AU250" s="13" t="str">
        <f t="shared" si="982"/>
        <v xml:space="preserve">               </v>
      </c>
      <c r="AV250" s="13" t="str">
        <f t="shared" si="983"/>
        <v/>
      </c>
      <c r="AW250" s="13" t="str">
        <f t="shared" si="1019"/>
        <v xml:space="preserve">                                                                 </v>
      </c>
      <c r="AX250" s="13" t="str">
        <f t="shared" si="1008"/>
        <v/>
      </c>
      <c r="AY250" s="13" t="str">
        <f t="shared" si="1009"/>
        <v/>
      </c>
      <c r="AZ250" s="13" t="str">
        <f t="shared" si="1010"/>
        <v/>
      </c>
      <c r="BA250" s="13" t="str">
        <f t="shared" si="1011"/>
        <v/>
      </c>
      <c r="BB250" s="13" t="str">
        <f t="shared" si="1020"/>
        <v/>
      </c>
      <c r="BC250" s="13" t="str">
        <f t="shared" si="1021"/>
        <v/>
      </c>
      <c r="BD250" s="13" t="str">
        <f t="shared" si="1022"/>
        <v xml:space="preserve">_x000D_
                                                                                </v>
      </c>
      <c r="BE250" s="13" t="str">
        <f t="shared" si="992"/>
        <v/>
      </c>
      <c r="BF250" s="13" t="str">
        <f t="shared" si="993"/>
        <v/>
      </c>
      <c r="BG250" s="13" t="str">
        <f t="shared" si="994"/>
        <v/>
      </c>
      <c r="BH250" s="13" t="str">
        <f t="shared" si="995"/>
        <v/>
      </c>
      <c r="BI250" s="13" t="str">
        <f t="shared" si="996"/>
        <v/>
      </c>
      <c r="BJ250" s="13" t="str">
        <f t="shared" si="997"/>
        <v/>
      </c>
      <c r="BM250" s="13" t="str">
        <f t="shared" si="1023"/>
        <v>CycRat</v>
      </c>
      <c r="BO250" s="13">
        <v>1</v>
      </c>
      <c r="BR250" s="13">
        <v>0</v>
      </c>
      <c r="BU250" s="104">
        <f t="shared" si="998"/>
        <v>1</v>
      </c>
      <c r="BV250" s="115"/>
      <c r="BW250" s="104">
        <f t="shared" si="999"/>
        <v>0.85</v>
      </c>
    </row>
    <row r="251" spans="2:75" hidden="1" outlineLevel="1" x14ac:dyDescent="0.3">
      <c r="E251" s="13" t="s">
        <v>913</v>
      </c>
      <c r="F251" s="13" t="s">
        <v>770</v>
      </c>
      <c r="G251" s="22" t="s">
        <v>841</v>
      </c>
      <c r="H251" s="13" t="s">
        <v>807</v>
      </c>
      <c r="I251" s="13" t="s">
        <v>660</v>
      </c>
      <c r="J251" s="13" t="s">
        <v>912</v>
      </c>
      <c r="L251" s="13" t="s">
        <v>777</v>
      </c>
      <c r="M251" s="13" t="s">
        <v>814</v>
      </c>
      <c r="N251" s="13" t="str">
        <f t="shared" si="1013"/>
        <v>OSDef-VRFSysHtRcvryClgEIRRatio_fTwbToadbSI</v>
      </c>
      <c r="O251" s="13" t="s">
        <v>165</v>
      </c>
      <c r="P251" s="13" t="s">
        <v>288</v>
      </c>
      <c r="Q251" s="13" t="s">
        <v>116</v>
      </c>
      <c r="R251" s="13" t="s">
        <v>460</v>
      </c>
      <c r="V251" s="33">
        <v>1.1000000000000001</v>
      </c>
      <c r="W251" s="33">
        <v>0</v>
      </c>
      <c r="X251" s="33">
        <v>0</v>
      </c>
      <c r="Y251" s="33">
        <v>0</v>
      </c>
      <c r="Z251" s="33">
        <v>0</v>
      </c>
      <c r="AA251" s="33">
        <v>0</v>
      </c>
      <c r="AI251" s="13">
        <v>1</v>
      </c>
      <c r="AJ251" s="13">
        <v>0</v>
      </c>
      <c r="AM251" s="22" t="s">
        <v>915</v>
      </c>
      <c r="AO251" s="13">
        <v>0</v>
      </c>
      <c r="AP251" s="120" t="str">
        <f t="shared" si="1014"/>
        <v/>
      </c>
      <c r="AQ251" s="120" t="str">
        <f t="shared" si="1015"/>
        <v/>
      </c>
      <c r="AR251" s="120" t="str">
        <f t="shared" si="1016"/>
        <v/>
      </c>
      <c r="AS251" s="120" t="str">
        <f t="shared" si="1017"/>
        <v/>
      </c>
      <c r="AT251" s="13" t="str">
        <f t="shared" si="1018"/>
        <v/>
      </c>
      <c r="AU251" s="13" t="str">
        <f t="shared" si="982"/>
        <v xml:space="preserve">               </v>
      </c>
      <c r="AV251" s="13" t="str">
        <f t="shared" si="983"/>
        <v/>
      </c>
      <c r="AW251" s="13" t="str">
        <f t="shared" si="1019"/>
        <v xml:space="preserve">                                                                 </v>
      </c>
      <c r="AX251" s="13" t="str">
        <f t="shared" si="1008"/>
        <v/>
      </c>
      <c r="AY251" s="13" t="str">
        <f t="shared" si="1009"/>
        <v/>
      </c>
      <c r="AZ251" s="13" t="str">
        <f t="shared" si="1010"/>
        <v/>
      </c>
      <c r="BA251" s="13" t="str">
        <f t="shared" si="1011"/>
        <v/>
      </c>
      <c r="BB251" s="13" t="str">
        <f t="shared" si="1020"/>
        <v/>
      </c>
      <c r="BC251" s="13" t="str">
        <f t="shared" si="1021"/>
        <v/>
      </c>
      <c r="BD251" s="13" t="str">
        <f t="shared" si="1022"/>
        <v xml:space="preserve">_x000D_
                                                                                </v>
      </c>
      <c r="BE251" s="13" t="str">
        <f t="shared" si="992"/>
        <v/>
      </c>
      <c r="BF251" s="13" t="str">
        <f t="shared" si="993"/>
        <v/>
      </c>
      <c r="BG251" s="13" t="str">
        <f t="shared" si="994"/>
        <v/>
      </c>
      <c r="BH251" s="13" t="str">
        <f t="shared" si="995"/>
        <v/>
      </c>
      <c r="BI251" s="13" t="str">
        <f t="shared" si="996"/>
        <v/>
      </c>
      <c r="BJ251" s="13" t="str">
        <f t="shared" si="997"/>
        <v/>
      </c>
      <c r="BM251" s="13" t="str">
        <f t="shared" si="1023"/>
        <v>Twb</v>
      </c>
      <c r="BN251" s="13" t="str">
        <f>R251</f>
        <v>Toadb</v>
      </c>
      <c r="BO251" s="13">
        <v>1</v>
      </c>
      <c r="BR251" s="13">
        <v>0</v>
      </c>
      <c r="BU251" s="104">
        <f t="shared" si="998"/>
        <v>1.1000000000000001</v>
      </c>
      <c r="BV251" s="115"/>
      <c r="BW251" s="104">
        <f t="shared" si="999"/>
        <v>1.1000000000000001</v>
      </c>
    </row>
    <row r="252" spans="2:75" hidden="1" outlineLevel="1" x14ac:dyDescent="0.3">
      <c r="E252" s="13" t="s">
        <v>913</v>
      </c>
      <c r="F252" s="13" t="s">
        <v>771</v>
      </c>
      <c r="G252" s="22" t="s">
        <v>841</v>
      </c>
      <c r="H252" s="13" t="s">
        <v>806</v>
      </c>
      <c r="I252" s="13" t="s">
        <v>660</v>
      </c>
      <c r="J252" s="13" t="s">
        <v>912</v>
      </c>
      <c r="L252" s="13" t="s">
        <v>777</v>
      </c>
      <c r="M252" s="13" t="s">
        <v>793</v>
      </c>
      <c r="N252" s="13" t="str">
        <f t="shared" si="1013"/>
        <v>OSDef-VRFSysHtgEIRRatio_fTwbToadbLowSI</v>
      </c>
      <c r="O252" s="13" t="s">
        <v>165</v>
      </c>
      <c r="P252" s="13" t="s">
        <v>288</v>
      </c>
      <c r="Q252" s="13" t="s">
        <v>116</v>
      </c>
      <c r="R252" s="13" t="s">
        <v>460</v>
      </c>
      <c r="S252" s="13" t="s">
        <v>798</v>
      </c>
      <c r="V252" s="13">
        <v>0.72242926829999998</v>
      </c>
      <c r="W252" s="13">
        <v>3.4566627999999999E-3</v>
      </c>
      <c r="X252" s="13">
        <v>6.5070280000000002E-4</v>
      </c>
      <c r="Y252" s="13">
        <v>-2.6435361999999998E-3</v>
      </c>
      <c r="Z252" s="13">
        <v>1.2464766E-3</v>
      </c>
      <c r="AA252" s="13">
        <v>-1.009161E-4</v>
      </c>
      <c r="AI252" s="13">
        <v>27.2</v>
      </c>
      <c r="AJ252" s="13">
        <v>21.1</v>
      </c>
      <c r="AK252" s="13">
        <v>3.33</v>
      </c>
      <c r="AL252" s="13">
        <v>-20</v>
      </c>
      <c r="AM252" s="22" t="s">
        <v>915</v>
      </c>
      <c r="AO252" s="13">
        <v>0</v>
      </c>
      <c r="AP252" s="120" t="str">
        <f t="shared" si="1014"/>
        <v/>
      </c>
      <c r="AQ252" s="120" t="str">
        <f t="shared" si="1015"/>
        <v/>
      </c>
      <c r="AR252" s="120" t="str">
        <f t="shared" si="1016"/>
        <v/>
      </c>
      <c r="AS252" s="120" t="str">
        <f t="shared" si="1017"/>
        <v/>
      </c>
      <c r="AT252" s="13" t="str">
        <f t="shared" si="1018"/>
        <v/>
      </c>
      <c r="AU252" s="13" t="str">
        <f t="shared" si="982"/>
        <v xml:space="preserve">               </v>
      </c>
      <c r="AV252" s="13" t="str">
        <f t="shared" si="983"/>
        <v/>
      </c>
      <c r="AW252" s="13" t="str">
        <f t="shared" si="1019"/>
        <v xml:space="preserve">                                                                 </v>
      </c>
      <c r="AX252" s="13" t="str">
        <f t="shared" si="1008"/>
        <v/>
      </c>
      <c r="AY252" s="13" t="str">
        <f t="shared" si="1009"/>
        <v/>
      </c>
      <c r="AZ252" s="13" t="str">
        <f t="shared" si="1010"/>
        <v/>
      </c>
      <c r="BA252" s="13" t="str">
        <f t="shared" si="1011"/>
        <v/>
      </c>
      <c r="BB252" s="13" t="str">
        <f t="shared" si="1020"/>
        <v/>
      </c>
      <c r="BC252" s="13" t="str">
        <f t="shared" si="1021"/>
        <v/>
      </c>
      <c r="BD252" s="13" t="str">
        <f t="shared" si="1022"/>
        <v xml:space="preserve">_x000D_
                                                                                </v>
      </c>
      <c r="BE252" s="13" t="str">
        <f t="shared" si="992"/>
        <v/>
      </c>
      <c r="BF252" s="13" t="str">
        <f t="shared" si="993"/>
        <v/>
      </c>
      <c r="BG252" s="13" t="str">
        <f t="shared" si="994"/>
        <v/>
      </c>
      <c r="BH252" s="13" t="str">
        <f t="shared" si="995"/>
        <v/>
      </c>
      <c r="BI252" s="13" t="str">
        <f t="shared" si="996"/>
        <v/>
      </c>
      <c r="BJ252" s="13" t="str">
        <f t="shared" si="997"/>
        <v/>
      </c>
      <c r="BM252" s="13" t="str">
        <f t="shared" si="1023"/>
        <v>Twb</v>
      </c>
      <c r="BN252" s="13" t="str">
        <f>R252</f>
        <v>Toadb</v>
      </c>
      <c r="BO252" s="13">
        <v>1</v>
      </c>
      <c r="BR252" s="13">
        <v>0</v>
      </c>
      <c r="BU252" s="104">
        <f t="shared" si="998"/>
        <v>0.72653663390000001</v>
      </c>
      <c r="BV252" s="115"/>
      <c r="BW252" s="104">
        <f t="shared" si="999"/>
        <v>0.72242926829999998</v>
      </c>
    </row>
    <row r="253" spans="2:75" hidden="1" outlineLevel="1" x14ac:dyDescent="0.3">
      <c r="E253" s="13" t="s">
        <v>913</v>
      </c>
      <c r="F253" s="13" t="s">
        <v>772</v>
      </c>
      <c r="G253" s="22" t="s">
        <v>841</v>
      </c>
      <c r="H253" s="13" t="s">
        <v>806</v>
      </c>
      <c r="I253" s="13" t="s">
        <v>660</v>
      </c>
      <c r="J253" s="13" t="s">
        <v>912</v>
      </c>
      <c r="L253" s="13" t="s">
        <v>777</v>
      </c>
      <c r="M253" s="13" t="s">
        <v>794</v>
      </c>
      <c r="N253" s="13" t="str">
        <f t="shared" si="1013"/>
        <v>OSDef-VRFSysHtgEIRBdry_fToadbSI</v>
      </c>
      <c r="O253" s="13" t="s">
        <v>230</v>
      </c>
      <c r="P253" s="13" t="s">
        <v>800</v>
      </c>
      <c r="Q253" s="13" t="s">
        <v>460</v>
      </c>
      <c r="V253" s="13">
        <v>58.576999999999998</v>
      </c>
      <c r="W253" s="13">
        <v>-3.0255000000000001</v>
      </c>
      <c r="X253" s="13">
        <v>1.9300000000000001E-2</v>
      </c>
      <c r="Y253" s="13">
        <v>0</v>
      </c>
      <c r="AI253" s="13">
        <v>23.9</v>
      </c>
      <c r="AJ253" s="13">
        <v>15</v>
      </c>
      <c r="AM253" s="22" t="s">
        <v>915</v>
      </c>
      <c r="AO253" s="13">
        <v>0</v>
      </c>
      <c r="AP253" s="120" t="str">
        <f t="shared" si="1014"/>
        <v/>
      </c>
      <c r="AQ253" s="120" t="str">
        <f t="shared" si="1015"/>
        <v/>
      </c>
      <c r="AR253" s="120" t="str">
        <f t="shared" si="1016"/>
        <v/>
      </c>
      <c r="AS253" s="120" t="str">
        <f t="shared" si="1017"/>
        <v/>
      </c>
      <c r="AT253" s="13" t="str">
        <f t="shared" si="1018"/>
        <v/>
      </c>
      <c r="AU253" s="13" t="str">
        <f t="shared" si="982"/>
        <v xml:space="preserve">               </v>
      </c>
      <c r="AV253" s="13" t="str">
        <f t="shared" si="983"/>
        <v/>
      </c>
      <c r="AW253" s="13" t="str">
        <f t="shared" si="1019"/>
        <v xml:space="preserve">                                                                 </v>
      </c>
      <c r="AX253" s="13" t="str">
        <f t="shared" si="1008"/>
        <v/>
      </c>
      <c r="AY253" s="13" t="str">
        <f t="shared" si="1009"/>
        <v/>
      </c>
      <c r="AZ253" s="13" t="str">
        <f t="shared" si="1010"/>
        <v/>
      </c>
      <c r="BA253" s="13" t="str">
        <f t="shared" si="1011"/>
        <v/>
      </c>
      <c r="BB253" s="13" t="str">
        <f t="shared" si="1020"/>
        <v/>
      </c>
      <c r="BC253" s="13" t="str">
        <f t="shared" si="1021"/>
        <v/>
      </c>
      <c r="BD253" s="13" t="str">
        <f t="shared" si="1022"/>
        <v xml:space="preserve">_x000D_
                                                                                </v>
      </c>
      <c r="BE253" s="13" t="str">
        <f t="shared" si="992"/>
        <v/>
      </c>
      <c r="BF253" s="13" t="str">
        <f t="shared" si="993"/>
        <v/>
      </c>
      <c r="BG253" s="13" t="str">
        <f t="shared" si="994"/>
        <v/>
      </c>
      <c r="BH253" s="13" t="str">
        <f t="shared" si="995"/>
        <v/>
      </c>
      <c r="BI253" s="13" t="str">
        <f t="shared" si="996"/>
        <v/>
      </c>
      <c r="BJ253" s="13" t="str">
        <f t="shared" si="997"/>
        <v/>
      </c>
      <c r="BM253" s="13" t="str">
        <f t="shared" si="1023"/>
        <v>Toadb</v>
      </c>
      <c r="BO253" s="13">
        <v>1</v>
      </c>
      <c r="BR253" s="13">
        <v>0</v>
      </c>
      <c r="BU253" s="104">
        <f t="shared" si="998"/>
        <v>55.570799999999998</v>
      </c>
      <c r="BV253" s="115"/>
      <c r="BW253" s="104">
        <f t="shared" si="999"/>
        <v>58.576999999999998</v>
      </c>
    </row>
    <row r="254" spans="2:75" hidden="1" outlineLevel="1" x14ac:dyDescent="0.3">
      <c r="E254" s="13" t="s">
        <v>913</v>
      </c>
      <c r="F254" s="13" t="s">
        <v>773</v>
      </c>
      <c r="G254" s="22" t="s">
        <v>841</v>
      </c>
      <c r="H254" s="13" t="s">
        <v>806</v>
      </c>
      <c r="I254" s="13" t="s">
        <v>660</v>
      </c>
      <c r="J254" s="13" t="s">
        <v>912</v>
      </c>
      <c r="L254" s="13" t="s">
        <v>777</v>
      </c>
      <c r="M254" s="13" t="s">
        <v>795</v>
      </c>
      <c r="N254" s="13" t="str">
        <f t="shared" si="1013"/>
        <v>OSDef-VRFSysHtgEIRRatio_fTwbToadbHiSI</v>
      </c>
      <c r="O254" s="13" t="s">
        <v>165</v>
      </c>
      <c r="P254" s="13" t="s">
        <v>288</v>
      </c>
      <c r="Q254" s="13" t="s">
        <v>116</v>
      </c>
      <c r="R254" s="13" t="s">
        <v>460</v>
      </c>
      <c r="S254" s="13" t="s">
        <v>799</v>
      </c>
      <c r="V254" s="13">
        <v>1.3885703646000001</v>
      </c>
      <c r="W254" s="13">
        <v>-2.29771462E-2</v>
      </c>
      <c r="X254" s="13">
        <v>5.3727400000000002E-4</v>
      </c>
      <c r="Y254" s="13">
        <v>-2.7393696200000001E-2</v>
      </c>
      <c r="Z254" s="13">
        <v>4.0304259999999998E-4</v>
      </c>
      <c r="AA254" s="126">
        <v>-5.9786E-5</v>
      </c>
      <c r="AI254" s="13">
        <v>27.2</v>
      </c>
      <c r="AJ254" s="13">
        <v>21.1</v>
      </c>
      <c r="AK254" s="13">
        <v>1</v>
      </c>
      <c r="AL254" s="13">
        <v>0</v>
      </c>
      <c r="AM254" s="22" t="s">
        <v>915</v>
      </c>
      <c r="AO254" s="13">
        <v>0</v>
      </c>
      <c r="AP254" s="120" t="str">
        <f t="shared" si="1014"/>
        <v/>
      </c>
      <c r="AQ254" s="120" t="str">
        <f t="shared" si="1015"/>
        <v/>
      </c>
      <c r="AR254" s="120" t="str">
        <f t="shared" si="1016"/>
        <v/>
      </c>
      <c r="AS254" s="120" t="str">
        <f t="shared" si="1017"/>
        <v/>
      </c>
      <c r="AT254" s="13" t="str">
        <f t="shared" si="1018"/>
        <v/>
      </c>
      <c r="AU254" s="13" t="str">
        <f t="shared" si="982"/>
        <v xml:space="preserve">               </v>
      </c>
      <c r="AV254" s="13" t="str">
        <f t="shared" si="983"/>
        <v/>
      </c>
      <c r="AW254" s="13" t="str">
        <f t="shared" si="1019"/>
        <v xml:space="preserve">                                                                 </v>
      </c>
      <c r="AX254" s="13" t="str">
        <f t="shared" si="1008"/>
        <v/>
      </c>
      <c r="AY254" s="13" t="str">
        <f t="shared" si="1009"/>
        <v/>
      </c>
      <c r="AZ254" s="13" t="str">
        <f t="shared" si="1010"/>
        <v/>
      </c>
      <c r="BA254" s="13" t="str">
        <f t="shared" si="1011"/>
        <v/>
      </c>
      <c r="BB254" s="13" t="str">
        <f t="shared" si="1020"/>
        <v/>
      </c>
      <c r="BC254" s="13" t="str">
        <f t="shared" si="1021"/>
        <v/>
      </c>
      <c r="BD254" s="13" t="str">
        <f t="shared" si="1022"/>
        <v xml:space="preserve">_x000D_
                                                                                </v>
      </c>
      <c r="BE254" s="13" t="str">
        <f t="shared" si="992"/>
        <v/>
      </c>
      <c r="BF254" s="13" t="str">
        <f t="shared" si="993"/>
        <v/>
      </c>
      <c r="BG254" s="13" t="str">
        <f t="shared" si="994"/>
        <v/>
      </c>
      <c r="BH254" s="13" t="str">
        <f t="shared" si="995"/>
        <v/>
      </c>
      <c r="BI254" s="13" t="str">
        <f t="shared" si="996"/>
        <v/>
      </c>
      <c r="BJ254" s="13" t="str">
        <f t="shared" si="997"/>
        <v/>
      </c>
      <c r="BM254" s="13" t="str">
        <f t="shared" si="1023"/>
        <v>Twb</v>
      </c>
      <c r="BN254" s="13" t="str">
        <f>R254</f>
        <v>Toadb</v>
      </c>
      <c r="BO254" s="13">
        <v>1</v>
      </c>
      <c r="BR254" s="13">
        <v>0</v>
      </c>
      <c r="BU254" s="104">
        <f t="shared" si="998"/>
        <v>1.3661304924000002</v>
      </c>
      <c r="BV254" s="115"/>
      <c r="BW254" s="104">
        <f t="shared" si="999"/>
        <v>1.3885703646000001</v>
      </c>
    </row>
    <row r="255" spans="2:75" hidden="1" outlineLevel="1" x14ac:dyDescent="0.3">
      <c r="E255" s="13" t="s">
        <v>913</v>
      </c>
      <c r="F255" s="13" t="s">
        <v>774</v>
      </c>
      <c r="G255" s="22" t="s">
        <v>841</v>
      </c>
      <c r="H255" s="13" t="s">
        <v>806</v>
      </c>
      <c r="I255" s="13" t="s">
        <v>660</v>
      </c>
      <c r="J255" s="13" t="s">
        <v>912</v>
      </c>
      <c r="L255" s="13" t="s">
        <v>777</v>
      </c>
      <c r="M255" s="13" t="s">
        <v>796</v>
      </c>
      <c r="N255" s="13" t="str">
        <f t="shared" si="1013"/>
        <v>OSDef-VRFSysHtgEIRRatio_fPLRLowSI</v>
      </c>
      <c r="O255" s="13" t="s">
        <v>230</v>
      </c>
      <c r="P255" s="13" t="s">
        <v>288</v>
      </c>
      <c r="Q255" s="13" t="s">
        <v>28</v>
      </c>
      <c r="R255" s="13" t="s">
        <v>798</v>
      </c>
      <c r="V255" s="13">
        <v>0.39247420249999998</v>
      </c>
      <c r="W255" s="13">
        <v>7.6016373999999998E-2</v>
      </c>
      <c r="X255" s="13">
        <v>0.69832357830000003</v>
      </c>
      <c r="Y255" s="13">
        <v>-0.16884078129999999</v>
      </c>
      <c r="AI255" s="13">
        <v>1</v>
      </c>
      <c r="AJ255" s="13">
        <v>0.5</v>
      </c>
      <c r="AM255" s="22" t="s">
        <v>915</v>
      </c>
      <c r="AO255" s="13">
        <v>0</v>
      </c>
      <c r="AP255" s="120" t="str">
        <f t="shared" si="1014"/>
        <v/>
      </c>
      <c r="AQ255" s="120" t="str">
        <f t="shared" si="1015"/>
        <v/>
      </c>
      <c r="AR255" s="120" t="str">
        <f t="shared" si="1016"/>
        <v/>
      </c>
      <c r="AS255" s="120" t="str">
        <f t="shared" si="1017"/>
        <v/>
      </c>
      <c r="AT255" s="13" t="str">
        <f t="shared" si="1018"/>
        <v/>
      </c>
      <c r="AU255" s="13" t="str">
        <f t="shared" si="982"/>
        <v xml:space="preserve">               </v>
      </c>
      <c r="AV255" s="13" t="str">
        <f t="shared" si="983"/>
        <v/>
      </c>
      <c r="AW255" s="13" t="str">
        <f t="shared" si="1019"/>
        <v xml:space="preserve">                                                                 </v>
      </c>
      <c r="AX255" s="13" t="str">
        <f t="shared" si="1008"/>
        <v/>
      </c>
      <c r="AY255" s="13" t="str">
        <f t="shared" si="1009"/>
        <v/>
      </c>
      <c r="AZ255" s="13" t="str">
        <f t="shared" si="1010"/>
        <v/>
      </c>
      <c r="BA255" s="13" t="str">
        <f t="shared" si="1011"/>
        <v/>
      </c>
      <c r="BB255" s="13" t="str">
        <f t="shared" si="1020"/>
        <v/>
      </c>
      <c r="BC255" s="13" t="str">
        <f t="shared" si="1021"/>
        <v/>
      </c>
      <c r="BD255" s="13" t="str">
        <f t="shared" si="1022"/>
        <v xml:space="preserve">_x000D_
                                                                                </v>
      </c>
      <c r="BE255" s="13" t="str">
        <f t="shared" si="992"/>
        <v/>
      </c>
      <c r="BF255" s="13" t="str">
        <f t="shared" si="993"/>
        <v/>
      </c>
      <c r="BG255" s="13" t="str">
        <f t="shared" si="994"/>
        <v/>
      </c>
      <c r="BH255" s="13" t="str">
        <f t="shared" si="995"/>
        <v/>
      </c>
      <c r="BI255" s="13" t="str">
        <f t="shared" si="996"/>
        <v/>
      </c>
      <c r="BJ255" s="13" t="str">
        <f t="shared" si="997"/>
        <v/>
      </c>
      <c r="BM255" s="13" t="str">
        <f t="shared" si="1023"/>
        <v>PLR</v>
      </c>
      <c r="BN255" s="13" t="str">
        <f>R255</f>
        <v>Low</v>
      </c>
      <c r="BO255" s="13">
        <v>1</v>
      </c>
      <c r="BR255" s="13">
        <v>0</v>
      </c>
      <c r="BU255" s="104">
        <f t="shared" si="998"/>
        <v>1.1668141547999999</v>
      </c>
      <c r="BV255" s="115"/>
      <c r="BW255" s="104">
        <f t="shared" si="999"/>
        <v>0.39247420249999998</v>
      </c>
    </row>
    <row r="256" spans="2:75" hidden="1" outlineLevel="1" x14ac:dyDescent="0.3">
      <c r="E256" s="13" t="s">
        <v>913</v>
      </c>
      <c r="F256" s="13" t="s">
        <v>775</v>
      </c>
      <c r="G256" s="22" t="s">
        <v>841</v>
      </c>
      <c r="H256" s="13" t="s">
        <v>806</v>
      </c>
      <c r="I256" s="13" t="s">
        <v>660</v>
      </c>
      <c r="J256" s="13" t="s">
        <v>912</v>
      </c>
      <c r="L256" s="13" t="s">
        <v>777</v>
      </c>
      <c r="M256" s="13" t="s">
        <v>797</v>
      </c>
      <c r="N256" s="13" t="str">
        <f t="shared" si="1013"/>
        <v>OSDef-VRFSysHtgEIRRatio_fPLRHiSI</v>
      </c>
      <c r="O256" s="13" t="s">
        <v>230</v>
      </c>
      <c r="P256" s="13" t="s">
        <v>288</v>
      </c>
      <c r="Q256" s="13" t="s">
        <v>28</v>
      </c>
      <c r="R256" s="13" t="s">
        <v>799</v>
      </c>
      <c r="V256" s="33">
        <v>1</v>
      </c>
      <c r="W256" s="33">
        <v>0</v>
      </c>
      <c r="X256" s="33">
        <v>0</v>
      </c>
      <c r="Y256" s="33">
        <v>0</v>
      </c>
      <c r="AI256" s="13">
        <v>1.5</v>
      </c>
      <c r="AJ256" s="13">
        <v>1</v>
      </c>
      <c r="AM256" t="s">
        <v>915</v>
      </c>
      <c r="AO256" s="13">
        <v>0</v>
      </c>
      <c r="AP256" s="120" t="str">
        <f t="shared" si="1014"/>
        <v/>
      </c>
      <c r="AQ256" s="120" t="str">
        <f t="shared" si="1015"/>
        <v/>
      </c>
      <c r="AR256" s="120" t="str">
        <f t="shared" si="1016"/>
        <v/>
      </c>
      <c r="AS256" s="120" t="str">
        <f t="shared" si="1017"/>
        <v/>
      </c>
      <c r="AT256" s="13" t="str">
        <f t="shared" si="1018"/>
        <v/>
      </c>
      <c r="AU256" s="13" t="str">
        <f t="shared" si="982"/>
        <v xml:space="preserve">               </v>
      </c>
      <c r="AV256" s="13" t="str">
        <f t="shared" si="983"/>
        <v/>
      </c>
      <c r="AW256" s="13" t="str">
        <f t="shared" si="1019"/>
        <v xml:space="preserve">                                                                 </v>
      </c>
      <c r="AX256" s="13" t="str">
        <f t="shared" si="1008"/>
        <v/>
      </c>
      <c r="AY256" s="13" t="str">
        <f t="shared" si="1009"/>
        <v/>
      </c>
      <c r="AZ256" s="13" t="str">
        <f t="shared" si="1010"/>
        <v/>
      </c>
      <c r="BA256" s="13" t="str">
        <f t="shared" si="1011"/>
        <v/>
      </c>
      <c r="BB256" s="13" t="str">
        <f t="shared" si="1020"/>
        <v/>
      </c>
      <c r="BC256" s="13" t="str">
        <f t="shared" si="1021"/>
        <v/>
      </c>
      <c r="BD256" s="13" t="str">
        <f t="shared" si="1022"/>
        <v xml:space="preserve">_x000D_
                                                                                </v>
      </c>
      <c r="BE256" s="13" t="str">
        <f t="shared" si="992"/>
        <v/>
      </c>
      <c r="BF256" s="13" t="str">
        <f t="shared" si="993"/>
        <v/>
      </c>
      <c r="BG256" s="13" t="str">
        <f t="shared" si="994"/>
        <v/>
      </c>
      <c r="BH256" s="13" t="str">
        <f t="shared" si="995"/>
        <v/>
      </c>
      <c r="BI256" s="13" t="str">
        <f t="shared" si="996"/>
        <v/>
      </c>
      <c r="BJ256" s="13" t="str">
        <f t="shared" si="997"/>
        <v/>
      </c>
      <c r="BM256" s="13" t="str">
        <f t="shared" si="1023"/>
        <v>PLR</v>
      </c>
      <c r="BN256" s="13" t="str">
        <f>R256</f>
        <v>Hi</v>
      </c>
      <c r="BO256" s="13">
        <v>1</v>
      </c>
      <c r="BR256" s="13">
        <v>0</v>
      </c>
      <c r="BU256" s="104">
        <f t="shared" si="998"/>
        <v>1</v>
      </c>
      <c r="BV256" s="115"/>
      <c r="BW256" s="104">
        <f t="shared" si="999"/>
        <v>1</v>
      </c>
    </row>
    <row r="257" spans="2:75" hidden="1" outlineLevel="1" x14ac:dyDescent="0.3">
      <c r="E257" s="13" t="s">
        <v>913</v>
      </c>
      <c r="F257" s="13" t="s">
        <v>809</v>
      </c>
      <c r="G257" s="22" t="s">
        <v>841</v>
      </c>
      <c r="H257" s="13" t="s">
        <v>806</v>
      </c>
      <c r="I257" s="13" t="s">
        <v>660</v>
      </c>
      <c r="J257" s="13" t="s">
        <v>912</v>
      </c>
      <c r="L257" s="13" t="s">
        <v>777</v>
      </c>
      <c r="M257" s="13" t="s">
        <v>812</v>
      </c>
      <c r="N257" s="13" t="str">
        <f t="shared" si="1013"/>
        <v>OSDef-VRFSysHtgEIRRatio_fCycRatSI</v>
      </c>
      <c r="O257" s="13" t="s">
        <v>230</v>
      </c>
      <c r="P257" s="13" t="s">
        <v>288</v>
      </c>
      <c r="Q257" s="13" t="s">
        <v>804</v>
      </c>
      <c r="V257" s="33">
        <v>0.85</v>
      </c>
      <c r="W257" s="33">
        <v>0.15</v>
      </c>
      <c r="X257" s="33">
        <v>0</v>
      </c>
      <c r="Y257" s="33">
        <v>0</v>
      </c>
      <c r="AI257" s="13">
        <v>1</v>
      </c>
      <c r="AJ257" s="13">
        <v>0</v>
      </c>
      <c r="AM257" t="s">
        <v>915</v>
      </c>
      <c r="AO257" s="13">
        <v>0</v>
      </c>
      <c r="AP257" s="120" t="str">
        <f t="shared" si="1014"/>
        <v/>
      </c>
      <c r="AQ257" s="120" t="str">
        <f t="shared" si="1015"/>
        <v/>
      </c>
      <c r="AR257" s="120" t="str">
        <f t="shared" si="1016"/>
        <v/>
      </c>
      <c r="AS257" s="120" t="str">
        <f t="shared" si="1017"/>
        <v/>
      </c>
      <c r="AT257" s="13" t="str">
        <f t="shared" si="1018"/>
        <v/>
      </c>
      <c r="AU257" s="13" t="str">
        <f t="shared" si="982"/>
        <v xml:space="preserve">               </v>
      </c>
      <c r="AV257" s="13" t="str">
        <f t="shared" si="983"/>
        <v/>
      </c>
      <c r="AW257" s="13" t="str">
        <f t="shared" si="1019"/>
        <v xml:space="preserve">                                                                 </v>
      </c>
      <c r="AX257" s="13" t="str">
        <f t="shared" si="1008"/>
        <v/>
      </c>
      <c r="AY257" s="13" t="str">
        <f t="shared" si="1009"/>
        <v/>
      </c>
      <c r="AZ257" s="13" t="str">
        <f t="shared" si="1010"/>
        <v/>
      </c>
      <c r="BA257" s="13" t="str">
        <f t="shared" si="1011"/>
        <v/>
      </c>
      <c r="BB257" s="13" t="str">
        <f t="shared" si="1020"/>
        <v/>
      </c>
      <c r="BC257" s="13" t="str">
        <f t="shared" si="1021"/>
        <v/>
      </c>
      <c r="BD257" s="13" t="str">
        <f t="shared" si="1022"/>
        <v xml:space="preserve">_x000D_
                                                                                </v>
      </c>
      <c r="BE257" s="13" t="str">
        <f t="shared" si="992"/>
        <v/>
      </c>
      <c r="BF257" s="13" t="str">
        <f t="shared" si="993"/>
        <v/>
      </c>
      <c r="BG257" s="13" t="str">
        <f t="shared" si="994"/>
        <v/>
      </c>
      <c r="BH257" s="13" t="str">
        <f t="shared" si="995"/>
        <v/>
      </c>
      <c r="BI257" s="13" t="str">
        <f t="shared" si="996"/>
        <v/>
      </c>
      <c r="BJ257" s="13" t="str">
        <f t="shared" si="997"/>
        <v/>
      </c>
      <c r="BM257" s="13" t="str">
        <f t="shared" si="1023"/>
        <v>CycRat</v>
      </c>
      <c r="BO257" s="13">
        <v>1</v>
      </c>
      <c r="BR257" s="13">
        <v>0</v>
      </c>
      <c r="BU257" s="104">
        <f t="shared" si="998"/>
        <v>1</v>
      </c>
      <c r="BV257" s="115"/>
      <c r="BW257" s="104">
        <f t="shared" si="999"/>
        <v>0.85</v>
      </c>
    </row>
    <row r="258" spans="2:75" hidden="1" outlineLevel="1" x14ac:dyDescent="0.3">
      <c r="E258" s="13" t="s">
        <v>913</v>
      </c>
      <c r="F258" s="13" t="s">
        <v>776</v>
      </c>
      <c r="G258" s="22" t="s">
        <v>841</v>
      </c>
      <c r="H258" s="13" t="s">
        <v>808</v>
      </c>
      <c r="I258" s="13" t="s">
        <v>660</v>
      </c>
      <c r="J258" s="13" t="s">
        <v>912</v>
      </c>
      <c r="L258" s="13" t="s">
        <v>777</v>
      </c>
      <c r="M258" s="13" t="s">
        <v>811</v>
      </c>
      <c r="N258" s="13" t="str">
        <f t="shared" si="1013"/>
        <v>OSDef-VRFSysHtRcvryHtgEIRRatio_fTwbToadbSI</v>
      </c>
      <c r="O258" s="13" t="s">
        <v>165</v>
      </c>
      <c r="P258" s="13" t="s">
        <v>288</v>
      </c>
      <c r="Q258" s="13" t="s">
        <v>116</v>
      </c>
      <c r="R258" s="13" t="s">
        <v>460</v>
      </c>
      <c r="V258" s="33">
        <v>1.1000000000000001</v>
      </c>
      <c r="W258" s="33">
        <v>0</v>
      </c>
      <c r="X258" s="33">
        <v>0</v>
      </c>
      <c r="Y258" s="33">
        <v>0</v>
      </c>
      <c r="Z258" s="33">
        <v>0</v>
      </c>
      <c r="AA258" s="33">
        <v>0</v>
      </c>
      <c r="AI258" s="13">
        <v>1</v>
      </c>
      <c r="AJ258" s="13">
        <v>0</v>
      </c>
      <c r="AM258" t="s">
        <v>915</v>
      </c>
      <c r="AO258" s="13">
        <v>0</v>
      </c>
      <c r="AP258" s="120" t="str">
        <f t="shared" si="1014"/>
        <v/>
      </c>
      <c r="AQ258" s="120" t="str">
        <f t="shared" si="1015"/>
        <v/>
      </c>
      <c r="AR258" s="120" t="str">
        <f t="shared" ref="AR258" si="1024">IF(AO258=1,CONCATENATE(BD258,IF(BE258="-","",$BE$15&amp;BE258),IF(BF258="-","",$BF$15&amp;BF258),IF(BG258="-","",$BG$15&amp;BG258),IF(BH258="-","",$BH$15&amp;BH258),IF(BI258="-","",$BI$15&amp;BI258),IF(BJ258="-","",$BJ$15&amp;BJ258)),"")</f>
        <v/>
      </c>
      <c r="AS258" s="120" t="str">
        <f t="shared" si="1017"/>
        <v/>
      </c>
      <c r="AT258" s="13" t="str">
        <f t="shared" si="1018"/>
        <v/>
      </c>
      <c r="AU258" s="13" t="str">
        <f t="shared" si="982"/>
        <v xml:space="preserve">               </v>
      </c>
      <c r="AV258" s="13" t="str">
        <f t="shared" si="983"/>
        <v/>
      </c>
      <c r="AW258" s="13" t="str">
        <f t="shared" si="1019"/>
        <v xml:space="preserve">                                                                 </v>
      </c>
      <c r="AX258" s="13" t="str">
        <f t="shared" si="1008"/>
        <v/>
      </c>
      <c r="AY258" s="13" t="str">
        <f t="shared" si="1009"/>
        <v/>
      </c>
      <c r="AZ258" s="13" t="str">
        <f t="shared" si="1010"/>
        <v/>
      </c>
      <c r="BA258" s="13" t="str">
        <f t="shared" si="1011"/>
        <v/>
      </c>
      <c r="BB258" s="13" t="str">
        <f t="shared" si="1020"/>
        <v/>
      </c>
      <c r="BC258" s="13" t="str">
        <f t="shared" si="1021"/>
        <v/>
      </c>
      <c r="BD258" s="13" t="str">
        <f t="shared" si="1022"/>
        <v xml:space="preserve">_x000D_
                                                                                </v>
      </c>
      <c r="BE258" s="13" t="str">
        <f t="shared" si="992"/>
        <v/>
      </c>
      <c r="BF258" s="13" t="str">
        <f t="shared" si="993"/>
        <v/>
      </c>
      <c r="BG258" s="13" t="str">
        <f t="shared" si="994"/>
        <v/>
      </c>
      <c r="BH258" s="13" t="str">
        <f t="shared" si="995"/>
        <v/>
      </c>
      <c r="BI258" s="13" t="str">
        <f t="shared" si="996"/>
        <v/>
      </c>
      <c r="BJ258" s="13" t="str">
        <f t="shared" si="997"/>
        <v/>
      </c>
      <c r="BM258" s="13" t="str">
        <f t="shared" si="1023"/>
        <v>Twb</v>
      </c>
      <c r="BN258" s="13" t="str">
        <f>R258</f>
        <v>Toadb</v>
      </c>
      <c r="BO258" s="13">
        <v>1</v>
      </c>
      <c r="BR258" s="13">
        <v>0</v>
      </c>
      <c r="BU258" s="104">
        <f t="shared" si="998"/>
        <v>1.1000000000000001</v>
      </c>
      <c r="BV258" s="115"/>
      <c r="BW258" s="104">
        <f t="shared" si="999"/>
        <v>1.1000000000000001</v>
      </c>
    </row>
    <row r="259" spans="2:75" hidden="1" outlineLevel="1" x14ac:dyDescent="0.3">
      <c r="B259" s="13" t="s">
        <v>810</v>
      </c>
      <c r="D259" s="22" t="s">
        <v>816</v>
      </c>
      <c r="E259" s="13" t="s">
        <v>913</v>
      </c>
      <c r="F259" s="13" t="s">
        <v>817</v>
      </c>
      <c r="G259" s="22" t="s">
        <v>841</v>
      </c>
      <c r="H259" s="13" t="s">
        <v>805</v>
      </c>
      <c r="I259" s="13" t="s">
        <v>660</v>
      </c>
      <c r="J259" s="13" t="s">
        <v>912</v>
      </c>
      <c r="L259" s="13" t="s">
        <v>777</v>
      </c>
      <c r="M259" s="13" t="s">
        <v>819</v>
      </c>
      <c r="N259" s="13" t="str">
        <f t="shared" si="1013"/>
        <v>OSDef-VRFSysClgPipeLoss_fLenSI</v>
      </c>
      <c r="O259" s="13" t="s">
        <v>165</v>
      </c>
      <c r="P259" s="13" t="s">
        <v>821</v>
      </c>
      <c r="Q259" s="13" t="s">
        <v>822</v>
      </c>
      <c r="V259" s="33">
        <v>2.0388158624999999</v>
      </c>
      <c r="W259" s="33">
        <v>-2.4260645000000001E-3</v>
      </c>
      <c r="X259" s="33">
        <v>3.5512E-6</v>
      </c>
      <c r="Y259" s="33">
        <v>-1.6858129771999999</v>
      </c>
      <c r="Z259" s="33">
        <v>0.66870335800000003</v>
      </c>
      <c r="AA259" s="33">
        <v>-4.5705999999999999E-5</v>
      </c>
      <c r="AI259" s="13">
        <v>182.88</v>
      </c>
      <c r="AJ259" s="13">
        <v>7.62</v>
      </c>
      <c r="AK259" s="13">
        <v>1.5</v>
      </c>
      <c r="AL259" s="13">
        <v>0.8</v>
      </c>
      <c r="AM259" t="s">
        <v>915</v>
      </c>
      <c r="AO259" s="13">
        <v>0</v>
      </c>
      <c r="AP259" s="120" t="str">
        <f t="shared" si="1014"/>
        <v/>
      </c>
      <c r="AQ259" s="120" t="str">
        <f t="shared" si="1015"/>
        <v/>
      </c>
      <c r="AR259" s="120" t="str">
        <f t="shared" ref="AR259:AR284" si="1025">IF(AO259=1,CONCATENATE(BD259,IF(BE259="-","",$BE$15&amp;BE259),IF(BF259="-","",$BF$15&amp;BF259),IF(BG259="-","",$BG$15&amp;BG259),IF(BH259="-","",$BH$15&amp;BH259),IF(BI259="-","",$BI$15&amp;BI259),IF(BJ259="-","",$BJ$15&amp;BJ259)),"")</f>
        <v/>
      </c>
      <c r="AS259" s="120" t="str">
        <f t="shared" si="1017"/>
        <v/>
      </c>
      <c r="AT259" s="13" t="str">
        <f t="shared" si="1018"/>
        <v/>
      </c>
      <c r="AU259" s="13" t="str">
        <f t="shared" si="982"/>
        <v xml:space="preserve">               </v>
      </c>
      <c r="AV259" s="13" t="str">
        <f t="shared" si="983"/>
        <v/>
      </c>
      <c r="AW259" s="13" t="str">
        <f t="shared" si="1019"/>
        <v xml:space="preserve">                                                                 </v>
      </c>
      <c r="AX259" s="13" t="str">
        <f t="shared" si="1008"/>
        <v/>
      </c>
      <c r="AY259" s="13" t="str">
        <f t="shared" si="1009"/>
        <v/>
      </c>
      <c r="AZ259" s="13" t="str">
        <f t="shared" si="1010"/>
        <v/>
      </c>
      <c r="BA259" s="13" t="str">
        <f t="shared" si="1011"/>
        <v/>
      </c>
      <c r="BB259" s="13" t="str">
        <f t="shared" si="1020"/>
        <v/>
      </c>
      <c r="BC259" s="13" t="str">
        <f t="shared" si="1021"/>
        <v/>
      </c>
      <c r="BD259" s="13" t="str">
        <f t="shared" si="1022"/>
        <v xml:space="preserve">_x000D_
                                                                                </v>
      </c>
      <c r="BE259" s="13" t="str">
        <f t="shared" si="992"/>
        <v/>
      </c>
      <c r="BF259" s="13" t="str">
        <f t="shared" si="993"/>
        <v/>
      </c>
      <c r="BG259" s="13" t="str">
        <f t="shared" si="994"/>
        <v/>
      </c>
      <c r="BH259" s="13" t="str">
        <f t="shared" si="995"/>
        <v/>
      </c>
      <c r="BI259" s="13" t="str">
        <f t="shared" si="996"/>
        <v/>
      </c>
      <c r="BJ259" s="13" t="str">
        <f t="shared" si="997"/>
        <v/>
      </c>
      <c r="BM259" s="13" t="str">
        <f t="shared" si="1023"/>
        <v>Len</v>
      </c>
      <c r="BO259" s="13">
        <v>1</v>
      </c>
      <c r="BR259" s="13">
        <v>0</v>
      </c>
      <c r="BU259" s="104">
        <f t="shared" si="998"/>
        <v>2.0363933491999999</v>
      </c>
      <c r="BV259" s="115"/>
      <c r="BW259" s="104">
        <f t="shared" si="999"/>
        <v>2.0388158624999999</v>
      </c>
    </row>
    <row r="260" spans="2:75" hidden="1" outlineLevel="1" x14ac:dyDescent="0.3">
      <c r="E260" s="13" t="s">
        <v>913</v>
      </c>
      <c r="F260" s="13" t="s">
        <v>818</v>
      </c>
      <c r="G260" s="22" t="s">
        <v>841</v>
      </c>
      <c r="H260" s="13" t="s">
        <v>806</v>
      </c>
      <c r="I260" s="13" t="s">
        <v>660</v>
      </c>
      <c r="J260" s="13" t="s">
        <v>912</v>
      </c>
      <c r="L260" s="13" t="s">
        <v>777</v>
      </c>
      <c r="M260" s="13" t="s">
        <v>820</v>
      </c>
      <c r="N260" s="13" t="str">
        <f t="shared" si="1013"/>
        <v>OSDef-VRFSysHtgPipeLoss_fLenSI</v>
      </c>
      <c r="O260" s="13" t="s">
        <v>165</v>
      </c>
      <c r="P260" s="13" t="s">
        <v>821</v>
      </c>
      <c r="Q260" s="13" t="s">
        <v>822</v>
      </c>
      <c r="V260" s="33">
        <v>1</v>
      </c>
      <c r="W260" s="33">
        <v>0</v>
      </c>
      <c r="X260" s="33">
        <v>0</v>
      </c>
      <c r="Y260" s="33">
        <v>0</v>
      </c>
      <c r="Z260" s="33">
        <v>0</v>
      </c>
      <c r="AA260" s="33">
        <v>0</v>
      </c>
      <c r="AI260" s="13">
        <v>1</v>
      </c>
      <c r="AJ260" s="13">
        <v>0</v>
      </c>
      <c r="AK260" s="13">
        <v>1</v>
      </c>
      <c r="AL260" s="13">
        <v>0</v>
      </c>
      <c r="AM260" t="s">
        <v>915</v>
      </c>
      <c r="AO260" s="13">
        <v>0</v>
      </c>
      <c r="AP260" s="120" t="str">
        <f t="shared" si="1014"/>
        <v/>
      </c>
      <c r="AQ260" s="120" t="str">
        <f t="shared" si="1015"/>
        <v/>
      </c>
      <c r="AR260" s="120" t="str">
        <f t="shared" si="1025"/>
        <v/>
      </c>
      <c r="AS260" s="120" t="str">
        <f t="shared" si="1017"/>
        <v/>
      </c>
      <c r="AT260" s="13" t="str">
        <f t="shared" si="1018"/>
        <v/>
      </c>
      <c r="AU260" s="13" t="str">
        <f t="shared" si="982"/>
        <v xml:space="preserve">               </v>
      </c>
      <c r="AV260" s="13" t="str">
        <f t="shared" si="983"/>
        <v/>
      </c>
      <c r="AW260" s="13" t="str">
        <f t="shared" si="1019"/>
        <v xml:space="preserve">                                                                 </v>
      </c>
      <c r="AX260" s="13" t="str">
        <f t="shared" si="1008"/>
        <v/>
      </c>
      <c r="AY260" s="13" t="str">
        <f t="shared" si="1009"/>
        <v/>
      </c>
      <c r="AZ260" s="13" t="str">
        <f t="shared" si="1010"/>
        <v/>
      </c>
      <c r="BA260" s="13" t="str">
        <f t="shared" si="1011"/>
        <v/>
      </c>
      <c r="BB260" s="13" t="str">
        <f t="shared" si="1020"/>
        <v/>
      </c>
      <c r="BC260" s="13" t="str">
        <f t="shared" si="1021"/>
        <v/>
      </c>
      <c r="BD260" s="13" t="str">
        <f t="shared" si="1022"/>
        <v xml:space="preserve">_x000D_
                                                                                </v>
      </c>
      <c r="BE260" s="13" t="str">
        <f t="shared" si="992"/>
        <v/>
      </c>
      <c r="BF260" s="13" t="str">
        <f t="shared" si="993"/>
        <v/>
      </c>
      <c r="BG260" s="13" t="str">
        <f t="shared" si="994"/>
        <v/>
      </c>
      <c r="BH260" s="13" t="str">
        <f t="shared" si="995"/>
        <v/>
      </c>
      <c r="BI260" s="13" t="str">
        <f t="shared" si="996"/>
        <v/>
      </c>
      <c r="BJ260" s="13" t="str">
        <f t="shared" si="997"/>
        <v/>
      </c>
      <c r="BM260" s="13" t="str">
        <f t="shared" si="1023"/>
        <v>Len</v>
      </c>
      <c r="BO260" s="13">
        <v>1</v>
      </c>
      <c r="BR260" s="13">
        <v>0</v>
      </c>
      <c r="BU260" s="104">
        <f t="shared" si="998"/>
        <v>1</v>
      </c>
      <c r="BV260" s="115"/>
      <c r="BW260" s="104">
        <f t="shared" si="999"/>
        <v>1</v>
      </c>
    </row>
    <row r="261" spans="2:75" hidden="1" outlineLevel="1" x14ac:dyDescent="0.3">
      <c r="B261" s="13" t="s">
        <v>926</v>
      </c>
      <c r="D261" s="22" t="s">
        <v>758</v>
      </c>
      <c r="E261" s="13" t="s">
        <v>923</v>
      </c>
      <c r="F261" s="13" t="s">
        <v>754</v>
      </c>
      <c r="G261" s="22" t="s">
        <v>841</v>
      </c>
      <c r="H261" s="13" t="s">
        <v>805</v>
      </c>
      <c r="I261" s="13" t="s">
        <v>660</v>
      </c>
      <c r="J261" s="13" t="s">
        <v>912</v>
      </c>
      <c r="L261" s="13" t="s">
        <v>777</v>
      </c>
      <c r="M261" s="13" t="s">
        <v>778</v>
      </c>
      <c r="N261" s="13" t="str">
        <f t="shared" si="1013"/>
        <v>EPDef-VRFSysClgQRatio_fTwbToadbLowSI</v>
      </c>
      <c r="O261" s="13" t="s">
        <v>165</v>
      </c>
      <c r="P261" s="13" t="s">
        <v>160</v>
      </c>
      <c r="Q261" s="13" t="s">
        <v>116</v>
      </c>
      <c r="R261" s="13" t="s">
        <v>460</v>
      </c>
      <c r="S261" s="13" t="s">
        <v>798</v>
      </c>
      <c r="V261" s="33">
        <v>0.57688300000000003</v>
      </c>
      <c r="W261" s="33">
        <v>1.7448000000000002E-2</v>
      </c>
      <c r="X261" s="33">
        <v>5.8299999999999997E-4</v>
      </c>
      <c r="Y261" s="33">
        <v>-1.9999999999999999E-6</v>
      </c>
      <c r="Z261" s="33">
        <v>0</v>
      </c>
      <c r="AA261" s="33">
        <v>0</v>
      </c>
      <c r="AI261" s="13">
        <v>24</v>
      </c>
      <c r="AJ261" s="13">
        <v>15</v>
      </c>
      <c r="AK261" s="13">
        <v>23</v>
      </c>
      <c r="AL261" s="13">
        <v>-5</v>
      </c>
      <c r="AM261" t="s">
        <v>925</v>
      </c>
      <c r="AO261" s="13">
        <v>1</v>
      </c>
      <c r="AP261" s="120" t="str">
        <f t="shared" si="1014"/>
        <v>CrvDblQuad     "EPDef-VRFSysClgQRatio_fTwbToadbLowSI"                           Coef1 =  0.576883  Coef2 =  0.017448  Coef3 =  0.000583  Coef4 = -0.000002  Coef5 =  0.000000  Coef6 =  0.000000  _x000D_
                                                                                MaxVar1 = 24.000   MinVar1 = 15.000   MaxVar2 = 23.000   MinVar2 = -5.000   _x000D_
..</v>
      </c>
      <c r="AQ261" s="120" t="str">
        <f t="shared" si="1015"/>
        <v xml:space="preserve">CrvDblQuad     "EPDef-VRFSysClgQRatio_fTwbToadbLowSI"                           Coef1 =  0.576883  Coef2 =  0.017448  Coef3 =  0.000583  Coef4 = -0.000002  Coef5 =  0.000000  Coef6 =  0.000000  </v>
      </c>
      <c r="AR261" s="120" t="str">
        <f t="shared" si="1025"/>
        <v xml:space="preserve">_x000D_
                                                                                MaxVar1 = 24.000   MinVar1 = 15.000   MaxVar2 = 23.000   MinVar2 = -5.000   </v>
      </c>
      <c r="AS261" s="120" t="str">
        <f t="shared" si="1017"/>
        <v>_x000D_
..</v>
      </c>
      <c r="AT261" s="13" t="str">
        <f t="shared" si="1018"/>
        <v>CrvDblQuad</v>
      </c>
      <c r="AU261" s="13" t="str">
        <f t="shared" ref="AU261:AU286" si="1026">REPT(" ",AU$14-LEN(AT261))</f>
        <v xml:space="preserve">     </v>
      </c>
      <c r="AV261" s="13" t="str">
        <f t="shared" ref="AV261:AV286" si="1027">IF(AO261=1,CONCATENATE("""",N261,""""),"")</f>
        <v>"EPDef-VRFSysClgQRatio_fTwbToadbLowSI"</v>
      </c>
      <c r="AW261" s="13" t="str">
        <f t="shared" si="1019"/>
        <v xml:space="preserve">                           </v>
      </c>
      <c r="AX261" s="13" t="str">
        <f t="shared" si="1008"/>
        <v xml:space="preserve"> 0.576883  </v>
      </c>
      <c r="AY261" s="13" t="str">
        <f t="shared" si="1009"/>
        <v xml:space="preserve"> 0.017448  </v>
      </c>
      <c r="AZ261" s="13" t="str">
        <f t="shared" si="1010"/>
        <v xml:space="preserve"> 0.000583  </v>
      </c>
      <c r="BA261" s="13" t="str">
        <f t="shared" si="1011"/>
        <v xml:space="preserve">-0.000002  </v>
      </c>
      <c r="BB261" s="13" t="str">
        <f t="shared" si="1020"/>
        <v xml:space="preserve"> 0.000000  </v>
      </c>
      <c r="BC261" s="13" t="str">
        <f t="shared" si="1021"/>
        <v xml:space="preserve"> 0.000000  </v>
      </c>
      <c r="BD261" s="13" t="str">
        <f t="shared" si="1022"/>
        <v xml:space="preserve">_x000D_
                                                                                </v>
      </c>
      <c r="BE261" s="13" t="str">
        <f t="shared" ref="BE261:BE286" si="1028">IF($AO261=1,IF(AG261="","-",CONCATENATE(TEXT(AG261,"0.000"),"   ")),"")</f>
        <v>-</v>
      </c>
      <c r="BF261" s="13" t="str">
        <f t="shared" ref="BF261:BF286" si="1029">IF($AO261=1,IF(AH261="","-",CONCATENATE(TEXT(AH261,"0.000"),"   ")),"")</f>
        <v>-</v>
      </c>
      <c r="BG261" s="13" t="str">
        <f t="shared" ref="BG261:BG286" si="1030">IF($AO261=1,IF(AI261="","-",CONCATENATE(TEXT(AI261,"0.000"),"   ")),"")</f>
        <v xml:space="preserve">24.000   </v>
      </c>
      <c r="BH261" s="13" t="str">
        <f t="shared" ref="BH261:BH286" si="1031">IF($AO261=1,IF(AJ261="","-",CONCATENATE(TEXT(AJ261,"0.000"),"   ")),"")</f>
        <v xml:space="preserve">15.000   </v>
      </c>
      <c r="BI261" s="13" t="str">
        <f t="shared" ref="BI261:BI286" si="1032">IF($AO261=1,IF(AK261="","-",CONCATENATE(TEXT(AK261,"0.000"),"   ")),"")</f>
        <v xml:space="preserve">23.000   </v>
      </c>
      <c r="BJ261" s="13" t="str">
        <f t="shared" ref="BJ261:BJ286" si="1033">IF($AO261=1,IF(AL261="","-",CONCATENATE(TEXT(AL261,"0.000"),"   ")),"")</f>
        <v xml:space="preserve">-5.000   </v>
      </c>
      <c r="BM261" s="13" t="str">
        <f>Q261</f>
        <v>Twb</v>
      </c>
      <c r="BN261" s="13" t="str">
        <f>R261</f>
        <v>Toadb</v>
      </c>
      <c r="BO261" s="13">
        <v>1</v>
      </c>
      <c r="BR261" s="13">
        <v>0</v>
      </c>
      <c r="BU261" s="104">
        <f t="shared" ref="BU261:BU286" si="1034">$V261+$W261*BO261+$X261*BO261^2</f>
        <v>0.59491400000000005</v>
      </c>
      <c r="BV261" s="115"/>
      <c r="BW261" s="104">
        <f t="shared" ref="BW261:BW286" si="1035">$V261+$W261*BR261+$X261*BR261^2</f>
        <v>0.57688300000000003</v>
      </c>
    </row>
    <row r="262" spans="2:75" hidden="1" outlineLevel="1" x14ac:dyDescent="0.3">
      <c r="E262" s="13" t="s">
        <v>923</v>
      </c>
      <c r="F262" s="13" t="s">
        <v>755</v>
      </c>
      <c r="G262" s="22" t="s">
        <v>841</v>
      </c>
      <c r="H262" s="13" t="s">
        <v>805</v>
      </c>
      <c r="I262" s="13" t="s">
        <v>660</v>
      </c>
      <c r="J262" s="13" t="s">
        <v>912</v>
      </c>
      <c r="L262" s="13" t="s">
        <v>777</v>
      </c>
      <c r="M262" s="13" t="s">
        <v>779</v>
      </c>
      <c r="N262" s="13" t="str">
        <f t="shared" si="1013"/>
        <v>EPDef-VRFSysClgCapBdry_fToadbSI</v>
      </c>
      <c r="O262" s="13" t="s">
        <v>230</v>
      </c>
      <c r="P262" s="13" t="s">
        <v>801</v>
      </c>
      <c r="Q262" s="13" t="s">
        <v>460</v>
      </c>
      <c r="V262" s="33">
        <v>25.73</v>
      </c>
      <c r="W262" s="33">
        <v>-3.15E-2</v>
      </c>
      <c r="X262" s="33">
        <v>-1.4166E-2</v>
      </c>
      <c r="Y262" s="33">
        <v>0</v>
      </c>
      <c r="AI262" s="13">
        <v>30</v>
      </c>
      <c r="AJ262" s="13">
        <v>11</v>
      </c>
      <c r="AM262" t="s">
        <v>925</v>
      </c>
      <c r="AO262" s="13">
        <v>1</v>
      </c>
      <c r="AP262" s="120" t="str">
        <f t="shared" si="1014"/>
        <v>CrvCubic       "EPDef-VRFSysClgCapBdry_fToadbSI"                                Coef1 =  25.730000  Coef2 = -0.031500  Coef3 = -0.014166  Coef4 =  0.000000  _x000D_
                                                                                MaxVar1 = 30.000   MinVar1 = 11.000   _x000D_
..</v>
      </c>
      <c r="AQ262" s="120" t="str">
        <f t="shared" si="1015"/>
        <v xml:space="preserve">CrvCubic       "EPDef-VRFSysClgCapBdry_fToadbSI"                                Coef1 =  25.730000  Coef2 = -0.031500  Coef3 = -0.014166  Coef4 =  0.000000  </v>
      </c>
      <c r="AR262" s="120" t="str">
        <f t="shared" si="1025"/>
        <v xml:space="preserve">_x000D_
                                                                                MaxVar1 = 30.000   MinVar1 = 11.000   </v>
      </c>
      <c r="AS262" s="120" t="str">
        <f t="shared" si="1017"/>
        <v>_x000D_
..</v>
      </c>
      <c r="AT262" s="13" t="str">
        <f t="shared" si="1018"/>
        <v>CrvCubic</v>
      </c>
      <c r="AU262" s="13" t="str">
        <f t="shared" si="1026"/>
        <v xml:space="preserve">       </v>
      </c>
      <c r="AV262" s="13" t="str">
        <f t="shared" si="1027"/>
        <v>"EPDef-VRFSysClgCapBdry_fToadbSI"</v>
      </c>
      <c r="AW262" s="13" t="str">
        <f t="shared" si="1019"/>
        <v xml:space="preserve">                                </v>
      </c>
      <c r="AX262" s="13" t="str">
        <f t="shared" si="1008"/>
        <v xml:space="preserve"> 25.730000  </v>
      </c>
      <c r="AY262" s="13" t="str">
        <f t="shared" si="1009"/>
        <v xml:space="preserve">-0.031500  </v>
      </c>
      <c r="AZ262" s="13" t="str">
        <f t="shared" si="1010"/>
        <v xml:space="preserve">-0.014166  </v>
      </c>
      <c r="BA262" s="13" t="str">
        <f t="shared" si="1011"/>
        <v xml:space="preserve"> 0.000000  </v>
      </c>
      <c r="BB262" s="13" t="str">
        <f t="shared" si="1020"/>
        <v>-</v>
      </c>
      <c r="BC262" s="13" t="str">
        <f t="shared" si="1021"/>
        <v>-</v>
      </c>
      <c r="BD262" s="13" t="str">
        <f t="shared" si="1022"/>
        <v xml:space="preserve">_x000D_
                                                                                </v>
      </c>
      <c r="BE262" s="13" t="str">
        <f t="shared" si="1028"/>
        <v>-</v>
      </c>
      <c r="BF262" s="13" t="str">
        <f t="shared" si="1029"/>
        <v>-</v>
      </c>
      <c r="BG262" s="13" t="str">
        <f t="shared" si="1030"/>
        <v xml:space="preserve">30.000   </v>
      </c>
      <c r="BH262" s="13" t="str">
        <f t="shared" si="1031"/>
        <v xml:space="preserve">11.000   </v>
      </c>
      <c r="BI262" s="13" t="str">
        <f t="shared" si="1032"/>
        <v>-</v>
      </c>
      <c r="BJ262" s="13" t="str">
        <f t="shared" si="1033"/>
        <v>-</v>
      </c>
      <c r="BM262" s="13" t="str">
        <f t="shared" ref="BM262:BM270" si="1036">Q262</f>
        <v>Toadb</v>
      </c>
      <c r="BO262" s="13">
        <v>1</v>
      </c>
      <c r="BR262" s="13">
        <v>0</v>
      </c>
      <c r="BU262" s="104">
        <f t="shared" si="1034"/>
        <v>25.684334</v>
      </c>
      <c r="BV262" s="115"/>
      <c r="BW262" s="104">
        <f t="shared" si="1035"/>
        <v>25.73</v>
      </c>
    </row>
    <row r="263" spans="2:75" hidden="1" outlineLevel="1" x14ac:dyDescent="0.3">
      <c r="E263" s="13" t="s">
        <v>923</v>
      </c>
      <c r="F263" s="13" t="s">
        <v>756</v>
      </c>
      <c r="G263" s="22" t="s">
        <v>841</v>
      </c>
      <c r="H263" s="13" t="s">
        <v>805</v>
      </c>
      <c r="I263" s="13" t="s">
        <v>660</v>
      </c>
      <c r="J263" s="13" t="s">
        <v>912</v>
      </c>
      <c r="L263" s="13" t="s">
        <v>777</v>
      </c>
      <c r="M263" s="13" t="s">
        <v>780</v>
      </c>
      <c r="N263" s="13" t="str">
        <f t="shared" si="1013"/>
        <v>EPDef-VRFSysClgQRatio_fTdbToadbHiSI</v>
      </c>
      <c r="O263" s="13" t="s">
        <v>165</v>
      </c>
      <c r="P263" s="13" t="s">
        <v>160</v>
      </c>
      <c r="Q263" s="13" t="s">
        <v>117</v>
      </c>
      <c r="R263" s="13" t="s">
        <v>460</v>
      </c>
      <c r="S263" s="13" t="s">
        <v>799</v>
      </c>
      <c r="U263" s="33"/>
      <c r="V263" s="33">
        <v>0.68673600000000001</v>
      </c>
      <c r="W263" s="33">
        <v>2.0763E-2</v>
      </c>
      <c r="X263" s="33">
        <v>5.4500000000000002E-4</v>
      </c>
      <c r="Y263" s="33">
        <v>-1.622E-3</v>
      </c>
      <c r="Z263" s="33">
        <v>0</v>
      </c>
      <c r="AA263" s="33">
        <v>-3.39E-4</v>
      </c>
      <c r="AI263" s="13">
        <v>24</v>
      </c>
      <c r="AJ263" s="13">
        <v>15</v>
      </c>
      <c r="AK263" s="13">
        <v>43</v>
      </c>
      <c r="AL263" s="13">
        <v>16</v>
      </c>
      <c r="AM263" t="s">
        <v>925</v>
      </c>
      <c r="AO263" s="13">
        <v>1</v>
      </c>
      <c r="AP263" s="120" t="str">
        <f t="shared" si="1014"/>
        <v>CrvDblQuad     "EPDef-VRFSysClgQRatio_fTdbToadbHiSI"                            Coef1 =  0.686736  Coef2 =  0.020763  Coef3 =  0.000545  Coef4 = -0.001622  Coef5 =  0.000000  Coef6 = -0.000339  _x000D_
                                                                                MaxVar1 = 24.000   MinVar1 = 15.000   MaxVar2 = 43.000   MinVar2 = 16.000   _x000D_
..</v>
      </c>
      <c r="AQ263" s="120" t="str">
        <f t="shared" si="1015"/>
        <v xml:space="preserve">CrvDblQuad     "EPDef-VRFSysClgQRatio_fTdbToadbHiSI"                            Coef1 =  0.686736  Coef2 =  0.020763  Coef3 =  0.000545  Coef4 = -0.001622  Coef5 =  0.000000  Coef6 = -0.000339  </v>
      </c>
      <c r="AR263" s="120" t="str">
        <f t="shared" si="1025"/>
        <v xml:space="preserve">_x000D_
                                                                                MaxVar1 = 24.000   MinVar1 = 15.000   MaxVar2 = 43.000   MinVar2 = 16.000   </v>
      </c>
      <c r="AS263" s="120" t="str">
        <f t="shared" si="1017"/>
        <v>_x000D_
..</v>
      </c>
      <c r="AT263" s="13" t="str">
        <f t="shared" si="1018"/>
        <v>CrvDblQuad</v>
      </c>
      <c r="AU263" s="13" t="str">
        <f t="shared" si="1026"/>
        <v xml:space="preserve">     </v>
      </c>
      <c r="AV263" s="13" t="str">
        <f t="shared" si="1027"/>
        <v>"EPDef-VRFSysClgQRatio_fTdbToadbHiSI"</v>
      </c>
      <c r="AW263" s="13" t="str">
        <f t="shared" si="1019"/>
        <v xml:space="preserve">                            </v>
      </c>
      <c r="AX263" s="13" t="str">
        <f t="shared" si="1008"/>
        <v xml:space="preserve"> 0.686736  </v>
      </c>
      <c r="AY263" s="13" t="str">
        <f t="shared" si="1009"/>
        <v xml:space="preserve"> 0.020763  </v>
      </c>
      <c r="AZ263" s="13" t="str">
        <f t="shared" si="1010"/>
        <v xml:space="preserve"> 0.000545  </v>
      </c>
      <c r="BA263" s="13" t="str">
        <f t="shared" si="1011"/>
        <v xml:space="preserve">-0.001622  </v>
      </c>
      <c r="BB263" s="13" t="str">
        <f t="shared" si="1020"/>
        <v xml:space="preserve"> 0.000000  </v>
      </c>
      <c r="BC263" s="13" t="str">
        <f t="shared" si="1021"/>
        <v xml:space="preserve">-0.000339  </v>
      </c>
      <c r="BD263" s="13" t="str">
        <f t="shared" si="1022"/>
        <v xml:space="preserve">_x000D_
                                                                                </v>
      </c>
      <c r="BE263" s="13" t="str">
        <f t="shared" si="1028"/>
        <v>-</v>
      </c>
      <c r="BF263" s="13" t="str">
        <f t="shared" si="1029"/>
        <v>-</v>
      </c>
      <c r="BG263" s="13" t="str">
        <f t="shared" si="1030"/>
        <v xml:space="preserve">24.000   </v>
      </c>
      <c r="BH263" s="13" t="str">
        <f t="shared" si="1031"/>
        <v xml:space="preserve">15.000   </v>
      </c>
      <c r="BI263" s="13" t="str">
        <f t="shared" si="1032"/>
        <v xml:space="preserve">43.000   </v>
      </c>
      <c r="BJ263" s="13" t="str">
        <f t="shared" si="1033"/>
        <v xml:space="preserve">16.000   </v>
      </c>
      <c r="BM263" s="13" t="str">
        <f t="shared" si="1036"/>
        <v>Tdb</v>
      </c>
      <c r="BN263" s="13" t="str">
        <f t="shared" ref="BN263" si="1037">R263</f>
        <v>Toadb</v>
      </c>
      <c r="BO263" s="13">
        <v>1</v>
      </c>
      <c r="BR263" s="13">
        <v>0</v>
      </c>
      <c r="BU263" s="104">
        <f t="shared" si="1034"/>
        <v>0.70804400000000001</v>
      </c>
      <c r="BV263" s="115"/>
      <c r="BW263" s="104">
        <f t="shared" si="1035"/>
        <v>0.68673600000000001</v>
      </c>
    </row>
    <row r="264" spans="2:75" hidden="1" outlineLevel="1" x14ac:dyDescent="0.3">
      <c r="E264" s="13" t="s">
        <v>923</v>
      </c>
      <c r="F264" s="13" t="s">
        <v>757</v>
      </c>
      <c r="G264" s="22" t="s">
        <v>841</v>
      </c>
      <c r="H264" s="13" t="s">
        <v>805</v>
      </c>
      <c r="J264" s="13" t="s">
        <v>912</v>
      </c>
      <c r="L264" s="13" t="s">
        <v>777</v>
      </c>
      <c r="M264" s="13" t="s">
        <v>781</v>
      </c>
      <c r="N264" s="13" t="str">
        <f t="shared" si="1013"/>
        <v>EPDef-VRFSysClgQRatio_fCombRat</v>
      </c>
      <c r="O264" s="13" t="s">
        <v>286</v>
      </c>
      <c r="P264" s="13" t="s">
        <v>160</v>
      </c>
      <c r="Q264" s="13" t="s">
        <v>802</v>
      </c>
      <c r="U264" s="33"/>
      <c r="V264" s="33">
        <v>0.61805500000000002</v>
      </c>
      <c r="W264" s="33">
        <v>0.38194499999999998</v>
      </c>
      <c r="AI264" s="13">
        <v>1.5</v>
      </c>
      <c r="AJ264" s="13">
        <v>1</v>
      </c>
      <c r="AM264" t="s">
        <v>925</v>
      </c>
      <c r="AO264" s="13">
        <v>1</v>
      </c>
      <c r="AP264" s="120" t="str">
        <f t="shared" si="1014"/>
        <v>CrvLin         "EPDef-VRFSysClgQRatio_fCombRat"                                 Coef1 =  0.618055  Coef2 =  0.381945  _x000D_
                                                                                MaxVar1 = 1.500   MinVar1 = 1.000   _x000D_
..</v>
      </c>
      <c r="AQ264" s="120" t="str">
        <f t="shared" si="1015"/>
        <v xml:space="preserve">CrvLin         "EPDef-VRFSysClgQRatio_fCombRat"                                 Coef1 =  0.618055  Coef2 =  0.381945  </v>
      </c>
      <c r="AR264" s="120" t="str">
        <f t="shared" si="1025"/>
        <v xml:space="preserve">_x000D_
                                                                                MaxVar1 = 1.500   MinVar1 = 1.000   </v>
      </c>
      <c r="AS264" s="120" t="str">
        <f t="shared" si="1017"/>
        <v>_x000D_
..</v>
      </c>
      <c r="AT264" s="13" t="str">
        <f t="shared" si="1018"/>
        <v>CrvLin</v>
      </c>
      <c r="AU264" s="13" t="str">
        <f t="shared" si="1026"/>
        <v xml:space="preserve">         </v>
      </c>
      <c r="AV264" s="13" t="str">
        <f t="shared" si="1027"/>
        <v>"EPDef-VRFSysClgQRatio_fCombRat"</v>
      </c>
      <c r="AW264" s="13" t="str">
        <f t="shared" si="1019"/>
        <v xml:space="preserve">                                 </v>
      </c>
      <c r="AX264" s="13" t="str">
        <f t="shared" si="1008"/>
        <v xml:space="preserve"> 0.618055  </v>
      </c>
      <c r="AY264" s="13" t="str">
        <f t="shared" si="1009"/>
        <v xml:space="preserve"> 0.381945  </v>
      </c>
      <c r="AZ264" s="13" t="str">
        <f t="shared" si="1010"/>
        <v>-</v>
      </c>
      <c r="BA264" s="13" t="str">
        <f t="shared" si="1011"/>
        <v>-</v>
      </c>
      <c r="BB264" s="13" t="str">
        <f t="shared" si="1020"/>
        <v>-</v>
      </c>
      <c r="BC264" s="13" t="str">
        <f t="shared" si="1021"/>
        <v>-</v>
      </c>
      <c r="BD264" s="13" t="str">
        <f t="shared" si="1022"/>
        <v xml:space="preserve">_x000D_
                                                                                </v>
      </c>
      <c r="BE264" s="13" t="str">
        <f t="shared" si="1028"/>
        <v>-</v>
      </c>
      <c r="BF264" s="13" t="str">
        <f t="shared" si="1029"/>
        <v>-</v>
      </c>
      <c r="BG264" s="13" t="str">
        <f t="shared" si="1030"/>
        <v xml:space="preserve">1.500   </v>
      </c>
      <c r="BH264" s="13" t="str">
        <f t="shared" si="1031"/>
        <v xml:space="preserve">1.000   </v>
      </c>
      <c r="BI264" s="13" t="str">
        <f t="shared" si="1032"/>
        <v>-</v>
      </c>
      <c r="BJ264" s="13" t="str">
        <f t="shared" si="1033"/>
        <v>-</v>
      </c>
      <c r="BM264" s="13" t="str">
        <f t="shared" si="1036"/>
        <v>CombRat</v>
      </c>
      <c r="BO264" s="13">
        <v>1</v>
      </c>
      <c r="BR264" s="13">
        <v>0</v>
      </c>
      <c r="BU264" s="104">
        <f t="shared" si="1034"/>
        <v>1</v>
      </c>
      <c r="BV264" s="115"/>
      <c r="BW264" s="104">
        <f t="shared" si="1035"/>
        <v>0.61805500000000002</v>
      </c>
    </row>
    <row r="265" spans="2:75" hidden="1" outlineLevel="1" x14ac:dyDescent="0.3">
      <c r="B265" s="137"/>
      <c r="E265" s="13" t="s">
        <v>923</v>
      </c>
      <c r="F265" s="13" t="s">
        <v>762</v>
      </c>
      <c r="G265" s="22" t="s">
        <v>841</v>
      </c>
      <c r="H265" s="13" t="s">
        <v>807</v>
      </c>
      <c r="I265" s="13" t="s">
        <v>660</v>
      </c>
      <c r="J265" s="13" t="s">
        <v>912</v>
      </c>
      <c r="L265" s="13" t="s">
        <v>777</v>
      </c>
      <c r="M265" s="13" t="s">
        <v>786</v>
      </c>
      <c r="N265" s="13" t="str">
        <f t="shared" si="1013"/>
        <v>EPDef-VRFSysHtRcvryClgQRatio_fTwbToadbSI</v>
      </c>
      <c r="O265" s="13" t="s">
        <v>165</v>
      </c>
      <c r="P265" s="13" t="s">
        <v>160</v>
      </c>
      <c r="Q265" s="13" t="s">
        <v>116</v>
      </c>
      <c r="R265" s="13" t="s">
        <v>460</v>
      </c>
      <c r="U265" s="33"/>
      <c r="V265" s="33">
        <v>0.9</v>
      </c>
      <c r="W265" s="33">
        <v>0</v>
      </c>
      <c r="X265" s="33">
        <v>0</v>
      </c>
      <c r="Y265" s="33">
        <v>0</v>
      </c>
      <c r="Z265" s="33">
        <v>0</v>
      </c>
      <c r="AA265" s="33">
        <v>0</v>
      </c>
      <c r="AI265" s="13">
        <v>1</v>
      </c>
      <c r="AJ265" s="13">
        <v>0</v>
      </c>
      <c r="AM265" s="31" t="s">
        <v>924</v>
      </c>
      <c r="AO265" s="13">
        <v>1</v>
      </c>
      <c r="AP265" s="120" t="str">
        <f t="shared" si="1014"/>
        <v>CrvDblQuad     "EPDef-VRFSysHtRcvryClgQRatio_fTwbToadbSI"                       Coef1 =  0.900000  Coef2 =  0.000000  Coef3 =  0.000000  Coef4 =  0.000000  Coef5 =  0.000000  Coef6 =  0.000000  _x000D_
                                                                                MaxVar1 = 1.000   MinVar1 = 0.000   _x000D_
..</v>
      </c>
      <c r="AQ265" s="120" t="str">
        <f t="shared" si="1015"/>
        <v xml:space="preserve">CrvDblQuad     "EPDef-VRFSysHtRcvryClgQRatio_fTwbToadbSI"                       Coef1 =  0.900000  Coef2 =  0.000000  Coef3 =  0.000000  Coef4 =  0.000000  Coef5 =  0.000000  Coef6 =  0.000000  </v>
      </c>
      <c r="AR265" s="120" t="str">
        <f t="shared" si="1025"/>
        <v xml:space="preserve">_x000D_
                                                                                MaxVar1 = 1.000   MinVar1 = 0.000   </v>
      </c>
      <c r="AS265" s="120" t="str">
        <f t="shared" si="1017"/>
        <v>_x000D_
..</v>
      </c>
      <c r="AT265" s="13" t="str">
        <f t="shared" si="1018"/>
        <v>CrvDblQuad</v>
      </c>
      <c r="AU265" s="13" t="str">
        <f t="shared" si="1026"/>
        <v xml:space="preserve">     </v>
      </c>
      <c r="AV265" s="13" t="str">
        <f t="shared" si="1027"/>
        <v>"EPDef-VRFSysHtRcvryClgQRatio_fTwbToadbSI"</v>
      </c>
      <c r="AW265" s="13" t="str">
        <f t="shared" si="1019"/>
        <v xml:space="preserve">                       </v>
      </c>
      <c r="AX265" s="13" t="str">
        <f t="shared" si="1008"/>
        <v xml:space="preserve"> 0.900000  </v>
      </c>
      <c r="AY265" s="13" t="str">
        <f t="shared" si="1009"/>
        <v xml:space="preserve"> 0.000000  </v>
      </c>
      <c r="AZ265" s="13" t="str">
        <f t="shared" si="1010"/>
        <v xml:space="preserve"> 0.000000  </v>
      </c>
      <c r="BA265" s="13" t="str">
        <f t="shared" si="1011"/>
        <v xml:space="preserve"> 0.000000  </v>
      </c>
      <c r="BB265" s="13" t="str">
        <f t="shared" si="1020"/>
        <v xml:space="preserve"> 0.000000  </v>
      </c>
      <c r="BC265" s="13" t="str">
        <f t="shared" si="1021"/>
        <v xml:space="preserve"> 0.000000  </v>
      </c>
      <c r="BD265" s="13" t="str">
        <f t="shared" si="1022"/>
        <v xml:space="preserve">_x000D_
                                                                                </v>
      </c>
      <c r="BE265" s="13" t="str">
        <f t="shared" si="1028"/>
        <v>-</v>
      </c>
      <c r="BF265" s="13" t="str">
        <f t="shared" si="1029"/>
        <v>-</v>
      </c>
      <c r="BG265" s="13" t="str">
        <f t="shared" si="1030"/>
        <v xml:space="preserve">1.000   </v>
      </c>
      <c r="BH265" s="13" t="str">
        <f t="shared" si="1031"/>
        <v xml:space="preserve">0.000   </v>
      </c>
      <c r="BI265" s="13" t="str">
        <f t="shared" si="1032"/>
        <v>-</v>
      </c>
      <c r="BJ265" s="13" t="str">
        <f t="shared" si="1033"/>
        <v>-</v>
      </c>
      <c r="BM265" s="13" t="str">
        <f t="shared" si="1036"/>
        <v>Twb</v>
      </c>
      <c r="BN265" s="13" t="str">
        <f t="shared" ref="BN265:BN266" si="1038">R265</f>
        <v>Toadb</v>
      </c>
      <c r="BO265" s="13">
        <v>1</v>
      </c>
      <c r="BR265" s="13">
        <v>0</v>
      </c>
      <c r="BU265" s="104">
        <f t="shared" si="1034"/>
        <v>0.9</v>
      </c>
      <c r="BV265" s="115"/>
      <c r="BW265" s="104">
        <f t="shared" si="1035"/>
        <v>0.9</v>
      </c>
    </row>
    <row r="266" spans="2:75" hidden="1" outlineLevel="1" x14ac:dyDescent="0.3">
      <c r="E266" s="13" t="s">
        <v>923</v>
      </c>
      <c r="F266" s="13" t="s">
        <v>759</v>
      </c>
      <c r="G266" s="22" t="s">
        <v>841</v>
      </c>
      <c r="H266" s="13" t="s">
        <v>806</v>
      </c>
      <c r="I266" s="13" t="s">
        <v>660</v>
      </c>
      <c r="J266" s="13" t="s">
        <v>912</v>
      </c>
      <c r="L266" s="13" t="s">
        <v>777</v>
      </c>
      <c r="M266" s="13" t="s">
        <v>782</v>
      </c>
      <c r="N266" s="13" t="str">
        <f t="shared" si="1013"/>
        <v>EPDef-VRFSysHtgQRatio_fTwbToadbLowSI</v>
      </c>
      <c r="O266" s="13" t="s">
        <v>165</v>
      </c>
      <c r="P266" s="13" t="s">
        <v>160</v>
      </c>
      <c r="Q266" s="13" t="s">
        <v>116</v>
      </c>
      <c r="R266" s="13" t="s">
        <v>460</v>
      </c>
      <c r="S266" s="13" t="s">
        <v>798</v>
      </c>
      <c r="U266" s="33"/>
      <c r="V266" s="33">
        <v>1.0145999999999999</v>
      </c>
      <c r="W266" s="33">
        <v>-2.5070000000000001E-3</v>
      </c>
      <c r="X266" s="33">
        <v>-1.4200000000000001E-4</v>
      </c>
      <c r="Y266" s="13">
        <v>2.6931594999999999E-2</v>
      </c>
      <c r="Z266" s="126">
        <v>1.84E-6</v>
      </c>
      <c r="AA266" s="13">
        <v>-3.5814700000000001E-4</v>
      </c>
      <c r="AI266" s="13">
        <v>27</v>
      </c>
      <c r="AJ266" s="13">
        <v>15</v>
      </c>
      <c r="AK266" s="13">
        <v>15</v>
      </c>
      <c r="AL266" s="13">
        <v>-20</v>
      </c>
      <c r="AM266" t="s">
        <v>925</v>
      </c>
      <c r="AO266" s="13">
        <v>1</v>
      </c>
      <c r="AP266" s="120" t="str">
        <f t="shared" si="1014"/>
        <v>CrvDblQuad     "EPDef-VRFSysHtgQRatio_fTwbToadbLowSI"                           Coef1 =  1.014600  Coef2 = -0.002507  Coef3 = -0.000142  Coef4 =  0.026932  Coef5 =  0.000002  Coef6 = -0.000358  _x000D_
                                                                                MaxVar1 = 27.000   MinVar1 = 15.000   MaxVar2 = 15.000   MinVar2 = -20.000   _x000D_
..</v>
      </c>
      <c r="AQ266" s="120" t="str">
        <f t="shared" si="1015"/>
        <v xml:space="preserve">CrvDblQuad     "EPDef-VRFSysHtgQRatio_fTwbToadbLowSI"                           Coef1 =  1.014600  Coef2 = -0.002507  Coef3 = -0.000142  Coef4 =  0.026932  Coef5 =  0.000002  Coef6 = -0.000358  </v>
      </c>
      <c r="AR266" s="120" t="str">
        <f t="shared" si="1025"/>
        <v xml:space="preserve">_x000D_
                                                                                MaxVar1 = 27.000   MinVar1 = 15.000   MaxVar2 = 15.000   MinVar2 = -20.000   </v>
      </c>
      <c r="AS266" s="120" t="str">
        <f t="shared" si="1017"/>
        <v>_x000D_
..</v>
      </c>
      <c r="AT266" s="13" t="str">
        <f t="shared" si="1018"/>
        <v>CrvDblQuad</v>
      </c>
      <c r="AU266" s="13" t="str">
        <f t="shared" si="1026"/>
        <v xml:space="preserve">     </v>
      </c>
      <c r="AV266" s="13" t="str">
        <f t="shared" si="1027"/>
        <v>"EPDef-VRFSysHtgQRatio_fTwbToadbLowSI"</v>
      </c>
      <c r="AW266" s="13" t="str">
        <f t="shared" si="1019"/>
        <v xml:space="preserve">                           </v>
      </c>
      <c r="AX266" s="13" t="str">
        <f t="shared" si="1008"/>
        <v xml:space="preserve"> 1.014600  </v>
      </c>
      <c r="AY266" s="13" t="str">
        <f t="shared" si="1009"/>
        <v xml:space="preserve">-0.002507  </v>
      </c>
      <c r="AZ266" s="13" t="str">
        <f t="shared" si="1010"/>
        <v xml:space="preserve">-0.000142  </v>
      </c>
      <c r="BA266" s="13" t="str">
        <f t="shared" si="1011"/>
        <v xml:space="preserve"> 0.026932  </v>
      </c>
      <c r="BB266" s="13" t="str">
        <f t="shared" si="1020"/>
        <v xml:space="preserve"> 0.000002  </v>
      </c>
      <c r="BC266" s="13" t="str">
        <f t="shared" si="1021"/>
        <v xml:space="preserve">-0.000358  </v>
      </c>
      <c r="BD266" s="13" t="str">
        <f t="shared" si="1022"/>
        <v xml:space="preserve">_x000D_
                                                                                </v>
      </c>
      <c r="BE266" s="13" t="str">
        <f t="shared" si="1028"/>
        <v>-</v>
      </c>
      <c r="BF266" s="13" t="str">
        <f t="shared" si="1029"/>
        <v>-</v>
      </c>
      <c r="BG266" s="13" t="str">
        <f t="shared" si="1030"/>
        <v xml:space="preserve">27.000   </v>
      </c>
      <c r="BH266" s="13" t="str">
        <f t="shared" si="1031"/>
        <v xml:space="preserve">15.000   </v>
      </c>
      <c r="BI266" s="13" t="str">
        <f t="shared" si="1032"/>
        <v xml:space="preserve">15.000   </v>
      </c>
      <c r="BJ266" s="13" t="str">
        <f t="shared" si="1033"/>
        <v xml:space="preserve">-20.000   </v>
      </c>
      <c r="BM266" s="13" t="str">
        <f t="shared" si="1036"/>
        <v>Twb</v>
      </c>
      <c r="BN266" s="13" t="str">
        <f t="shared" si="1038"/>
        <v>Toadb</v>
      </c>
      <c r="BO266" s="13">
        <v>1</v>
      </c>
      <c r="BR266" s="13">
        <v>0</v>
      </c>
      <c r="BU266" s="104">
        <f t="shared" si="1034"/>
        <v>1.0119509999999998</v>
      </c>
      <c r="BV266" s="115"/>
      <c r="BW266" s="104">
        <f t="shared" si="1035"/>
        <v>1.0145999999999999</v>
      </c>
    </row>
    <row r="267" spans="2:75" hidden="1" outlineLevel="1" x14ac:dyDescent="0.3">
      <c r="E267" s="13" t="s">
        <v>923</v>
      </c>
      <c r="F267" s="13" t="s">
        <v>815</v>
      </c>
      <c r="G267" s="22" t="s">
        <v>841</v>
      </c>
      <c r="H267" s="13" t="s">
        <v>806</v>
      </c>
      <c r="I267" s="13" t="s">
        <v>660</v>
      </c>
      <c r="J267" s="13" t="s">
        <v>912</v>
      </c>
      <c r="L267" s="13" t="s">
        <v>777</v>
      </c>
      <c r="M267" s="13" t="s">
        <v>783</v>
      </c>
      <c r="N267" s="13" t="str">
        <f t="shared" si="1013"/>
        <v>EPDef-VRFSysHtgCapBdry_fToadbSI</v>
      </c>
      <c r="O267" s="13" t="s">
        <v>230</v>
      </c>
      <c r="P267" s="13" t="s">
        <v>801</v>
      </c>
      <c r="Q267" s="13" t="s">
        <v>460</v>
      </c>
      <c r="U267" s="33"/>
      <c r="V267" s="33">
        <v>-7.6000880000000004</v>
      </c>
      <c r="W267" s="33">
        <v>3.0508999999999999</v>
      </c>
      <c r="X267" s="33">
        <v>-0.116284</v>
      </c>
      <c r="AI267" s="13">
        <v>27</v>
      </c>
      <c r="AJ267" s="13">
        <v>15</v>
      </c>
      <c r="AM267" t="s">
        <v>925</v>
      </c>
      <c r="AO267" s="13">
        <v>1</v>
      </c>
      <c r="AP267" s="120" t="str">
        <f t="shared" si="1014"/>
        <v>CrvCubic       "EPDef-VRFSysHtgCapBdry_fToadbSI"                                Coef1 = -7.600088  Coef2 =  3.050900  Coef3 = -0.116284  _x000D_
                                                                                MaxVar1 = 27.000   MinVar1 = 15.000   _x000D_
..</v>
      </c>
      <c r="AQ267" s="120" t="str">
        <f t="shared" si="1015"/>
        <v xml:space="preserve">CrvCubic       "EPDef-VRFSysHtgCapBdry_fToadbSI"                                Coef1 = -7.600088  Coef2 =  3.050900  Coef3 = -0.116284  </v>
      </c>
      <c r="AR267" s="120" t="str">
        <f t="shared" si="1025"/>
        <v xml:space="preserve">_x000D_
                                                                                MaxVar1 = 27.000   MinVar1 = 15.000   </v>
      </c>
      <c r="AS267" s="120" t="str">
        <f t="shared" si="1017"/>
        <v>_x000D_
..</v>
      </c>
      <c r="AT267" s="13" t="str">
        <f t="shared" si="1018"/>
        <v>CrvCubic</v>
      </c>
      <c r="AU267" s="13" t="str">
        <f t="shared" si="1026"/>
        <v xml:space="preserve">       </v>
      </c>
      <c r="AV267" s="13" t="str">
        <f t="shared" si="1027"/>
        <v>"EPDef-VRFSysHtgCapBdry_fToadbSI"</v>
      </c>
      <c r="AW267" s="13" t="str">
        <f t="shared" si="1019"/>
        <v xml:space="preserve">                                </v>
      </c>
      <c r="AX267" s="13" t="str">
        <f t="shared" si="1008"/>
        <v xml:space="preserve">-7.600088  </v>
      </c>
      <c r="AY267" s="13" t="str">
        <f t="shared" si="1009"/>
        <v xml:space="preserve"> 3.050900  </v>
      </c>
      <c r="AZ267" s="13" t="str">
        <f t="shared" si="1010"/>
        <v xml:space="preserve">-0.116284  </v>
      </c>
      <c r="BA267" s="13" t="str">
        <f t="shared" si="1011"/>
        <v>-</v>
      </c>
      <c r="BB267" s="13" t="str">
        <f t="shared" si="1020"/>
        <v>-</v>
      </c>
      <c r="BC267" s="13" t="str">
        <f t="shared" si="1021"/>
        <v>-</v>
      </c>
      <c r="BD267" s="13" t="str">
        <f t="shared" si="1022"/>
        <v xml:space="preserve">_x000D_
                                                                                </v>
      </c>
      <c r="BE267" s="13" t="str">
        <f t="shared" si="1028"/>
        <v>-</v>
      </c>
      <c r="BF267" s="13" t="str">
        <f t="shared" si="1029"/>
        <v>-</v>
      </c>
      <c r="BG267" s="13" t="str">
        <f t="shared" si="1030"/>
        <v xml:space="preserve">27.000   </v>
      </c>
      <c r="BH267" s="13" t="str">
        <f t="shared" si="1031"/>
        <v xml:space="preserve">15.000   </v>
      </c>
      <c r="BI267" s="13" t="str">
        <f t="shared" si="1032"/>
        <v>-</v>
      </c>
      <c r="BJ267" s="13" t="str">
        <f t="shared" si="1033"/>
        <v>-</v>
      </c>
      <c r="BM267" s="13" t="str">
        <f t="shared" si="1036"/>
        <v>Toadb</v>
      </c>
      <c r="BO267" s="13">
        <v>1</v>
      </c>
      <c r="BR267" s="13">
        <v>0</v>
      </c>
      <c r="BU267" s="104">
        <f t="shared" si="1034"/>
        <v>-4.6654720000000012</v>
      </c>
      <c r="BV267" s="115"/>
      <c r="BW267" s="104">
        <f t="shared" si="1035"/>
        <v>-7.6000880000000004</v>
      </c>
    </row>
    <row r="268" spans="2:75" hidden="1" outlineLevel="1" x14ac:dyDescent="0.3">
      <c r="E268" s="13" t="s">
        <v>923</v>
      </c>
      <c r="F268" s="13" t="s">
        <v>760</v>
      </c>
      <c r="G268" s="22" t="s">
        <v>841</v>
      </c>
      <c r="H268" s="13" t="s">
        <v>806</v>
      </c>
      <c r="I268" s="13" t="s">
        <v>660</v>
      </c>
      <c r="J268" s="13" t="s">
        <v>912</v>
      </c>
      <c r="L268" s="13" t="s">
        <v>777</v>
      </c>
      <c r="M268" s="13" t="s">
        <v>784</v>
      </c>
      <c r="N268" s="13" t="str">
        <f t="shared" si="1013"/>
        <v>EPDef-VRFSysHtgQRatio_fTwbToadbHiSI</v>
      </c>
      <c r="O268" s="13" t="s">
        <v>165</v>
      </c>
      <c r="P268" s="13" t="s">
        <v>160</v>
      </c>
      <c r="Q268" s="13" t="s">
        <v>116</v>
      </c>
      <c r="R268" s="13" t="s">
        <v>460</v>
      </c>
      <c r="S268" s="13" t="s">
        <v>799</v>
      </c>
      <c r="U268" s="33"/>
      <c r="V268" s="33">
        <v>1.161135</v>
      </c>
      <c r="W268" s="33">
        <v>2.7479E-2</v>
      </c>
      <c r="X268" s="33">
        <v>-1.688E-3</v>
      </c>
      <c r="Y268" s="33">
        <v>1.7830000000000001E-3</v>
      </c>
      <c r="Z268" s="33">
        <v>1.9999999999999999E-6</v>
      </c>
      <c r="AA268" s="33">
        <v>-6.8999999999999997E-5</v>
      </c>
      <c r="AI268" s="13">
        <v>27</v>
      </c>
      <c r="AJ268" s="13">
        <v>15</v>
      </c>
      <c r="AK268" s="13">
        <v>15</v>
      </c>
      <c r="AL268" s="13">
        <v>-10</v>
      </c>
      <c r="AM268" t="s">
        <v>925</v>
      </c>
      <c r="AO268" s="13">
        <v>1</v>
      </c>
      <c r="AP268" s="120" t="str">
        <f t="shared" si="1014"/>
        <v>CrvDblQuad     "EPDef-VRFSysHtgQRatio_fTwbToadbHiSI"                            Coef1 =  1.161135  Coef2 =  0.027479  Coef3 = -0.001688  Coef4 =  0.001783  Coef5 =  0.000002  Coef6 = -0.000069  _x000D_
                                                                                MaxVar1 = 27.000   MinVar1 = 15.000   MaxVar2 = 15.000   MinVar2 = -10.000   _x000D_
..</v>
      </c>
      <c r="AQ268" s="120" t="str">
        <f t="shared" si="1015"/>
        <v xml:space="preserve">CrvDblQuad     "EPDef-VRFSysHtgQRatio_fTwbToadbHiSI"                            Coef1 =  1.161135  Coef2 =  0.027479  Coef3 = -0.001688  Coef4 =  0.001783  Coef5 =  0.000002  Coef6 = -0.000069  </v>
      </c>
      <c r="AR268" s="120" t="str">
        <f t="shared" si="1025"/>
        <v xml:space="preserve">_x000D_
                                                                                MaxVar1 = 27.000   MinVar1 = 15.000   MaxVar2 = 15.000   MinVar2 = -10.000   </v>
      </c>
      <c r="AS268" s="120" t="str">
        <f t="shared" si="1017"/>
        <v>_x000D_
..</v>
      </c>
      <c r="AT268" s="13" t="str">
        <f t="shared" si="1018"/>
        <v>CrvDblQuad</v>
      </c>
      <c r="AU268" s="13" t="str">
        <f t="shared" si="1026"/>
        <v xml:space="preserve">     </v>
      </c>
      <c r="AV268" s="13" t="str">
        <f t="shared" si="1027"/>
        <v>"EPDef-VRFSysHtgQRatio_fTwbToadbHiSI"</v>
      </c>
      <c r="AW268" s="13" t="str">
        <f t="shared" si="1019"/>
        <v xml:space="preserve">                            </v>
      </c>
      <c r="AX268" s="13" t="str">
        <f t="shared" si="1008"/>
        <v xml:space="preserve"> 1.161135  </v>
      </c>
      <c r="AY268" s="13" t="str">
        <f t="shared" si="1009"/>
        <v xml:space="preserve"> 0.027479  </v>
      </c>
      <c r="AZ268" s="13" t="str">
        <f t="shared" si="1010"/>
        <v xml:space="preserve">-0.001688  </v>
      </c>
      <c r="BA268" s="13" t="str">
        <f t="shared" si="1011"/>
        <v xml:space="preserve"> 0.001783  </v>
      </c>
      <c r="BB268" s="13" t="str">
        <f t="shared" si="1020"/>
        <v xml:space="preserve"> 0.000002  </v>
      </c>
      <c r="BC268" s="13" t="str">
        <f t="shared" si="1021"/>
        <v xml:space="preserve">-0.000069  </v>
      </c>
      <c r="BD268" s="13" t="str">
        <f t="shared" si="1022"/>
        <v xml:space="preserve">_x000D_
                                                                                </v>
      </c>
      <c r="BE268" s="13" t="str">
        <f t="shared" si="1028"/>
        <v>-</v>
      </c>
      <c r="BF268" s="13" t="str">
        <f t="shared" si="1029"/>
        <v>-</v>
      </c>
      <c r="BG268" s="13" t="str">
        <f t="shared" si="1030"/>
        <v xml:space="preserve">27.000   </v>
      </c>
      <c r="BH268" s="13" t="str">
        <f t="shared" si="1031"/>
        <v xml:space="preserve">15.000   </v>
      </c>
      <c r="BI268" s="13" t="str">
        <f t="shared" si="1032"/>
        <v xml:space="preserve">15.000   </v>
      </c>
      <c r="BJ268" s="13" t="str">
        <f t="shared" si="1033"/>
        <v xml:space="preserve">-10.000   </v>
      </c>
      <c r="BM268" s="13" t="str">
        <f t="shared" si="1036"/>
        <v>Twb</v>
      </c>
      <c r="BN268" s="13" t="str">
        <f t="shared" ref="BN268" si="1039">R268</f>
        <v>Toadb</v>
      </c>
      <c r="BO268" s="13">
        <v>1</v>
      </c>
      <c r="BR268" s="13">
        <v>0</v>
      </c>
      <c r="BU268" s="104">
        <f t="shared" si="1034"/>
        <v>1.1869260000000001</v>
      </c>
      <c r="BV268" s="115"/>
      <c r="BW268" s="104">
        <f t="shared" si="1035"/>
        <v>1.161135</v>
      </c>
    </row>
    <row r="269" spans="2:75" hidden="1" outlineLevel="1" x14ac:dyDescent="0.3">
      <c r="E269" s="13" t="s">
        <v>923</v>
      </c>
      <c r="F269" s="13" t="s">
        <v>761</v>
      </c>
      <c r="G269" s="22" t="s">
        <v>841</v>
      </c>
      <c r="H269" s="13" t="s">
        <v>806</v>
      </c>
      <c r="J269" s="13" t="s">
        <v>912</v>
      </c>
      <c r="L269" s="13" t="s">
        <v>777</v>
      </c>
      <c r="M269" s="13" t="s">
        <v>785</v>
      </c>
      <c r="N269" s="13" t="str">
        <f t="shared" si="1013"/>
        <v>EPDef-VRFSysHtgQRatio_fCombRat</v>
      </c>
      <c r="O269" s="13" t="s">
        <v>286</v>
      </c>
      <c r="P269" s="13" t="s">
        <v>160</v>
      </c>
      <c r="Q269" s="13" t="s">
        <v>802</v>
      </c>
      <c r="V269" s="33">
        <v>0.96033999999999997</v>
      </c>
      <c r="W269" s="33">
        <v>3.9660000000000001E-2</v>
      </c>
      <c r="AI269" s="13">
        <v>1.5</v>
      </c>
      <c r="AJ269" s="13">
        <v>1</v>
      </c>
      <c r="AM269" t="s">
        <v>925</v>
      </c>
      <c r="AO269" s="13">
        <v>1</v>
      </c>
      <c r="AP269" s="120" t="str">
        <f t="shared" si="1014"/>
        <v>CrvLin         "EPDef-VRFSysHtgQRatio_fCombRat"                                 Coef1 =  0.960340  Coef2 =  0.039660  _x000D_
                                                                                MaxVar1 = 1.500   MinVar1 = 1.000   _x000D_
..</v>
      </c>
      <c r="AQ269" s="120" t="str">
        <f t="shared" si="1015"/>
        <v xml:space="preserve">CrvLin         "EPDef-VRFSysHtgQRatio_fCombRat"                                 Coef1 =  0.960340  Coef2 =  0.039660  </v>
      </c>
      <c r="AR269" s="120" t="str">
        <f t="shared" si="1025"/>
        <v xml:space="preserve">_x000D_
                                                                                MaxVar1 = 1.500   MinVar1 = 1.000   </v>
      </c>
      <c r="AS269" s="120" t="str">
        <f t="shared" si="1017"/>
        <v>_x000D_
..</v>
      </c>
      <c r="AT269" s="13" t="str">
        <f t="shared" si="1018"/>
        <v>CrvLin</v>
      </c>
      <c r="AU269" s="13" t="str">
        <f t="shared" si="1026"/>
        <v xml:space="preserve">         </v>
      </c>
      <c r="AV269" s="13" t="str">
        <f t="shared" si="1027"/>
        <v>"EPDef-VRFSysHtgQRatio_fCombRat"</v>
      </c>
      <c r="AW269" s="13" t="str">
        <f t="shared" si="1019"/>
        <v xml:space="preserve">                                 </v>
      </c>
      <c r="AX269" s="13" t="str">
        <f t="shared" si="1008"/>
        <v xml:space="preserve"> 0.960340  </v>
      </c>
      <c r="AY269" s="13" t="str">
        <f t="shared" si="1009"/>
        <v xml:space="preserve"> 0.039660  </v>
      </c>
      <c r="AZ269" s="13" t="str">
        <f t="shared" si="1010"/>
        <v>-</v>
      </c>
      <c r="BA269" s="13" t="str">
        <f t="shared" si="1011"/>
        <v>-</v>
      </c>
      <c r="BB269" s="13" t="str">
        <f t="shared" si="1020"/>
        <v>-</v>
      </c>
      <c r="BC269" s="13" t="str">
        <f t="shared" si="1021"/>
        <v>-</v>
      </c>
      <c r="BD269" s="13" t="str">
        <f t="shared" si="1022"/>
        <v xml:space="preserve">_x000D_
                                                                                </v>
      </c>
      <c r="BE269" s="13" t="str">
        <f t="shared" si="1028"/>
        <v>-</v>
      </c>
      <c r="BF269" s="13" t="str">
        <f t="shared" si="1029"/>
        <v>-</v>
      </c>
      <c r="BG269" s="13" t="str">
        <f t="shared" si="1030"/>
        <v xml:space="preserve">1.500   </v>
      </c>
      <c r="BH269" s="13" t="str">
        <f t="shared" si="1031"/>
        <v xml:space="preserve">1.000   </v>
      </c>
      <c r="BI269" s="13" t="str">
        <f t="shared" si="1032"/>
        <v>-</v>
      </c>
      <c r="BJ269" s="13" t="str">
        <f t="shared" si="1033"/>
        <v>-</v>
      </c>
      <c r="BM269" s="13" t="str">
        <f t="shared" si="1036"/>
        <v>CombRat</v>
      </c>
      <c r="BO269" s="13">
        <v>1</v>
      </c>
      <c r="BR269" s="13">
        <v>0</v>
      </c>
      <c r="BU269" s="104">
        <f t="shared" si="1034"/>
        <v>1</v>
      </c>
      <c r="BV269" s="115"/>
      <c r="BW269" s="104">
        <f t="shared" si="1035"/>
        <v>0.96033999999999997</v>
      </c>
    </row>
    <row r="270" spans="2:75" hidden="1" outlineLevel="1" x14ac:dyDescent="0.3">
      <c r="B270" s="137"/>
      <c r="E270" s="13" t="s">
        <v>923</v>
      </c>
      <c r="F270" s="13" t="s">
        <v>763</v>
      </c>
      <c r="G270" s="22" t="s">
        <v>841</v>
      </c>
      <c r="H270" s="13" t="s">
        <v>808</v>
      </c>
      <c r="I270" s="13" t="s">
        <v>660</v>
      </c>
      <c r="J270" s="13" t="s">
        <v>912</v>
      </c>
      <c r="L270" s="13" t="s">
        <v>777</v>
      </c>
      <c r="M270" s="13" t="s">
        <v>787</v>
      </c>
      <c r="N270" s="13" t="str">
        <f t="shared" si="1013"/>
        <v>EPDef-VRFSysHtRcvryHtgQRatio_fTwbToadbSI</v>
      </c>
      <c r="O270" s="13" t="s">
        <v>165</v>
      </c>
      <c r="P270" s="13" t="s">
        <v>160</v>
      </c>
      <c r="Q270" s="13" t="s">
        <v>116</v>
      </c>
      <c r="R270" s="13" t="s">
        <v>460</v>
      </c>
      <c r="V270" s="33">
        <v>0.9</v>
      </c>
      <c r="W270" s="33">
        <v>0</v>
      </c>
      <c r="X270" s="33">
        <v>0</v>
      </c>
      <c r="Y270" s="33">
        <v>0</v>
      </c>
      <c r="Z270" s="33">
        <v>0</v>
      </c>
      <c r="AA270" s="33">
        <v>0</v>
      </c>
      <c r="AI270" s="13">
        <v>1</v>
      </c>
      <c r="AJ270" s="13">
        <v>0</v>
      </c>
      <c r="AM270" s="31" t="s">
        <v>924</v>
      </c>
      <c r="AO270" s="13">
        <v>1</v>
      </c>
      <c r="AP270" s="120" t="str">
        <f t="shared" si="1014"/>
        <v>CrvDblQuad     "EPDef-VRFSysHtRcvryHtgQRatio_fTwbToadbSI"Coef1 =  0.900000  Coef2 =  0.000000  Coef3 =  0.000000  Coef4 =  0.000000  Coef5 = Coef6 = MaxVar1 = 1.000   MinVar1 = 0.000   _x000D_
..</v>
      </c>
      <c r="AQ270" s="120" t="str">
        <f t="shared" si="1015"/>
        <v xml:space="preserve">CrvDblQuad     "EPDef-VRFSysHtRcvryHtgQRatio_fTwbToadbSI"Coef1 =  0.900000  Coef2 =  0.000000  Coef3 =  0.000000  Coef4 =  0.000000  Coef5 = Coef6 = </v>
      </c>
      <c r="AR270" s="120" t="str">
        <f t="shared" si="1025"/>
        <v xml:space="preserve">MaxVar1 = 1.000   MinVar1 = 0.000   </v>
      </c>
      <c r="AS270" s="120" t="str">
        <f t="shared" si="1017"/>
        <v>_x000D_
..</v>
      </c>
      <c r="AT270" s="13" t="str">
        <f t="shared" si="1018"/>
        <v>CrvDblQuad</v>
      </c>
      <c r="AU270" s="13" t="str">
        <f t="shared" si="1026"/>
        <v xml:space="preserve">     </v>
      </c>
      <c r="AV270" s="13" t="str">
        <f t="shared" si="1027"/>
        <v>"EPDef-VRFSysHtRcvryHtgQRatio_fTwbToadbSI"</v>
      </c>
      <c r="AX270" s="13" t="str">
        <f t="shared" ref="AX270:AX286" si="1040">IF($AO270=1,IF(ISBLANK(V270),"-",CONCATENATE(TEXT(V270," 0.000000;-0.000000"),"  ")),"")</f>
        <v xml:space="preserve"> 0.900000  </v>
      </c>
      <c r="AY270" s="13" t="str">
        <f t="shared" ref="AY270:AY286" si="1041">IF($AO270=1,IF(ISBLANK(W270),"-",CONCATENATE(TEXT(W270," 0.000000;-0.000000"),"  ")),"")</f>
        <v xml:space="preserve"> 0.000000  </v>
      </c>
      <c r="AZ270" s="13" t="str">
        <f t="shared" ref="AZ270:AZ286" si="1042">IF($AO270=1,IF(ISBLANK(X270),"-",CONCATENATE(TEXT(X270," 0.000000;-0.000000"),"  ")),"")</f>
        <v xml:space="preserve"> 0.000000  </v>
      </c>
      <c r="BA270" s="13" t="str">
        <f t="shared" ref="BA270:BA286" si="1043">IF($AO270=1,IF(ISBLANK(Y270),"-",CONCATENATE(TEXT(Y270," 0.000000;-0.000000"),"  ")),"")</f>
        <v xml:space="preserve"> 0.000000  </v>
      </c>
      <c r="BE270" s="13" t="str">
        <f t="shared" si="1028"/>
        <v>-</v>
      </c>
      <c r="BF270" s="13" t="str">
        <f t="shared" si="1029"/>
        <v>-</v>
      </c>
      <c r="BG270" s="13" t="str">
        <f t="shared" si="1030"/>
        <v xml:space="preserve">1.000   </v>
      </c>
      <c r="BH270" s="13" t="str">
        <f t="shared" si="1031"/>
        <v xml:space="preserve">0.000   </v>
      </c>
      <c r="BI270" s="13" t="str">
        <f t="shared" si="1032"/>
        <v>-</v>
      </c>
      <c r="BJ270" s="13" t="str">
        <f t="shared" si="1033"/>
        <v>-</v>
      </c>
      <c r="BM270" s="13" t="str">
        <f t="shared" si="1036"/>
        <v>Twb</v>
      </c>
      <c r="BN270" s="13" t="str">
        <f t="shared" ref="BN270" si="1044">R270</f>
        <v>Toadb</v>
      </c>
      <c r="BO270" s="13">
        <v>1</v>
      </c>
      <c r="BR270" s="13">
        <v>0</v>
      </c>
      <c r="BU270" s="104">
        <f t="shared" si="1034"/>
        <v>0.9</v>
      </c>
      <c r="BV270" s="115"/>
      <c r="BW270" s="104">
        <f t="shared" si="1035"/>
        <v>0.9</v>
      </c>
    </row>
    <row r="271" spans="2:75" hidden="1" outlineLevel="1" x14ac:dyDescent="0.3">
      <c r="B271" s="13" t="s">
        <v>926</v>
      </c>
      <c r="D271" s="22" t="s">
        <v>764</v>
      </c>
      <c r="E271" s="13" t="s">
        <v>923</v>
      </c>
      <c r="F271" s="13" t="s">
        <v>765</v>
      </c>
      <c r="G271" s="22" t="s">
        <v>841</v>
      </c>
      <c r="H271" s="13" t="s">
        <v>805</v>
      </c>
      <c r="I271" s="13" t="s">
        <v>660</v>
      </c>
      <c r="J271" s="13" t="s">
        <v>912</v>
      </c>
      <c r="L271" s="13" t="s">
        <v>777</v>
      </c>
      <c r="M271" s="13" t="s">
        <v>788</v>
      </c>
      <c r="N271" s="13" t="str">
        <f t="shared" ref="N271:N286" si="1045">IF(ISBLANK(E271),"-",E271&amp;H271&amp;P271&amp;"_f"&amp;Q271&amp;R271&amp;S271&amp;T271&amp;U271&amp;I271)</f>
        <v>EPDef-VRFSysClgEIRRatio_fTwbToadbLowSI</v>
      </c>
      <c r="O271" s="13" t="s">
        <v>165</v>
      </c>
      <c r="P271" s="13" t="s">
        <v>288</v>
      </c>
      <c r="Q271" s="13" t="s">
        <v>116</v>
      </c>
      <c r="R271" s="13" t="s">
        <v>460</v>
      </c>
      <c r="S271" s="13" t="s">
        <v>798</v>
      </c>
      <c r="V271" s="13">
        <v>0.98901054099999997</v>
      </c>
      <c r="W271" s="13">
        <v>-2.3479670000000001E-2</v>
      </c>
      <c r="X271" s="13">
        <v>1.9971100000000001E-4</v>
      </c>
      <c r="Y271" s="13">
        <v>5.9683360000000003E-3</v>
      </c>
      <c r="Z271" s="126">
        <v>-1.03E-7</v>
      </c>
      <c r="AA271" s="13">
        <v>-1.5686000000000001E-4</v>
      </c>
      <c r="AI271" s="13">
        <v>24</v>
      </c>
      <c r="AJ271" s="13">
        <v>15</v>
      </c>
      <c r="AK271" s="13">
        <v>23</v>
      </c>
      <c r="AL271" s="13">
        <v>-5</v>
      </c>
      <c r="AM271" t="s">
        <v>925</v>
      </c>
      <c r="AO271" s="13">
        <v>1</v>
      </c>
      <c r="AP271" s="120" t="str">
        <f t="shared" ref="AP271:AP286" si="1046">IF(AO271=1,CONCATENATE(AQ271,AR271,AS271),"")</f>
        <v>CrvDblQuad     "EPDef-VRFSysClgEIRRatio_fTwbToadbLowSI"                         Coef1 =  0.989011  Coef2 = -0.023480  Coef3 =  0.000200  Coef4 =  0.005968  Coef5 = -0.000000  Coef6 = -0.000157  _x000D_
                                                                                MaxVar1 = 24.000   MinVar1 = 15.000   MaxVar2 = 23.000   MinVar2 = -5.000   _x000D_
..</v>
      </c>
      <c r="AQ271" s="120" t="str">
        <f t="shared" ref="AQ271:AQ286" si="1047">IF(AO271=1,CONCATENATE(AT271,AU271,AV271,AW271,IF(AX271="-","",$AX$15&amp;AX271),IF(AY271="-","",$AY$15&amp;AY271),IF(AZ271="-","",$AZ$15&amp;AZ271),IF(BA271="-","",$BA$15&amp;BA271),IF(BB271="-","",$BB$15&amp;BB271),IF(BC271="-","",$BC$15&amp;BC271)),"")</f>
        <v xml:space="preserve">CrvDblQuad     "EPDef-VRFSysClgEIRRatio_fTwbToadbLowSI"                         Coef1 =  0.989011  Coef2 = -0.023480  Coef3 =  0.000200  Coef4 =  0.005968  Coef5 = -0.000000  Coef6 = -0.000157  </v>
      </c>
      <c r="AR271" s="120" t="str">
        <f t="shared" si="1025"/>
        <v xml:space="preserve">_x000D_
                                                                                MaxVar1 = 24.000   MinVar1 = 15.000   MaxVar2 = 23.000   MinVar2 = -5.000   </v>
      </c>
      <c r="AS271" s="120" t="str">
        <f t="shared" ref="AS271:AS286" si="1048">IF(AO271=1,CHAR(13)&amp;CHAR(10)&amp;"..","")</f>
        <v>_x000D_
..</v>
      </c>
      <c r="AT271" s="13" t="str">
        <f t="shared" ref="AT271:AT286" si="1049">IF(AO271=1,VLOOKUP(O271,$AT$2:$AV$13,2,0),"")</f>
        <v>CrvDblQuad</v>
      </c>
      <c r="AU271" s="13" t="str">
        <f t="shared" si="1026"/>
        <v xml:space="preserve">     </v>
      </c>
      <c r="AV271" s="13" t="str">
        <f t="shared" si="1027"/>
        <v>"EPDef-VRFSysClgEIRRatio_fTwbToadbLowSI"</v>
      </c>
      <c r="AW271" s="13" t="str">
        <f t="shared" ref="AW271:AW286" si="1050">REPT(" ",$AW$14-LEN(AV271))</f>
        <v xml:space="preserve">                         </v>
      </c>
      <c r="AX271" s="13" t="str">
        <f t="shared" si="1040"/>
        <v xml:space="preserve"> 0.989011  </v>
      </c>
      <c r="AY271" s="13" t="str">
        <f t="shared" si="1041"/>
        <v xml:space="preserve">-0.023480  </v>
      </c>
      <c r="AZ271" s="13" t="str">
        <f t="shared" si="1042"/>
        <v xml:space="preserve"> 0.000200  </v>
      </c>
      <c r="BA271" s="13" t="str">
        <f t="shared" si="1043"/>
        <v xml:space="preserve"> 0.005968  </v>
      </c>
      <c r="BB271" s="13" t="str">
        <f t="shared" ref="BB271:BB286" si="1051">IF($AO271=1,IF(ISBLANK(Z271),"-",CONCATENATE(TEXT(Z271," 0.000000;-0.000000"),"  ")),"")</f>
        <v xml:space="preserve">-0.000000  </v>
      </c>
      <c r="BC271" s="13" t="str">
        <f t="shared" ref="BC271:BC286" si="1052">IF($AO271=1,IF(ISBLANK(AA271),"-",CONCATENATE(TEXT(AA271," 0.000000;-0.000000"),"  ")),"")</f>
        <v xml:space="preserve">-0.000157  </v>
      </c>
      <c r="BD271" s="13" t="str">
        <f t="shared" ref="BD271:BD286" si="1053">IF(MAX(AG271:AL271)=0,REPT(" ",1),CHAR(13)&amp;CHAR(10)&amp;REPT(" ",BD$14))</f>
        <v xml:space="preserve">_x000D_
                                                                                </v>
      </c>
      <c r="BE271" s="13" t="str">
        <f t="shared" si="1028"/>
        <v>-</v>
      </c>
      <c r="BF271" s="13" t="str">
        <f t="shared" si="1029"/>
        <v>-</v>
      </c>
      <c r="BG271" s="13" t="str">
        <f t="shared" si="1030"/>
        <v xml:space="preserve">24.000   </v>
      </c>
      <c r="BH271" s="13" t="str">
        <f t="shared" si="1031"/>
        <v xml:space="preserve">15.000   </v>
      </c>
      <c r="BI271" s="13" t="str">
        <f t="shared" si="1032"/>
        <v xml:space="preserve">23.000   </v>
      </c>
      <c r="BJ271" s="13" t="str">
        <f t="shared" si="1033"/>
        <v xml:space="preserve">-5.000   </v>
      </c>
      <c r="BM271" s="13" t="str">
        <f>Q271</f>
        <v>Twb</v>
      </c>
      <c r="BN271" s="13" t="str">
        <f>R271</f>
        <v>Toadb</v>
      </c>
      <c r="BO271" s="13">
        <v>1</v>
      </c>
      <c r="BR271" s="13">
        <v>0</v>
      </c>
      <c r="BU271" s="104">
        <f t="shared" si="1034"/>
        <v>0.96573058200000006</v>
      </c>
      <c r="BV271" s="115"/>
      <c r="BW271" s="104">
        <f t="shared" si="1035"/>
        <v>0.98901054099999997</v>
      </c>
    </row>
    <row r="272" spans="2:75" hidden="1" outlineLevel="1" x14ac:dyDescent="0.3">
      <c r="E272" s="13" t="s">
        <v>923</v>
      </c>
      <c r="F272" s="13" t="s">
        <v>766</v>
      </c>
      <c r="G272" s="22" t="s">
        <v>841</v>
      </c>
      <c r="H272" s="13" t="s">
        <v>805</v>
      </c>
      <c r="I272" s="13" t="s">
        <v>660</v>
      </c>
      <c r="J272" s="13" t="s">
        <v>912</v>
      </c>
      <c r="L272" s="13" t="s">
        <v>777</v>
      </c>
      <c r="M272" s="13" t="s">
        <v>789</v>
      </c>
      <c r="N272" s="13" t="str">
        <f t="shared" si="1045"/>
        <v>EPDef-VRFSysClgEIRBdry_fToadbSI</v>
      </c>
      <c r="O272" s="13" t="s">
        <v>230</v>
      </c>
      <c r="P272" s="13" t="s">
        <v>800</v>
      </c>
      <c r="Q272" s="13" t="s">
        <v>460</v>
      </c>
      <c r="V272" s="13">
        <v>25.734737750000001</v>
      </c>
      <c r="W272" s="13">
        <v>-3.1500430000000003E-2</v>
      </c>
      <c r="X272" s="13">
        <v>-1.416595E-2</v>
      </c>
      <c r="Y272" s="33">
        <v>0</v>
      </c>
      <c r="AI272" s="13">
        <v>24</v>
      </c>
      <c r="AJ272" s="13">
        <v>15</v>
      </c>
      <c r="AM272" t="s">
        <v>925</v>
      </c>
      <c r="AO272" s="13">
        <v>1</v>
      </c>
      <c r="AP272" s="120" t="str">
        <f t="shared" si="1046"/>
        <v>CrvCubic       "EPDef-VRFSysClgEIRBdry_fToadbSI"                                Coef1 =  25.734738  Coef2 = -0.031500  Coef3 = -0.014166  Coef4 =  0.000000  _x000D_
                                                                                MaxVar1 = 24.000   MinVar1 = 15.000   _x000D_
..</v>
      </c>
      <c r="AQ272" s="120" t="str">
        <f t="shared" si="1047"/>
        <v xml:space="preserve">CrvCubic       "EPDef-VRFSysClgEIRBdry_fToadbSI"                                Coef1 =  25.734738  Coef2 = -0.031500  Coef3 = -0.014166  Coef4 =  0.000000  </v>
      </c>
      <c r="AR272" s="120" t="str">
        <f t="shared" si="1025"/>
        <v xml:space="preserve">_x000D_
                                                                                MaxVar1 = 24.000   MinVar1 = 15.000   </v>
      </c>
      <c r="AS272" s="120" t="str">
        <f t="shared" si="1048"/>
        <v>_x000D_
..</v>
      </c>
      <c r="AT272" s="13" t="str">
        <f t="shared" si="1049"/>
        <v>CrvCubic</v>
      </c>
      <c r="AU272" s="13" t="str">
        <f t="shared" si="1026"/>
        <v xml:space="preserve">       </v>
      </c>
      <c r="AV272" s="13" t="str">
        <f t="shared" si="1027"/>
        <v>"EPDef-VRFSysClgEIRBdry_fToadbSI"</v>
      </c>
      <c r="AW272" s="13" t="str">
        <f t="shared" si="1050"/>
        <v xml:space="preserve">                                </v>
      </c>
      <c r="AX272" s="13" t="str">
        <f t="shared" si="1040"/>
        <v xml:space="preserve"> 25.734738  </v>
      </c>
      <c r="AY272" s="13" t="str">
        <f t="shared" si="1041"/>
        <v xml:space="preserve">-0.031500  </v>
      </c>
      <c r="AZ272" s="13" t="str">
        <f t="shared" si="1042"/>
        <v xml:space="preserve">-0.014166  </v>
      </c>
      <c r="BA272" s="13" t="str">
        <f t="shared" si="1043"/>
        <v xml:space="preserve"> 0.000000  </v>
      </c>
      <c r="BB272" s="13" t="str">
        <f t="shared" si="1051"/>
        <v>-</v>
      </c>
      <c r="BC272" s="13" t="str">
        <f t="shared" si="1052"/>
        <v>-</v>
      </c>
      <c r="BD272" s="13" t="str">
        <f t="shared" si="1053"/>
        <v xml:space="preserve">_x000D_
                                                                                </v>
      </c>
      <c r="BE272" s="13" t="str">
        <f t="shared" si="1028"/>
        <v>-</v>
      </c>
      <c r="BF272" s="13" t="str">
        <f t="shared" si="1029"/>
        <v>-</v>
      </c>
      <c r="BG272" s="13" t="str">
        <f t="shared" si="1030"/>
        <v xml:space="preserve">24.000   </v>
      </c>
      <c r="BH272" s="13" t="str">
        <f t="shared" si="1031"/>
        <v xml:space="preserve">15.000   </v>
      </c>
      <c r="BI272" s="13" t="str">
        <f t="shared" si="1032"/>
        <v>-</v>
      </c>
      <c r="BJ272" s="13" t="str">
        <f t="shared" si="1033"/>
        <v>-</v>
      </c>
      <c r="BM272" s="13" t="str">
        <f t="shared" ref="BM272:BM286" si="1054">Q272</f>
        <v>Toadb</v>
      </c>
      <c r="BO272" s="13">
        <v>1</v>
      </c>
      <c r="BR272" s="13">
        <v>0</v>
      </c>
      <c r="BU272" s="104">
        <f t="shared" si="1034"/>
        <v>25.689071370000001</v>
      </c>
      <c r="BV272" s="115"/>
      <c r="BW272" s="104">
        <f t="shared" si="1035"/>
        <v>25.734737750000001</v>
      </c>
    </row>
    <row r="273" spans="1:75" hidden="1" outlineLevel="1" x14ac:dyDescent="0.3">
      <c r="E273" s="13" t="s">
        <v>923</v>
      </c>
      <c r="F273" s="13" t="s">
        <v>767</v>
      </c>
      <c r="G273" s="22" t="s">
        <v>841</v>
      </c>
      <c r="H273" s="13" t="s">
        <v>805</v>
      </c>
      <c r="I273" s="13" t="s">
        <v>660</v>
      </c>
      <c r="J273" s="13" t="s">
        <v>912</v>
      </c>
      <c r="L273" s="13" t="s">
        <v>777</v>
      </c>
      <c r="M273" s="13" t="s">
        <v>790</v>
      </c>
      <c r="N273" s="13" t="str">
        <f t="shared" si="1045"/>
        <v>EPDef-VRFSysClgEIRRatio_fTwbToadbHiSI</v>
      </c>
      <c r="O273" s="13" t="s">
        <v>165</v>
      </c>
      <c r="P273" s="13" t="s">
        <v>288</v>
      </c>
      <c r="Q273" s="13" t="s">
        <v>116</v>
      </c>
      <c r="R273" s="13" t="s">
        <v>460</v>
      </c>
      <c r="S273" s="13" t="s">
        <v>799</v>
      </c>
      <c r="V273" s="13">
        <v>0.1435147</v>
      </c>
      <c r="W273" s="13">
        <v>1.8600350000000002E-2</v>
      </c>
      <c r="X273" s="126">
        <v>-3.9500000000000001E-4</v>
      </c>
      <c r="Y273" s="13">
        <v>2.485219E-2</v>
      </c>
      <c r="Z273" s="13">
        <v>1.6328999999999999E-4</v>
      </c>
      <c r="AA273" s="13">
        <v>-6.244E-4</v>
      </c>
      <c r="AI273" s="13">
        <v>24</v>
      </c>
      <c r="AJ273" s="13">
        <v>15</v>
      </c>
      <c r="AK273" s="13">
        <v>43</v>
      </c>
      <c r="AL273" s="13">
        <v>16</v>
      </c>
      <c r="AM273" t="s">
        <v>925</v>
      </c>
      <c r="AO273" s="13">
        <v>1</v>
      </c>
      <c r="AP273" s="120" t="str">
        <f t="shared" si="1046"/>
        <v>CrvDblQuad     "EPDef-VRFSysClgEIRRatio_fTwbToadbHiSI"                          Coef1 =  0.143515  Coef2 =  0.018600  Coef3 = -0.000395  Coef4 =  0.024852  Coef5 =  0.000163  Coef6 = -0.000624  _x000D_
                                                                                MaxVar1 = 24.000   MinVar1 = 15.000   MaxVar2 = 43.000   MinVar2 = 16.000   _x000D_
..</v>
      </c>
      <c r="AQ273" s="120" t="str">
        <f t="shared" si="1047"/>
        <v xml:space="preserve">CrvDblQuad     "EPDef-VRFSysClgEIRRatio_fTwbToadbHiSI"                          Coef1 =  0.143515  Coef2 =  0.018600  Coef3 = -0.000395  Coef4 =  0.024852  Coef5 =  0.000163  Coef6 = -0.000624  </v>
      </c>
      <c r="AR273" s="120" t="str">
        <f t="shared" si="1025"/>
        <v xml:space="preserve">_x000D_
                                                                                MaxVar1 = 24.000   MinVar1 = 15.000   MaxVar2 = 43.000   MinVar2 = 16.000   </v>
      </c>
      <c r="AS273" s="120" t="str">
        <f t="shared" si="1048"/>
        <v>_x000D_
..</v>
      </c>
      <c r="AT273" s="13" t="str">
        <f t="shared" si="1049"/>
        <v>CrvDblQuad</v>
      </c>
      <c r="AU273" s="13" t="str">
        <f t="shared" si="1026"/>
        <v xml:space="preserve">     </v>
      </c>
      <c r="AV273" s="13" t="str">
        <f t="shared" si="1027"/>
        <v>"EPDef-VRFSysClgEIRRatio_fTwbToadbHiSI"</v>
      </c>
      <c r="AW273" s="13" t="str">
        <f t="shared" si="1050"/>
        <v xml:space="preserve">                          </v>
      </c>
      <c r="AX273" s="13" t="str">
        <f t="shared" si="1040"/>
        <v xml:space="preserve"> 0.143515  </v>
      </c>
      <c r="AY273" s="13" t="str">
        <f t="shared" si="1041"/>
        <v xml:space="preserve"> 0.018600  </v>
      </c>
      <c r="AZ273" s="13" t="str">
        <f t="shared" si="1042"/>
        <v xml:space="preserve">-0.000395  </v>
      </c>
      <c r="BA273" s="13" t="str">
        <f t="shared" si="1043"/>
        <v xml:space="preserve"> 0.024852  </v>
      </c>
      <c r="BB273" s="13" t="str">
        <f t="shared" si="1051"/>
        <v xml:space="preserve"> 0.000163  </v>
      </c>
      <c r="BC273" s="13" t="str">
        <f t="shared" si="1052"/>
        <v xml:space="preserve">-0.000624  </v>
      </c>
      <c r="BD273" s="13" t="str">
        <f t="shared" si="1053"/>
        <v xml:space="preserve">_x000D_
                                                                                </v>
      </c>
      <c r="BE273" s="13" t="str">
        <f t="shared" si="1028"/>
        <v>-</v>
      </c>
      <c r="BF273" s="13" t="str">
        <f t="shared" si="1029"/>
        <v>-</v>
      </c>
      <c r="BG273" s="13" t="str">
        <f t="shared" si="1030"/>
        <v xml:space="preserve">24.000   </v>
      </c>
      <c r="BH273" s="13" t="str">
        <f t="shared" si="1031"/>
        <v xml:space="preserve">15.000   </v>
      </c>
      <c r="BI273" s="13" t="str">
        <f t="shared" si="1032"/>
        <v xml:space="preserve">43.000   </v>
      </c>
      <c r="BJ273" s="13" t="str">
        <f t="shared" si="1033"/>
        <v xml:space="preserve">16.000   </v>
      </c>
      <c r="BM273" s="13" t="str">
        <f t="shared" si="1054"/>
        <v>Twb</v>
      </c>
      <c r="BN273" s="13" t="str">
        <f>R273</f>
        <v>Toadb</v>
      </c>
      <c r="BO273" s="13">
        <v>1</v>
      </c>
      <c r="BR273" s="13">
        <v>0</v>
      </c>
      <c r="BU273" s="104">
        <f t="shared" si="1034"/>
        <v>0.16172004999999998</v>
      </c>
      <c r="BV273" s="115"/>
      <c r="BW273" s="104">
        <f t="shared" si="1035"/>
        <v>0.1435147</v>
      </c>
    </row>
    <row r="274" spans="1:75" hidden="1" outlineLevel="1" x14ac:dyDescent="0.3">
      <c r="E274" s="13" t="s">
        <v>923</v>
      </c>
      <c r="F274" s="13" t="s">
        <v>768</v>
      </c>
      <c r="G274" s="22" t="s">
        <v>841</v>
      </c>
      <c r="H274" s="13" t="s">
        <v>805</v>
      </c>
      <c r="I274" s="13" t="s">
        <v>660</v>
      </c>
      <c r="J274" s="13" t="s">
        <v>912</v>
      </c>
      <c r="L274" s="13" t="s">
        <v>777</v>
      </c>
      <c r="M274" s="13" t="s">
        <v>791</v>
      </c>
      <c r="N274" s="13" t="str">
        <f t="shared" si="1045"/>
        <v>EPDef-VRFSysClgEIRRatio_fPLRLowSI</v>
      </c>
      <c r="O274" s="13" t="s">
        <v>230</v>
      </c>
      <c r="P274" s="13" t="s">
        <v>288</v>
      </c>
      <c r="Q274" s="13" t="s">
        <v>28</v>
      </c>
      <c r="R274" s="13" t="s">
        <v>798</v>
      </c>
      <c r="V274" s="13">
        <v>0.46281230000000001</v>
      </c>
      <c r="W274" s="126">
        <v>-1.04</v>
      </c>
      <c r="X274" s="13">
        <v>2.1749099699999999</v>
      </c>
      <c r="Y274" s="13">
        <v>-0.5974817</v>
      </c>
      <c r="AI274" s="13">
        <v>1</v>
      </c>
      <c r="AJ274" s="13">
        <v>0</v>
      </c>
      <c r="AM274" t="s">
        <v>925</v>
      </c>
      <c r="AO274" s="13">
        <v>1</v>
      </c>
      <c r="AP274" s="120" t="str">
        <f t="shared" si="1046"/>
        <v>CrvCubic       "EPDef-VRFSysClgEIRRatio_fPLRLowSI"                              Coef1 =  0.462812  Coef2 = -1.040000  Coef3 =  2.174910  Coef4 = -0.597482  _x000D_
                                                                                MaxVar1 = 1.000   MinVar1 = 0.000   _x000D_
..</v>
      </c>
      <c r="AQ274" s="120" t="str">
        <f t="shared" si="1047"/>
        <v xml:space="preserve">CrvCubic       "EPDef-VRFSysClgEIRRatio_fPLRLowSI"                              Coef1 =  0.462812  Coef2 = -1.040000  Coef3 =  2.174910  Coef4 = -0.597482  </v>
      </c>
      <c r="AR274" s="120" t="str">
        <f t="shared" si="1025"/>
        <v xml:space="preserve">_x000D_
                                                                                MaxVar1 = 1.000   MinVar1 = 0.000   </v>
      </c>
      <c r="AS274" s="120" t="str">
        <f t="shared" si="1048"/>
        <v>_x000D_
..</v>
      </c>
      <c r="AT274" s="13" t="str">
        <f t="shared" si="1049"/>
        <v>CrvCubic</v>
      </c>
      <c r="AU274" s="13" t="str">
        <f t="shared" si="1026"/>
        <v xml:space="preserve">       </v>
      </c>
      <c r="AV274" s="13" t="str">
        <f t="shared" si="1027"/>
        <v>"EPDef-VRFSysClgEIRRatio_fPLRLowSI"</v>
      </c>
      <c r="AW274" s="13" t="str">
        <f t="shared" si="1050"/>
        <v xml:space="preserve">                              </v>
      </c>
      <c r="AX274" s="13" t="str">
        <f t="shared" si="1040"/>
        <v xml:space="preserve"> 0.462812  </v>
      </c>
      <c r="AY274" s="13" t="str">
        <f t="shared" si="1041"/>
        <v xml:space="preserve">-1.040000  </v>
      </c>
      <c r="AZ274" s="13" t="str">
        <f t="shared" si="1042"/>
        <v xml:space="preserve"> 2.174910  </v>
      </c>
      <c r="BA274" s="13" t="str">
        <f t="shared" si="1043"/>
        <v xml:space="preserve">-0.597482  </v>
      </c>
      <c r="BB274" s="13" t="str">
        <f t="shared" si="1051"/>
        <v>-</v>
      </c>
      <c r="BC274" s="13" t="str">
        <f t="shared" si="1052"/>
        <v>-</v>
      </c>
      <c r="BD274" s="13" t="str">
        <f t="shared" si="1053"/>
        <v xml:space="preserve">_x000D_
                                                                                </v>
      </c>
      <c r="BE274" s="13" t="str">
        <f t="shared" si="1028"/>
        <v>-</v>
      </c>
      <c r="BF274" s="13" t="str">
        <f t="shared" si="1029"/>
        <v>-</v>
      </c>
      <c r="BG274" s="13" t="str">
        <f t="shared" si="1030"/>
        <v xml:space="preserve">1.000   </v>
      </c>
      <c r="BH274" s="13" t="str">
        <f t="shared" si="1031"/>
        <v xml:space="preserve">0.000   </v>
      </c>
      <c r="BI274" s="13" t="str">
        <f t="shared" si="1032"/>
        <v>-</v>
      </c>
      <c r="BJ274" s="13" t="str">
        <f t="shared" si="1033"/>
        <v>-</v>
      </c>
      <c r="BM274" s="13" t="str">
        <f t="shared" si="1054"/>
        <v>PLR</v>
      </c>
      <c r="BN274" s="13" t="str">
        <f>R274</f>
        <v>Low</v>
      </c>
      <c r="BO274" s="13">
        <v>1</v>
      </c>
      <c r="BR274" s="13">
        <v>0</v>
      </c>
      <c r="BU274" s="104">
        <f t="shared" si="1034"/>
        <v>1.5977222699999998</v>
      </c>
      <c r="BV274" s="115"/>
      <c r="BW274" s="104">
        <f t="shared" si="1035"/>
        <v>0.46281230000000001</v>
      </c>
    </row>
    <row r="275" spans="1:75" hidden="1" outlineLevel="1" x14ac:dyDescent="0.3">
      <c r="E275" s="13" t="s">
        <v>923</v>
      </c>
      <c r="F275" s="13" t="s">
        <v>769</v>
      </c>
      <c r="G275" s="22" t="s">
        <v>841</v>
      </c>
      <c r="H275" s="13" t="s">
        <v>805</v>
      </c>
      <c r="I275" s="13" t="s">
        <v>660</v>
      </c>
      <c r="J275" s="13" t="s">
        <v>912</v>
      </c>
      <c r="L275" s="13" t="s">
        <v>777</v>
      </c>
      <c r="M275" s="13" t="s">
        <v>792</v>
      </c>
      <c r="N275" s="13" t="str">
        <f t="shared" si="1045"/>
        <v>EPDef-VRFSysClgEIRRatio_fPLRHiSI</v>
      </c>
      <c r="O275" s="13" t="s">
        <v>162</v>
      </c>
      <c r="P275" s="13" t="s">
        <v>288</v>
      </c>
      <c r="Q275" s="13" t="s">
        <v>28</v>
      </c>
      <c r="R275" s="13" t="s">
        <v>799</v>
      </c>
      <c r="U275" s="126"/>
      <c r="V275" s="33">
        <v>1</v>
      </c>
      <c r="W275" s="33">
        <v>0</v>
      </c>
      <c r="X275" s="33">
        <v>0</v>
      </c>
      <c r="AI275" s="13">
        <v>1.5</v>
      </c>
      <c r="AJ275" s="13">
        <v>1</v>
      </c>
      <c r="AM275" t="s">
        <v>925</v>
      </c>
      <c r="AO275" s="13">
        <v>1</v>
      </c>
      <c r="AP275" s="120" t="str">
        <f t="shared" si="1046"/>
        <v>CrvQuad        "EPDef-VRFSysClgEIRRatio_fPLRHiSI"                               Coef1 =  1.000000  Coef2 =  0.000000  Coef3 =  0.000000  _x000D_
                                                                                MaxVar1 = 1.500   MinVar1 = 1.000   _x000D_
..</v>
      </c>
      <c r="AQ275" s="120" t="str">
        <f t="shared" si="1047"/>
        <v xml:space="preserve">CrvQuad        "EPDef-VRFSysClgEIRRatio_fPLRHiSI"                               Coef1 =  1.000000  Coef2 =  0.000000  Coef3 =  0.000000  </v>
      </c>
      <c r="AR275" s="120" t="str">
        <f t="shared" si="1025"/>
        <v xml:space="preserve">_x000D_
                                                                                MaxVar1 = 1.500   MinVar1 = 1.000   </v>
      </c>
      <c r="AS275" s="120" t="str">
        <f t="shared" si="1048"/>
        <v>_x000D_
..</v>
      </c>
      <c r="AT275" s="13" t="str">
        <f t="shared" si="1049"/>
        <v>CrvQuad</v>
      </c>
      <c r="AU275" s="13" t="str">
        <f t="shared" si="1026"/>
        <v xml:space="preserve">        </v>
      </c>
      <c r="AV275" s="13" t="str">
        <f t="shared" si="1027"/>
        <v>"EPDef-VRFSysClgEIRRatio_fPLRHiSI"</v>
      </c>
      <c r="AW275" s="13" t="str">
        <f t="shared" si="1050"/>
        <v xml:space="preserve">                               </v>
      </c>
      <c r="AX275" s="13" t="str">
        <f t="shared" si="1040"/>
        <v xml:space="preserve"> 1.000000  </v>
      </c>
      <c r="AY275" s="13" t="str">
        <f t="shared" si="1041"/>
        <v xml:space="preserve"> 0.000000  </v>
      </c>
      <c r="AZ275" s="13" t="str">
        <f t="shared" si="1042"/>
        <v xml:space="preserve"> 0.000000  </v>
      </c>
      <c r="BA275" s="13" t="str">
        <f t="shared" si="1043"/>
        <v>-</v>
      </c>
      <c r="BB275" s="13" t="str">
        <f t="shared" si="1051"/>
        <v>-</v>
      </c>
      <c r="BC275" s="13" t="str">
        <f t="shared" si="1052"/>
        <v>-</v>
      </c>
      <c r="BD275" s="13" t="str">
        <f t="shared" si="1053"/>
        <v xml:space="preserve">_x000D_
                                                                                </v>
      </c>
      <c r="BE275" s="13" t="str">
        <f t="shared" si="1028"/>
        <v>-</v>
      </c>
      <c r="BF275" s="13" t="str">
        <f t="shared" si="1029"/>
        <v>-</v>
      </c>
      <c r="BG275" s="13" t="str">
        <f t="shared" si="1030"/>
        <v xml:space="preserve">1.500   </v>
      </c>
      <c r="BH275" s="13" t="str">
        <f t="shared" si="1031"/>
        <v xml:space="preserve">1.000   </v>
      </c>
      <c r="BI275" s="13" t="str">
        <f t="shared" si="1032"/>
        <v>-</v>
      </c>
      <c r="BJ275" s="13" t="str">
        <f t="shared" si="1033"/>
        <v>-</v>
      </c>
      <c r="BM275" s="13" t="str">
        <f t="shared" si="1054"/>
        <v>PLR</v>
      </c>
      <c r="BN275" s="13" t="str">
        <f>R275</f>
        <v>Hi</v>
      </c>
      <c r="BO275" s="13">
        <v>1</v>
      </c>
      <c r="BR275" s="13">
        <v>0</v>
      </c>
      <c r="BU275" s="104">
        <f t="shared" si="1034"/>
        <v>1</v>
      </c>
      <c r="BV275" s="115"/>
      <c r="BW275" s="104">
        <f t="shared" si="1035"/>
        <v>1</v>
      </c>
    </row>
    <row r="276" spans="1:75" hidden="1" outlineLevel="1" x14ac:dyDescent="0.3">
      <c r="E276" s="13" t="s">
        <v>923</v>
      </c>
      <c r="F276" s="13" t="s">
        <v>803</v>
      </c>
      <c r="G276" s="22" t="s">
        <v>841</v>
      </c>
      <c r="H276" s="13" t="s">
        <v>805</v>
      </c>
      <c r="I276" s="13" t="s">
        <v>660</v>
      </c>
      <c r="J276" s="13" t="s">
        <v>912</v>
      </c>
      <c r="L276" s="13" t="s">
        <v>777</v>
      </c>
      <c r="M276" s="13" t="s">
        <v>813</v>
      </c>
      <c r="N276" s="13" t="str">
        <f t="shared" si="1045"/>
        <v>EPDef-VRFSysClgEIRRatio_fCycRatSI</v>
      </c>
      <c r="O276" s="13" t="s">
        <v>162</v>
      </c>
      <c r="P276" s="13" t="s">
        <v>288</v>
      </c>
      <c r="Q276" s="13" t="s">
        <v>804</v>
      </c>
      <c r="V276" s="33">
        <v>0.85</v>
      </c>
      <c r="W276" s="33">
        <v>0.15</v>
      </c>
      <c r="X276" s="33">
        <v>0</v>
      </c>
      <c r="AI276" s="13">
        <v>1</v>
      </c>
      <c r="AJ276" s="13">
        <v>0</v>
      </c>
      <c r="AM276" t="s">
        <v>925</v>
      </c>
      <c r="AO276" s="13">
        <v>1</v>
      </c>
      <c r="AP276" s="120" t="str">
        <f t="shared" si="1046"/>
        <v>CrvQuad        "EPDef-VRFSysClgEIRRatio_fCycRatSI"                              Coef1 =  0.850000  Coef2 =  0.150000  Coef3 =  0.000000  _x000D_
                                                                                MaxVar1 = 1.000   MinVar1 = 0.000   _x000D_
..</v>
      </c>
      <c r="AQ276" s="120" t="str">
        <f t="shared" si="1047"/>
        <v xml:space="preserve">CrvQuad        "EPDef-VRFSysClgEIRRatio_fCycRatSI"                              Coef1 =  0.850000  Coef2 =  0.150000  Coef3 =  0.000000  </v>
      </c>
      <c r="AR276" s="120" t="str">
        <f t="shared" si="1025"/>
        <v xml:space="preserve">_x000D_
                                                                                MaxVar1 = 1.000   MinVar1 = 0.000   </v>
      </c>
      <c r="AS276" s="120" t="str">
        <f t="shared" si="1048"/>
        <v>_x000D_
..</v>
      </c>
      <c r="AT276" s="13" t="str">
        <f t="shared" si="1049"/>
        <v>CrvQuad</v>
      </c>
      <c r="AU276" s="13" t="str">
        <f t="shared" si="1026"/>
        <v xml:space="preserve">        </v>
      </c>
      <c r="AV276" s="13" t="str">
        <f t="shared" si="1027"/>
        <v>"EPDef-VRFSysClgEIRRatio_fCycRatSI"</v>
      </c>
      <c r="AW276" s="13" t="str">
        <f t="shared" si="1050"/>
        <v xml:space="preserve">                              </v>
      </c>
      <c r="AX276" s="13" t="str">
        <f t="shared" si="1040"/>
        <v xml:space="preserve"> 0.850000  </v>
      </c>
      <c r="AY276" s="13" t="str">
        <f t="shared" si="1041"/>
        <v xml:space="preserve"> 0.150000  </v>
      </c>
      <c r="AZ276" s="13" t="str">
        <f t="shared" si="1042"/>
        <v xml:space="preserve"> 0.000000  </v>
      </c>
      <c r="BA276" s="13" t="str">
        <f t="shared" si="1043"/>
        <v>-</v>
      </c>
      <c r="BB276" s="13" t="str">
        <f t="shared" si="1051"/>
        <v>-</v>
      </c>
      <c r="BC276" s="13" t="str">
        <f t="shared" si="1052"/>
        <v>-</v>
      </c>
      <c r="BD276" s="13" t="str">
        <f t="shared" si="1053"/>
        <v xml:space="preserve">_x000D_
                                                                                </v>
      </c>
      <c r="BE276" s="13" t="str">
        <f t="shared" si="1028"/>
        <v>-</v>
      </c>
      <c r="BF276" s="13" t="str">
        <f t="shared" si="1029"/>
        <v>-</v>
      </c>
      <c r="BG276" s="13" t="str">
        <f t="shared" si="1030"/>
        <v xml:space="preserve">1.000   </v>
      </c>
      <c r="BH276" s="13" t="str">
        <f t="shared" si="1031"/>
        <v xml:space="preserve">0.000   </v>
      </c>
      <c r="BI276" s="13" t="str">
        <f t="shared" si="1032"/>
        <v>-</v>
      </c>
      <c r="BJ276" s="13" t="str">
        <f t="shared" si="1033"/>
        <v>-</v>
      </c>
      <c r="BM276" s="13" t="str">
        <f t="shared" si="1054"/>
        <v>CycRat</v>
      </c>
      <c r="BO276" s="13">
        <v>1</v>
      </c>
      <c r="BR276" s="13">
        <v>0</v>
      </c>
      <c r="BU276" s="104">
        <f t="shared" si="1034"/>
        <v>1</v>
      </c>
      <c r="BV276" s="115"/>
      <c r="BW276" s="104">
        <f t="shared" si="1035"/>
        <v>0.85</v>
      </c>
    </row>
    <row r="277" spans="1:75" hidden="1" outlineLevel="1" x14ac:dyDescent="0.3">
      <c r="B277" s="137"/>
      <c r="E277" s="13" t="s">
        <v>923</v>
      </c>
      <c r="F277" s="13" t="s">
        <v>770</v>
      </c>
      <c r="G277" s="22" t="s">
        <v>841</v>
      </c>
      <c r="H277" s="13" t="s">
        <v>807</v>
      </c>
      <c r="I277" s="13" t="s">
        <v>660</v>
      </c>
      <c r="J277" s="13" t="s">
        <v>912</v>
      </c>
      <c r="L277" s="13" t="s">
        <v>777</v>
      </c>
      <c r="M277" s="13" t="s">
        <v>814</v>
      </c>
      <c r="N277" s="13" t="str">
        <f t="shared" si="1045"/>
        <v>EPDef-VRFSysHtRcvryClgEIRRatio_fTwbToadbSI</v>
      </c>
      <c r="O277" s="13" t="s">
        <v>165</v>
      </c>
      <c r="P277" s="13" t="s">
        <v>288</v>
      </c>
      <c r="Q277" s="13" t="s">
        <v>116</v>
      </c>
      <c r="R277" s="13" t="s">
        <v>460</v>
      </c>
      <c r="V277" s="33">
        <v>1.1000000000000001</v>
      </c>
      <c r="W277" s="33">
        <v>0</v>
      </c>
      <c r="X277" s="33">
        <v>0</v>
      </c>
      <c r="Y277" s="33">
        <v>0</v>
      </c>
      <c r="Z277" s="33">
        <v>0</v>
      </c>
      <c r="AA277" s="33">
        <v>0</v>
      </c>
      <c r="AI277" s="13">
        <v>1</v>
      </c>
      <c r="AJ277" s="13">
        <v>0</v>
      </c>
      <c r="AM277" s="31" t="s">
        <v>924</v>
      </c>
      <c r="AO277" s="13">
        <v>1</v>
      </c>
      <c r="AP277" s="120" t="str">
        <f t="shared" si="1046"/>
        <v>CrvDblQuad     "EPDef-VRFSysHtRcvryClgEIRRatio_fTwbToadbSI"                     Coef1 =  1.100000  Coef2 =  0.000000  Coef3 =  0.000000  Coef4 =  0.000000  Coef5 =  0.000000  Coef6 =  0.000000  _x000D_
                                                                                MaxVar1 = 1.000   MinVar1 = 0.000   _x000D_
..</v>
      </c>
      <c r="AQ277" s="120" t="str">
        <f t="shared" si="1047"/>
        <v xml:space="preserve">CrvDblQuad     "EPDef-VRFSysHtRcvryClgEIRRatio_fTwbToadbSI"                     Coef1 =  1.100000  Coef2 =  0.000000  Coef3 =  0.000000  Coef4 =  0.000000  Coef5 =  0.000000  Coef6 =  0.000000  </v>
      </c>
      <c r="AR277" s="120" t="str">
        <f t="shared" si="1025"/>
        <v xml:space="preserve">_x000D_
                                                                                MaxVar1 = 1.000   MinVar1 = 0.000   </v>
      </c>
      <c r="AS277" s="120" t="str">
        <f t="shared" si="1048"/>
        <v>_x000D_
..</v>
      </c>
      <c r="AT277" s="13" t="str">
        <f t="shared" si="1049"/>
        <v>CrvDblQuad</v>
      </c>
      <c r="AU277" s="13" t="str">
        <f t="shared" si="1026"/>
        <v xml:space="preserve">     </v>
      </c>
      <c r="AV277" s="13" t="str">
        <f t="shared" si="1027"/>
        <v>"EPDef-VRFSysHtRcvryClgEIRRatio_fTwbToadbSI"</v>
      </c>
      <c r="AW277" s="13" t="str">
        <f t="shared" si="1050"/>
        <v xml:space="preserve">                     </v>
      </c>
      <c r="AX277" s="13" t="str">
        <f t="shared" si="1040"/>
        <v xml:space="preserve"> 1.100000  </v>
      </c>
      <c r="AY277" s="13" t="str">
        <f t="shared" si="1041"/>
        <v xml:space="preserve"> 0.000000  </v>
      </c>
      <c r="AZ277" s="13" t="str">
        <f t="shared" si="1042"/>
        <v xml:space="preserve"> 0.000000  </v>
      </c>
      <c r="BA277" s="13" t="str">
        <f t="shared" si="1043"/>
        <v xml:space="preserve"> 0.000000  </v>
      </c>
      <c r="BB277" s="13" t="str">
        <f t="shared" si="1051"/>
        <v xml:space="preserve"> 0.000000  </v>
      </c>
      <c r="BC277" s="13" t="str">
        <f t="shared" si="1052"/>
        <v xml:space="preserve"> 0.000000  </v>
      </c>
      <c r="BD277" s="13" t="str">
        <f t="shared" si="1053"/>
        <v xml:space="preserve">_x000D_
                                                                                </v>
      </c>
      <c r="BE277" s="13" t="str">
        <f t="shared" si="1028"/>
        <v>-</v>
      </c>
      <c r="BF277" s="13" t="str">
        <f t="shared" si="1029"/>
        <v>-</v>
      </c>
      <c r="BG277" s="13" t="str">
        <f t="shared" si="1030"/>
        <v xml:space="preserve">1.000   </v>
      </c>
      <c r="BH277" s="13" t="str">
        <f t="shared" si="1031"/>
        <v xml:space="preserve">0.000   </v>
      </c>
      <c r="BI277" s="13" t="str">
        <f t="shared" si="1032"/>
        <v>-</v>
      </c>
      <c r="BJ277" s="13" t="str">
        <f t="shared" si="1033"/>
        <v>-</v>
      </c>
      <c r="BM277" s="13" t="str">
        <f t="shared" si="1054"/>
        <v>Twb</v>
      </c>
      <c r="BN277" s="13" t="str">
        <f>R277</f>
        <v>Toadb</v>
      </c>
      <c r="BO277" s="13">
        <v>1</v>
      </c>
      <c r="BR277" s="13">
        <v>0</v>
      </c>
      <c r="BU277" s="104">
        <f t="shared" si="1034"/>
        <v>1.1000000000000001</v>
      </c>
      <c r="BV277" s="115"/>
      <c r="BW277" s="104">
        <f t="shared" si="1035"/>
        <v>1.1000000000000001</v>
      </c>
    </row>
    <row r="278" spans="1:75" s="46" customFormat="1" hidden="1" outlineLevel="1" x14ac:dyDescent="0.3">
      <c r="A278" s="60"/>
      <c r="D278" s="59"/>
      <c r="E278" s="46" t="s">
        <v>923</v>
      </c>
      <c r="F278" s="46" t="s">
        <v>771</v>
      </c>
      <c r="G278" s="59" t="s">
        <v>841</v>
      </c>
      <c r="H278" s="46" t="s">
        <v>806</v>
      </c>
      <c r="I278" s="46" t="s">
        <v>660</v>
      </c>
      <c r="J278" s="46" t="s">
        <v>912</v>
      </c>
      <c r="L278" s="46" t="s">
        <v>777</v>
      </c>
      <c r="M278" s="46" t="s">
        <v>793</v>
      </c>
      <c r="N278" s="46" t="str">
        <f t="shared" si="1045"/>
        <v>EPDef-VRFSysHtgEIRRatio_fTwbToadbLowSI</v>
      </c>
      <c r="O278" s="46" t="s">
        <v>165</v>
      </c>
      <c r="P278" s="46" t="s">
        <v>288</v>
      </c>
      <c r="Q278" s="46" t="s">
        <v>116</v>
      </c>
      <c r="R278" s="46" t="s">
        <v>460</v>
      </c>
      <c r="S278" s="46" t="s">
        <v>798</v>
      </c>
      <c r="V278" s="260">
        <f>0.87465501/0.8847564161</f>
        <v>0.988582839393777</v>
      </c>
      <c r="W278" s="260">
        <f>-0.01319754/0.8847564161</f>
        <v>-1.491658015680142E-2</v>
      </c>
      <c r="X278" s="260">
        <f>0.00110307/0.8847564161</f>
        <v>1.2467499301811505E-3</v>
      </c>
      <c r="Y278" s="260">
        <f>-0.0133118/0.8847564161</f>
        <v>-1.5045723046212335E-2</v>
      </c>
      <c r="Z278" s="260">
        <f>0.00089017/0.8847564161</f>
        <v>1.0061187280493123E-3</v>
      </c>
      <c r="AA278" s="260">
        <f>-0.00012766/0.8847564161</f>
        <v>-1.4428830091193278E-4</v>
      </c>
      <c r="AB278" s="260"/>
      <c r="AC278" s="260"/>
      <c r="AD278" s="260"/>
      <c r="AE278" s="260"/>
      <c r="AF278" s="260"/>
      <c r="AG278" s="260"/>
      <c r="AH278" s="260"/>
      <c r="AI278" s="260">
        <v>27</v>
      </c>
      <c r="AJ278" s="260">
        <v>15</v>
      </c>
      <c r="AK278" s="260">
        <v>12</v>
      </c>
      <c r="AL278" s="260">
        <v>-20</v>
      </c>
      <c r="AM278" s="261" t="s">
        <v>925</v>
      </c>
      <c r="AO278" s="46">
        <v>1</v>
      </c>
      <c r="AP278" s="262" t="str">
        <f t="shared" si="1046"/>
        <v>CrvDblQuad     "EPDef-VRFSysHtgEIRRatio_fTwbToadbLowSI"                         Coef1 =  0.988583  Coef2 = -0.014917  Coef3 =  0.001247  Coef4 = -0.015046  Coef5 =  0.001006  Coef6 = -0.000144  _x000D_
                                                                                MaxVar1 = 27.000   MinVar1 = 15.000   MaxVar2 = 12.000   MinVar2 = -20.000   _x000D_
..</v>
      </c>
      <c r="AQ278" s="262" t="str">
        <f t="shared" si="1047"/>
        <v xml:space="preserve">CrvDblQuad     "EPDef-VRFSysHtgEIRRatio_fTwbToadbLowSI"                         Coef1 =  0.988583  Coef2 = -0.014917  Coef3 =  0.001247  Coef4 = -0.015046  Coef5 =  0.001006  Coef6 = -0.000144  </v>
      </c>
      <c r="AR278" s="262" t="str">
        <f t="shared" si="1025"/>
        <v xml:space="preserve">_x000D_
                                                                                MaxVar1 = 27.000   MinVar1 = 15.000   MaxVar2 = 12.000   MinVar2 = -20.000   </v>
      </c>
      <c r="AS278" s="262" t="str">
        <f t="shared" si="1048"/>
        <v>_x000D_
..</v>
      </c>
      <c r="AT278" s="46" t="str">
        <f t="shared" si="1049"/>
        <v>CrvDblQuad</v>
      </c>
      <c r="AU278" s="46" t="str">
        <f t="shared" si="1026"/>
        <v xml:space="preserve">     </v>
      </c>
      <c r="AV278" s="46" t="str">
        <f t="shared" si="1027"/>
        <v>"EPDef-VRFSysHtgEIRRatio_fTwbToadbLowSI"</v>
      </c>
      <c r="AW278" s="46" t="str">
        <f t="shared" si="1050"/>
        <v xml:space="preserve">                         </v>
      </c>
      <c r="AX278" s="46" t="str">
        <f t="shared" si="1040"/>
        <v xml:space="preserve"> 0.988583  </v>
      </c>
      <c r="AY278" s="46" t="str">
        <f t="shared" si="1041"/>
        <v xml:space="preserve">-0.014917  </v>
      </c>
      <c r="AZ278" s="46" t="str">
        <f t="shared" si="1042"/>
        <v xml:space="preserve"> 0.001247  </v>
      </c>
      <c r="BA278" s="46" t="str">
        <f t="shared" si="1043"/>
        <v xml:space="preserve">-0.015046  </v>
      </c>
      <c r="BB278" s="46" t="str">
        <f t="shared" si="1051"/>
        <v xml:space="preserve"> 0.001006  </v>
      </c>
      <c r="BC278" s="46" t="str">
        <f t="shared" si="1052"/>
        <v xml:space="preserve">-0.000144  </v>
      </c>
      <c r="BD278" s="46" t="str">
        <f t="shared" si="1053"/>
        <v xml:space="preserve">_x000D_
                                                                                </v>
      </c>
      <c r="BE278" s="46" t="str">
        <f t="shared" si="1028"/>
        <v>-</v>
      </c>
      <c r="BF278" s="46" t="str">
        <f t="shared" si="1029"/>
        <v>-</v>
      </c>
      <c r="BG278" s="46" t="str">
        <f t="shared" si="1030"/>
        <v xml:space="preserve">27.000   </v>
      </c>
      <c r="BH278" s="46" t="str">
        <f t="shared" si="1031"/>
        <v xml:space="preserve">15.000   </v>
      </c>
      <c r="BI278" s="46" t="str">
        <f t="shared" si="1032"/>
        <v xml:space="preserve">12.000   </v>
      </c>
      <c r="BJ278" s="46" t="str">
        <f t="shared" si="1033"/>
        <v xml:space="preserve">-20.000   </v>
      </c>
      <c r="BM278" s="46" t="str">
        <f t="shared" si="1054"/>
        <v>Twb</v>
      </c>
      <c r="BN278" s="46" t="str">
        <f>R278</f>
        <v>Toadb</v>
      </c>
      <c r="BO278" s="46">
        <v>1</v>
      </c>
      <c r="BR278" s="46">
        <v>0</v>
      </c>
      <c r="BU278" s="116">
        <f t="shared" si="1034"/>
        <v>0.97491300916715673</v>
      </c>
      <c r="BV278" s="116"/>
      <c r="BW278" s="116">
        <f t="shared" si="1035"/>
        <v>0.988582839393777</v>
      </c>
    </row>
    <row r="279" spans="1:75" hidden="1" outlineLevel="1" x14ac:dyDescent="0.3">
      <c r="E279" s="13" t="s">
        <v>923</v>
      </c>
      <c r="F279" s="13" t="s">
        <v>772</v>
      </c>
      <c r="G279" s="22" t="s">
        <v>841</v>
      </c>
      <c r="H279" s="13" t="s">
        <v>806</v>
      </c>
      <c r="I279" s="13" t="s">
        <v>660</v>
      </c>
      <c r="J279" s="13" t="s">
        <v>912</v>
      </c>
      <c r="L279" s="13" t="s">
        <v>777</v>
      </c>
      <c r="M279" s="13" t="s">
        <v>794</v>
      </c>
      <c r="N279" s="13" t="str">
        <f t="shared" si="1045"/>
        <v>EPDef-VRFSysHtgEIRBdry_fToadbSI</v>
      </c>
      <c r="O279" s="13" t="s">
        <v>230</v>
      </c>
      <c r="P279" s="13" t="s">
        <v>800</v>
      </c>
      <c r="Q279" s="13" t="s">
        <v>460</v>
      </c>
      <c r="V279" s="13">
        <v>-7.6000882000000001</v>
      </c>
      <c r="W279" s="13">
        <v>3.0509001599999999</v>
      </c>
      <c r="X279" s="13">
        <v>-0.1162844</v>
      </c>
      <c r="Y279" s="13">
        <v>0</v>
      </c>
      <c r="AI279" s="13">
        <v>27</v>
      </c>
      <c r="AJ279" s="13">
        <v>15</v>
      </c>
      <c r="AM279" t="s">
        <v>925</v>
      </c>
      <c r="AO279" s="13">
        <v>1</v>
      </c>
      <c r="AP279" s="120" t="str">
        <f t="shared" si="1046"/>
        <v>CrvCubic       "EPDef-VRFSysHtgEIRBdry_fToadbSI"                                Coef1 = -7.600088  Coef2 =  3.050900  Coef3 = -0.116284  Coef4 =  0.000000  _x000D_
                                                                                MaxVar1 = 27.000   MinVar1 = 15.000   _x000D_
..</v>
      </c>
      <c r="AQ279" s="120" t="str">
        <f t="shared" si="1047"/>
        <v xml:space="preserve">CrvCubic       "EPDef-VRFSysHtgEIRBdry_fToadbSI"                                Coef1 = -7.600088  Coef2 =  3.050900  Coef3 = -0.116284  Coef4 =  0.000000  </v>
      </c>
      <c r="AR279" s="120" t="str">
        <f t="shared" si="1025"/>
        <v xml:space="preserve">_x000D_
                                                                                MaxVar1 = 27.000   MinVar1 = 15.000   </v>
      </c>
      <c r="AS279" s="120" t="str">
        <f t="shared" si="1048"/>
        <v>_x000D_
..</v>
      </c>
      <c r="AT279" s="13" t="str">
        <f t="shared" si="1049"/>
        <v>CrvCubic</v>
      </c>
      <c r="AU279" s="13" t="str">
        <f t="shared" si="1026"/>
        <v xml:space="preserve">       </v>
      </c>
      <c r="AV279" s="13" t="str">
        <f t="shared" si="1027"/>
        <v>"EPDef-VRFSysHtgEIRBdry_fToadbSI"</v>
      </c>
      <c r="AW279" s="13" t="str">
        <f t="shared" si="1050"/>
        <v xml:space="preserve">                                </v>
      </c>
      <c r="AX279" s="13" t="str">
        <f t="shared" si="1040"/>
        <v xml:space="preserve">-7.600088  </v>
      </c>
      <c r="AY279" s="13" t="str">
        <f t="shared" si="1041"/>
        <v xml:space="preserve"> 3.050900  </v>
      </c>
      <c r="AZ279" s="13" t="str">
        <f t="shared" si="1042"/>
        <v xml:space="preserve">-0.116284  </v>
      </c>
      <c r="BA279" s="13" t="str">
        <f t="shared" si="1043"/>
        <v xml:space="preserve"> 0.000000  </v>
      </c>
      <c r="BB279" s="13" t="str">
        <f t="shared" si="1051"/>
        <v>-</v>
      </c>
      <c r="BC279" s="13" t="str">
        <f t="shared" si="1052"/>
        <v>-</v>
      </c>
      <c r="BD279" s="13" t="str">
        <f t="shared" si="1053"/>
        <v xml:space="preserve">_x000D_
                                                                                </v>
      </c>
      <c r="BE279" s="13" t="str">
        <f t="shared" si="1028"/>
        <v>-</v>
      </c>
      <c r="BF279" s="13" t="str">
        <f t="shared" si="1029"/>
        <v>-</v>
      </c>
      <c r="BG279" s="13" t="str">
        <f t="shared" si="1030"/>
        <v xml:space="preserve">27.000   </v>
      </c>
      <c r="BH279" s="13" t="str">
        <f t="shared" si="1031"/>
        <v xml:space="preserve">15.000   </v>
      </c>
      <c r="BI279" s="13" t="str">
        <f t="shared" si="1032"/>
        <v>-</v>
      </c>
      <c r="BJ279" s="13" t="str">
        <f t="shared" si="1033"/>
        <v>-</v>
      </c>
      <c r="BM279" s="13" t="str">
        <f t="shared" si="1054"/>
        <v>Toadb</v>
      </c>
      <c r="BO279" s="13">
        <v>1</v>
      </c>
      <c r="BR279" s="13">
        <v>0</v>
      </c>
      <c r="BU279" s="104">
        <f t="shared" si="1034"/>
        <v>-4.6654724400000003</v>
      </c>
      <c r="BV279" s="115"/>
      <c r="BW279" s="104">
        <f t="shared" si="1035"/>
        <v>-7.6000882000000001</v>
      </c>
    </row>
    <row r="280" spans="1:75" s="46" customFormat="1" hidden="1" outlineLevel="1" x14ac:dyDescent="0.3">
      <c r="A280" s="60"/>
      <c r="D280" s="59"/>
      <c r="E280" s="46" t="s">
        <v>923</v>
      </c>
      <c r="F280" s="46" t="s">
        <v>773</v>
      </c>
      <c r="G280" s="59" t="s">
        <v>841</v>
      </c>
      <c r="H280" s="46" t="s">
        <v>806</v>
      </c>
      <c r="I280" s="46" t="s">
        <v>660</v>
      </c>
      <c r="J280" s="46" t="s">
        <v>912</v>
      </c>
      <c r="L280" s="46" t="s">
        <v>777</v>
      </c>
      <c r="M280" s="46" t="s">
        <v>795</v>
      </c>
      <c r="N280" s="46" t="str">
        <f t="shared" si="1045"/>
        <v>EPDef-VRFSysHtgEIRRatio_fTwbToadbHiSI</v>
      </c>
      <c r="O280" s="46" t="s">
        <v>165</v>
      </c>
      <c r="P280" s="46" t="s">
        <v>288</v>
      </c>
      <c r="Q280" s="46" t="s">
        <v>116</v>
      </c>
      <c r="R280" s="46" t="s">
        <v>460</v>
      </c>
      <c r="S280" s="46" t="s">
        <v>799</v>
      </c>
      <c r="V280" s="260">
        <f>2.504005146/0.8847564161</f>
        <v>2.8301633087190674</v>
      </c>
      <c r="W280" s="260">
        <f>-0.05736767/0.8847564161</f>
        <v>-6.4840072313774547E-2</v>
      </c>
      <c r="X280" s="263">
        <f>0.0000407/0.8847564161</f>
        <v>4.6001361797866706E-5</v>
      </c>
      <c r="Y280" s="260">
        <f>-0.12959669/0.8847564161</f>
        <v>-0.14647725367311976</v>
      </c>
      <c r="Z280" s="260">
        <f>0.00135839/0.8847564161</f>
        <v>1.535326532005016E-3</v>
      </c>
      <c r="AA280" s="263">
        <f>0.00317/0.8847564161</f>
        <v>3.5829070491213135E-3</v>
      </c>
      <c r="AB280" s="260"/>
      <c r="AC280" s="260"/>
      <c r="AD280" s="260"/>
      <c r="AE280" s="260"/>
      <c r="AF280" s="260"/>
      <c r="AG280" s="260"/>
      <c r="AH280" s="260"/>
      <c r="AI280" s="260">
        <v>27</v>
      </c>
      <c r="AJ280" s="260">
        <v>15</v>
      </c>
      <c r="AK280" s="260">
        <v>15</v>
      </c>
      <c r="AL280" s="260">
        <v>-10</v>
      </c>
      <c r="AM280" s="261" t="s">
        <v>925</v>
      </c>
      <c r="AO280" s="46">
        <v>1</v>
      </c>
      <c r="AP280" s="262" t="str">
        <f t="shared" si="1046"/>
        <v>CrvDblQuad     "EPDef-VRFSysHtgEIRRatio_fTwbToadbHiSI"                          Coef1 =  2.830163  Coef2 = -0.064840  Coef3 =  0.000046  Coef4 = -0.146477  Coef5 =  0.001535  Coef6 =  0.003583  _x000D_
                                                                                MaxVar1 = 27.000   MinVar1 = 15.000   MaxVar2 = 15.000   MinVar2 = -10.000   _x000D_
..</v>
      </c>
      <c r="AQ280" s="262" t="str">
        <f t="shared" si="1047"/>
        <v xml:space="preserve">CrvDblQuad     "EPDef-VRFSysHtgEIRRatio_fTwbToadbHiSI"                          Coef1 =  2.830163  Coef2 = -0.064840  Coef3 =  0.000046  Coef4 = -0.146477  Coef5 =  0.001535  Coef6 =  0.003583  </v>
      </c>
      <c r="AR280" s="262" t="str">
        <f t="shared" si="1025"/>
        <v xml:space="preserve">_x000D_
                                                                                MaxVar1 = 27.000   MinVar1 = 15.000   MaxVar2 = 15.000   MinVar2 = -10.000   </v>
      </c>
      <c r="AS280" s="262" t="str">
        <f t="shared" si="1048"/>
        <v>_x000D_
..</v>
      </c>
      <c r="AT280" s="46" t="str">
        <f t="shared" si="1049"/>
        <v>CrvDblQuad</v>
      </c>
      <c r="AU280" s="46" t="str">
        <f t="shared" si="1026"/>
        <v xml:space="preserve">     </v>
      </c>
      <c r="AV280" s="46" t="str">
        <f t="shared" si="1027"/>
        <v>"EPDef-VRFSysHtgEIRRatio_fTwbToadbHiSI"</v>
      </c>
      <c r="AW280" s="46" t="str">
        <f t="shared" si="1050"/>
        <v xml:space="preserve">                          </v>
      </c>
      <c r="AX280" s="46" t="str">
        <f t="shared" si="1040"/>
        <v xml:space="preserve"> 2.830163  </v>
      </c>
      <c r="AY280" s="46" t="str">
        <f t="shared" si="1041"/>
        <v xml:space="preserve">-0.064840  </v>
      </c>
      <c r="AZ280" s="46" t="str">
        <f t="shared" si="1042"/>
        <v xml:space="preserve"> 0.000046  </v>
      </c>
      <c r="BA280" s="46" t="str">
        <f t="shared" si="1043"/>
        <v xml:space="preserve">-0.146477  </v>
      </c>
      <c r="BB280" s="46" t="str">
        <f t="shared" si="1051"/>
        <v xml:space="preserve"> 0.001535  </v>
      </c>
      <c r="BC280" s="46" t="str">
        <f t="shared" si="1052"/>
        <v xml:space="preserve"> 0.003583  </v>
      </c>
      <c r="BD280" s="46" t="str">
        <f t="shared" si="1053"/>
        <v xml:space="preserve">_x000D_
                                                                                </v>
      </c>
      <c r="BE280" s="46" t="str">
        <f t="shared" si="1028"/>
        <v>-</v>
      </c>
      <c r="BF280" s="46" t="str">
        <f t="shared" si="1029"/>
        <v>-</v>
      </c>
      <c r="BG280" s="46" t="str">
        <f t="shared" si="1030"/>
        <v xml:space="preserve">27.000   </v>
      </c>
      <c r="BH280" s="46" t="str">
        <f t="shared" si="1031"/>
        <v xml:space="preserve">15.000   </v>
      </c>
      <c r="BI280" s="46" t="str">
        <f t="shared" si="1032"/>
        <v xml:space="preserve">15.000   </v>
      </c>
      <c r="BJ280" s="46" t="str">
        <f t="shared" si="1033"/>
        <v xml:space="preserve">-10.000   </v>
      </c>
      <c r="BM280" s="46" t="str">
        <f t="shared" si="1054"/>
        <v>Twb</v>
      </c>
      <c r="BN280" s="46" t="str">
        <f>R280</f>
        <v>Toadb</v>
      </c>
      <c r="BO280" s="46">
        <v>1</v>
      </c>
      <c r="BR280" s="46">
        <v>0</v>
      </c>
      <c r="BU280" s="116">
        <f t="shared" si="1034"/>
        <v>2.7653692377670906</v>
      </c>
      <c r="BV280" s="116"/>
      <c r="BW280" s="116">
        <f t="shared" si="1035"/>
        <v>2.8301633087190674</v>
      </c>
    </row>
    <row r="281" spans="1:75" hidden="1" outlineLevel="1" x14ac:dyDescent="0.3">
      <c r="E281" s="13" t="s">
        <v>923</v>
      </c>
      <c r="F281" s="13" t="s">
        <v>774</v>
      </c>
      <c r="G281" s="22" t="s">
        <v>841</v>
      </c>
      <c r="H281" s="13" t="s">
        <v>806</v>
      </c>
      <c r="I281" s="13" t="s">
        <v>660</v>
      </c>
      <c r="J281" s="13" t="s">
        <v>912</v>
      </c>
      <c r="L281" s="13" t="s">
        <v>777</v>
      </c>
      <c r="M281" s="13" t="s">
        <v>796</v>
      </c>
      <c r="N281" s="13" t="str">
        <f t="shared" si="1045"/>
        <v>EPDef-VRFSysHtgEIRRatio_fPLRLowSI</v>
      </c>
      <c r="O281" s="13" t="s">
        <v>230</v>
      </c>
      <c r="P281" s="13" t="s">
        <v>288</v>
      </c>
      <c r="Q281" s="13" t="s">
        <v>28</v>
      </c>
      <c r="R281" s="13" t="s">
        <v>798</v>
      </c>
      <c r="V281" s="13">
        <v>0.1400093</v>
      </c>
      <c r="W281" s="13">
        <v>0.64150019999999996</v>
      </c>
      <c r="X281" s="13">
        <v>0.13390469999999999</v>
      </c>
      <c r="Y281" s="13">
        <v>8.4585900000000006E-2</v>
      </c>
      <c r="AI281" s="13">
        <v>1</v>
      </c>
      <c r="AJ281" s="13">
        <v>0</v>
      </c>
      <c r="AM281" t="s">
        <v>925</v>
      </c>
      <c r="AO281" s="13">
        <v>1</v>
      </c>
      <c r="AP281" s="120" t="str">
        <f t="shared" si="1046"/>
        <v>CrvCubic       "EPDef-VRFSysHtgEIRRatio_fPLRLowSI"                              Coef1 =  0.140009  Coef2 =  0.641500  Coef3 =  0.133905  Coef4 =  0.084586  _x000D_
                                                                                MaxVar1 = 1.000   MinVar1 = 0.000   _x000D_
..</v>
      </c>
      <c r="AQ281" s="120" t="str">
        <f t="shared" si="1047"/>
        <v xml:space="preserve">CrvCubic       "EPDef-VRFSysHtgEIRRatio_fPLRLowSI"                              Coef1 =  0.140009  Coef2 =  0.641500  Coef3 =  0.133905  Coef4 =  0.084586  </v>
      </c>
      <c r="AR281" s="120" t="str">
        <f t="shared" si="1025"/>
        <v xml:space="preserve">_x000D_
                                                                                MaxVar1 = 1.000   MinVar1 = 0.000   </v>
      </c>
      <c r="AS281" s="120" t="str">
        <f t="shared" si="1048"/>
        <v>_x000D_
..</v>
      </c>
      <c r="AT281" s="13" t="str">
        <f t="shared" si="1049"/>
        <v>CrvCubic</v>
      </c>
      <c r="AU281" s="13" t="str">
        <f t="shared" si="1026"/>
        <v xml:space="preserve">       </v>
      </c>
      <c r="AV281" s="13" t="str">
        <f t="shared" si="1027"/>
        <v>"EPDef-VRFSysHtgEIRRatio_fPLRLowSI"</v>
      </c>
      <c r="AW281" s="13" t="str">
        <f t="shared" si="1050"/>
        <v xml:space="preserve">                              </v>
      </c>
      <c r="AX281" s="13" t="str">
        <f t="shared" si="1040"/>
        <v xml:space="preserve"> 0.140009  </v>
      </c>
      <c r="AY281" s="13" t="str">
        <f t="shared" si="1041"/>
        <v xml:space="preserve"> 0.641500  </v>
      </c>
      <c r="AZ281" s="13" t="str">
        <f t="shared" si="1042"/>
        <v xml:space="preserve"> 0.133905  </v>
      </c>
      <c r="BA281" s="13" t="str">
        <f t="shared" si="1043"/>
        <v xml:space="preserve"> 0.084586  </v>
      </c>
      <c r="BB281" s="13" t="str">
        <f t="shared" si="1051"/>
        <v>-</v>
      </c>
      <c r="BC281" s="13" t="str">
        <f t="shared" si="1052"/>
        <v>-</v>
      </c>
      <c r="BD281" s="13" t="str">
        <f t="shared" si="1053"/>
        <v xml:space="preserve">_x000D_
                                                                                </v>
      </c>
      <c r="BE281" s="13" t="str">
        <f t="shared" si="1028"/>
        <v>-</v>
      </c>
      <c r="BF281" s="13" t="str">
        <f t="shared" si="1029"/>
        <v>-</v>
      </c>
      <c r="BG281" s="13" t="str">
        <f t="shared" si="1030"/>
        <v xml:space="preserve">1.000   </v>
      </c>
      <c r="BH281" s="13" t="str">
        <f t="shared" si="1031"/>
        <v xml:space="preserve">0.000   </v>
      </c>
      <c r="BI281" s="13" t="str">
        <f t="shared" si="1032"/>
        <v>-</v>
      </c>
      <c r="BJ281" s="13" t="str">
        <f t="shared" si="1033"/>
        <v>-</v>
      </c>
      <c r="BM281" s="13" t="str">
        <f t="shared" si="1054"/>
        <v>PLR</v>
      </c>
      <c r="BN281" s="13" t="str">
        <f>R281</f>
        <v>Low</v>
      </c>
      <c r="BO281" s="13">
        <v>1</v>
      </c>
      <c r="BR281" s="13">
        <v>0</v>
      </c>
      <c r="BU281" s="104">
        <f t="shared" si="1034"/>
        <v>0.91541419999999996</v>
      </c>
      <c r="BV281" s="115"/>
      <c r="BW281" s="104">
        <f t="shared" si="1035"/>
        <v>0.1400093</v>
      </c>
    </row>
    <row r="282" spans="1:75" hidden="1" outlineLevel="1" x14ac:dyDescent="0.3">
      <c r="E282" s="13" t="s">
        <v>923</v>
      </c>
      <c r="F282" s="13" t="s">
        <v>775</v>
      </c>
      <c r="G282" s="22" t="s">
        <v>841</v>
      </c>
      <c r="H282" s="13" t="s">
        <v>806</v>
      </c>
      <c r="I282" s="13" t="s">
        <v>660</v>
      </c>
      <c r="J282" s="13" t="s">
        <v>912</v>
      </c>
      <c r="L282" s="13" t="s">
        <v>777</v>
      </c>
      <c r="M282" s="13" t="s">
        <v>797</v>
      </c>
      <c r="N282" s="13" t="str">
        <f t="shared" si="1045"/>
        <v>EPDef-VRFSysHtgEIRRatio_fPLRHiSI</v>
      </c>
      <c r="O282" s="13" t="s">
        <v>162</v>
      </c>
      <c r="P282" s="13" t="s">
        <v>288</v>
      </c>
      <c r="Q282" s="13" t="s">
        <v>28</v>
      </c>
      <c r="R282" s="13" t="s">
        <v>799</v>
      </c>
      <c r="V282" s="33">
        <v>2.4294359999999999</v>
      </c>
      <c r="W282" s="33">
        <v>-2.235887</v>
      </c>
      <c r="X282" s="33">
        <v>0.80645199999999995</v>
      </c>
      <c r="AI282" s="13">
        <v>1.5</v>
      </c>
      <c r="AJ282" s="13">
        <v>1</v>
      </c>
      <c r="AM282" t="s">
        <v>925</v>
      </c>
      <c r="AO282" s="13">
        <v>1</v>
      </c>
      <c r="AP282" s="120" t="str">
        <f t="shared" si="1046"/>
        <v>CrvQuad        "EPDef-VRFSysHtgEIRRatio_fPLRHiSI"                               Coef1 =  2.429436  Coef2 = -2.235887  Coef3 =  0.806452  _x000D_
                                                                                MaxVar1 = 1.500   MinVar1 = 1.000   _x000D_
..</v>
      </c>
      <c r="AQ282" s="120" t="str">
        <f t="shared" si="1047"/>
        <v xml:space="preserve">CrvQuad        "EPDef-VRFSysHtgEIRRatio_fPLRHiSI"                               Coef1 =  2.429436  Coef2 = -2.235887  Coef3 =  0.806452  </v>
      </c>
      <c r="AR282" s="120" t="str">
        <f t="shared" si="1025"/>
        <v xml:space="preserve">_x000D_
                                                                                MaxVar1 = 1.500   MinVar1 = 1.000   </v>
      </c>
      <c r="AS282" s="120" t="str">
        <f t="shared" si="1048"/>
        <v>_x000D_
..</v>
      </c>
      <c r="AT282" s="13" t="str">
        <f t="shared" si="1049"/>
        <v>CrvQuad</v>
      </c>
      <c r="AU282" s="13" t="str">
        <f t="shared" si="1026"/>
        <v xml:space="preserve">        </v>
      </c>
      <c r="AV282" s="13" t="str">
        <f t="shared" si="1027"/>
        <v>"EPDef-VRFSysHtgEIRRatio_fPLRHiSI"</v>
      </c>
      <c r="AW282" s="13" t="str">
        <f t="shared" si="1050"/>
        <v xml:space="preserve">                               </v>
      </c>
      <c r="AX282" s="13" t="str">
        <f t="shared" si="1040"/>
        <v xml:space="preserve"> 2.429436  </v>
      </c>
      <c r="AY282" s="13" t="str">
        <f t="shared" si="1041"/>
        <v xml:space="preserve">-2.235887  </v>
      </c>
      <c r="AZ282" s="13" t="str">
        <f t="shared" si="1042"/>
        <v xml:space="preserve"> 0.806452  </v>
      </c>
      <c r="BA282" s="13" t="str">
        <f t="shared" si="1043"/>
        <v>-</v>
      </c>
      <c r="BB282" s="13" t="str">
        <f t="shared" si="1051"/>
        <v>-</v>
      </c>
      <c r="BC282" s="13" t="str">
        <f t="shared" si="1052"/>
        <v>-</v>
      </c>
      <c r="BD282" s="13" t="str">
        <f t="shared" si="1053"/>
        <v xml:space="preserve">_x000D_
                                                                                </v>
      </c>
      <c r="BE282" s="13" t="str">
        <f t="shared" si="1028"/>
        <v>-</v>
      </c>
      <c r="BF282" s="13" t="str">
        <f t="shared" si="1029"/>
        <v>-</v>
      </c>
      <c r="BG282" s="13" t="str">
        <f t="shared" si="1030"/>
        <v xml:space="preserve">1.500   </v>
      </c>
      <c r="BH282" s="13" t="str">
        <f t="shared" si="1031"/>
        <v xml:space="preserve">1.000   </v>
      </c>
      <c r="BI282" s="13" t="str">
        <f t="shared" si="1032"/>
        <v>-</v>
      </c>
      <c r="BJ282" s="13" t="str">
        <f t="shared" si="1033"/>
        <v>-</v>
      </c>
      <c r="BM282" s="13" t="str">
        <f t="shared" si="1054"/>
        <v>PLR</v>
      </c>
      <c r="BN282" s="13" t="str">
        <f>R282</f>
        <v>Hi</v>
      </c>
      <c r="BO282" s="13">
        <v>1</v>
      </c>
      <c r="BR282" s="13">
        <v>0</v>
      </c>
      <c r="BU282" s="104">
        <f t="shared" si="1034"/>
        <v>1.0000009999999999</v>
      </c>
      <c r="BV282" s="115"/>
      <c r="BW282" s="104">
        <f t="shared" si="1035"/>
        <v>2.4294359999999999</v>
      </c>
    </row>
    <row r="283" spans="1:75" hidden="1" outlineLevel="1" x14ac:dyDescent="0.3">
      <c r="E283" s="13" t="s">
        <v>923</v>
      </c>
      <c r="F283" s="13" t="s">
        <v>809</v>
      </c>
      <c r="G283" s="22" t="s">
        <v>841</v>
      </c>
      <c r="H283" s="13" t="s">
        <v>806</v>
      </c>
      <c r="I283" s="13" t="s">
        <v>660</v>
      </c>
      <c r="J283" s="13" t="s">
        <v>912</v>
      </c>
      <c r="L283" s="13" t="s">
        <v>777</v>
      </c>
      <c r="M283" s="13" t="s">
        <v>812</v>
      </c>
      <c r="N283" s="13" t="str">
        <f t="shared" si="1045"/>
        <v>EPDef-VRFSysHtgEIRRatio_fCycRatSI</v>
      </c>
      <c r="O283" s="13" t="s">
        <v>230</v>
      </c>
      <c r="P283" s="13" t="s">
        <v>288</v>
      </c>
      <c r="Q283" s="13" t="s">
        <v>804</v>
      </c>
      <c r="V283" s="33">
        <v>0.85</v>
      </c>
      <c r="W283" s="33">
        <v>0.15</v>
      </c>
      <c r="X283" s="33">
        <v>0</v>
      </c>
      <c r="Y283" s="33">
        <v>0</v>
      </c>
      <c r="AI283" s="13">
        <v>1</v>
      </c>
      <c r="AJ283" s="13">
        <v>0</v>
      </c>
      <c r="AM283" t="s">
        <v>925</v>
      </c>
      <c r="AO283" s="13">
        <v>1</v>
      </c>
      <c r="AP283" s="120" t="str">
        <f t="shared" si="1046"/>
        <v>CrvCubic       "EPDef-VRFSysHtgEIRRatio_fCycRatSI"                              Coef1 =  0.850000  Coef2 =  0.150000  Coef3 =  0.000000  Coef4 =  0.000000  _x000D_
                                                                                MaxVar1 = 1.000   MinVar1 = 0.000   _x000D_
..</v>
      </c>
      <c r="AQ283" s="120" t="str">
        <f t="shared" si="1047"/>
        <v xml:space="preserve">CrvCubic       "EPDef-VRFSysHtgEIRRatio_fCycRatSI"                              Coef1 =  0.850000  Coef2 =  0.150000  Coef3 =  0.000000  Coef4 =  0.000000  </v>
      </c>
      <c r="AR283" s="120" t="str">
        <f t="shared" si="1025"/>
        <v xml:space="preserve">_x000D_
                                                                                MaxVar1 = 1.000   MinVar1 = 0.000   </v>
      </c>
      <c r="AS283" s="120" t="str">
        <f t="shared" si="1048"/>
        <v>_x000D_
..</v>
      </c>
      <c r="AT283" s="13" t="str">
        <f t="shared" si="1049"/>
        <v>CrvCubic</v>
      </c>
      <c r="AU283" s="13" t="str">
        <f t="shared" si="1026"/>
        <v xml:space="preserve">       </v>
      </c>
      <c r="AV283" s="13" t="str">
        <f t="shared" si="1027"/>
        <v>"EPDef-VRFSysHtgEIRRatio_fCycRatSI"</v>
      </c>
      <c r="AW283" s="13" t="str">
        <f t="shared" si="1050"/>
        <v xml:space="preserve">                              </v>
      </c>
      <c r="AX283" s="13" t="str">
        <f t="shared" si="1040"/>
        <v xml:space="preserve"> 0.850000  </v>
      </c>
      <c r="AY283" s="13" t="str">
        <f t="shared" si="1041"/>
        <v xml:space="preserve"> 0.150000  </v>
      </c>
      <c r="AZ283" s="13" t="str">
        <f t="shared" si="1042"/>
        <v xml:space="preserve"> 0.000000  </v>
      </c>
      <c r="BA283" s="13" t="str">
        <f t="shared" si="1043"/>
        <v xml:space="preserve"> 0.000000  </v>
      </c>
      <c r="BB283" s="13" t="str">
        <f t="shared" si="1051"/>
        <v>-</v>
      </c>
      <c r="BC283" s="13" t="str">
        <f t="shared" si="1052"/>
        <v>-</v>
      </c>
      <c r="BD283" s="13" t="str">
        <f t="shared" si="1053"/>
        <v xml:space="preserve">_x000D_
                                                                                </v>
      </c>
      <c r="BE283" s="13" t="str">
        <f t="shared" si="1028"/>
        <v>-</v>
      </c>
      <c r="BF283" s="13" t="str">
        <f t="shared" si="1029"/>
        <v>-</v>
      </c>
      <c r="BG283" s="13" t="str">
        <f t="shared" si="1030"/>
        <v xml:space="preserve">1.000   </v>
      </c>
      <c r="BH283" s="13" t="str">
        <f t="shared" si="1031"/>
        <v xml:space="preserve">0.000   </v>
      </c>
      <c r="BI283" s="13" t="str">
        <f t="shared" si="1032"/>
        <v>-</v>
      </c>
      <c r="BJ283" s="13" t="str">
        <f t="shared" si="1033"/>
        <v>-</v>
      </c>
      <c r="BM283" s="13" t="str">
        <f t="shared" si="1054"/>
        <v>CycRat</v>
      </c>
      <c r="BO283" s="13">
        <v>1</v>
      </c>
      <c r="BR283" s="13">
        <v>0</v>
      </c>
      <c r="BU283" s="104">
        <f t="shared" si="1034"/>
        <v>1</v>
      </c>
      <c r="BV283" s="115"/>
      <c r="BW283" s="104">
        <f t="shared" si="1035"/>
        <v>0.85</v>
      </c>
    </row>
    <row r="284" spans="1:75" hidden="1" outlineLevel="1" x14ac:dyDescent="0.3">
      <c r="B284" s="137"/>
      <c r="E284" s="13" t="s">
        <v>923</v>
      </c>
      <c r="F284" s="13" t="s">
        <v>776</v>
      </c>
      <c r="G284" s="22" t="s">
        <v>841</v>
      </c>
      <c r="H284" s="13" t="s">
        <v>808</v>
      </c>
      <c r="I284" s="13" t="s">
        <v>660</v>
      </c>
      <c r="J284" s="13" t="s">
        <v>912</v>
      </c>
      <c r="L284" s="13" t="s">
        <v>777</v>
      </c>
      <c r="M284" s="13" t="s">
        <v>811</v>
      </c>
      <c r="N284" s="13" t="str">
        <f t="shared" si="1045"/>
        <v>EPDef-VRFSysHtRcvryHtgEIRRatio_fTwbToadbSI</v>
      </c>
      <c r="O284" s="13" t="s">
        <v>165</v>
      </c>
      <c r="P284" s="13" t="s">
        <v>288</v>
      </c>
      <c r="Q284" s="13" t="s">
        <v>116</v>
      </c>
      <c r="R284" s="13" t="s">
        <v>460</v>
      </c>
      <c r="V284" s="33">
        <v>1.1000000000000001</v>
      </c>
      <c r="W284" s="33">
        <v>0</v>
      </c>
      <c r="X284" s="33">
        <v>0</v>
      </c>
      <c r="Y284" s="33">
        <v>0</v>
      </c>
      <c r="Z284" s="33">
        <v>0</v>
      </c>
      <c r="AA284" s="33">
        <v>0</v>
      </c>
      <c r="AI284" s="13">
        <v>1</v>
      </c>
      <c r="AJ284" s="13">
        <v>0</v>
      </c>
      <c r="AM284" s="31" t="s">
        <v>924</v>
      </c>
      <c r="AO284" s="13">
        <v>1</v>
      </c>
      <c r="AP284" s="120" t="str">
        <f t="shared" si="1046"/>
        <v>CrvDblQuad     "EPDef-VRFSysHtRcvryHtgEIRRatio_fTwbToadbSI"                     Coef1 =  1.100000  Coef2 =  0.000000  Coef3 =  0.000000  Coef4 =  0.000000  Coef5 =  0.000000  Coef6 =  0.000000  _x000D_
                                                                                MaxVar1 = 1.000   MinVar1 = 0.000   _x000D_
..</v>
      </c>
      <c r="AQ284" s="120" t="str">
        <f t="shared" si="1047"/>
        <v xml:space="preserve">CrvDblQuad     "EPDef-VRFSysHtRcvryHtgEIRRatio_fTwbToadbSI"                     Coef1 =  1.100000  Coef2 =  0.000000  Coef3 =  0.000000  Coef4 =  0.000000  Coef5 =  0.000000  Coef6 =  0.000000  </v>
      </c>
      <c r="AR284" s="120" t="str">
        <f t="shared" si="1025"/>
        <v xml:space="preserve">_x000D_
                                                                                MaxVar1 = 1.000   MinVar1 = 0.000   </v>
      </c>
      <c r="AS284" s="120" t="str">
        <f t="shared" si="1048"/>
        <v>_x000D_
..</v>
      </c>
      <c r="AT284" s="13" t="str">
        <f t="shared" si="1049"/>
        <v>CrvDblQuad</v>
      </c>
      <c r="AU284" s="13" t="str">
        <f t="shared" si="1026"/>
        <v xml:space="preserve">     </v>
      </c>
      <c r="AV284" s="13" t="str">
        <f t="shared" si="1027"/>
        <v>"EPDef-VRFSysHtRcvryHtgEIRRatio_fTwbToadbSI"</v>
      </c>
      <c r="AW284" s="13" t="str">
        <f t="shared" si="1050"/>
        <v xml:space="preserve">                     </v>
      </c>
      <c r="AX284" s="13" t="str">
        <f t="shared" si="1040"/>
        <v xml:space="preserve"> 1.100000  </v>
      </c>
      <c r="AY284" s="13" t="str">
        <f t="shared" si="1041"/>
        <v xml:space="preserve"> 0.000000  </v>
      </c>
      <c r="AZ284" s="13" t="str">
        <f t="shared" si="1042"/>
        <v xml:space="preserve"> 0.000000  </v>
      </c>
      <c r="BA284" s="13" t="str">
        <f t="shared" si="1043"/>
        <v xml:space="preserve"> 0.000000  </v>
      </c>
      <c r="BB284" s="13" t="str">
        <f t="shared" si="1051"/>
        <v xml:space="preserve"> 0.000000  </v>
      </c>
      <c r="BC284" s="13" t="str">
        <f t="shared" si="1052"/>
        <v xml:space="preserve"> 0.000000  </v>
      </c>
      <c r="BD284" s="13" t="str">
        <f t="shared" si="1053"/>
        <v xml:space="preserve">_x000D_
                                                                                </v>
      </c>
      <c r="BE284" s="13" t="str">
        <f t="shared" si="1028"/>
        <v>-</v>
      </c>
      <c r="BF284" s="13" t="str">
        <f t="shared" si="1029"/>
        <v>-</v>
      </c>
      <c r="BG284" s="13" t="str">
        <f t="shared" si="1030"/>
        <v xml:space="preserve">1.000   </v>
      </c>
      <c r="BH284" s="13" t="str">
        <f t="shared" si="1031"/>
        <v xml:space="preserve">0.000   </v>
      </c>
      <c r="BI284" s="13" t="str">
        <f t="shared" si="1032"/>
        <v>-</v>
      </c>
      <c r="BJ284" s="13" t="str">
        <f t="shared" si="1033"/>
        <v>-</v>
      </c>
      <c r="BM284" s="13" t="str">
        <f t="shared" si="1054"/>
        <v>Twb</v>
      </c>
      <c r="BN284" s="13" t="str">
        <f>R284</f>
        <v>Toadb</v>
      </c>
      <c r="BO284" s="13">
        <v>1</v>
      </c>
      <c r="BR284" s="13">
        <v>0</v>
      </c>
      <c r="BU284" s="104">
        <f t="shared" si="1034"/>
        <v>1.1000000000000001</v>
      </c>
      <c r="BV284" s="115"/>
      <c r="BW284" s="104">
        <f t="shared" si="1035"/>
        <v>1.1000000000000001</v>
      </c>
    </row>
    <row r="285" spans="1:75" hidden="1" outlineLevel="1" x14ac:dyDescent="0.3">
      <c r="B285" s="13" t="s">
        <v>926</v>
      </c>
      <c r="D285" s="22" t="s">
        <v>816</v>
      </c>
      <c r="E285" s="13" t="s">
        <v>923</v>
      </c>
      <c r="F285" s="13" t="s">
        <v>817</v>
      </c>
      <c r="G285" s="22" t="s">
        <v>841</v>
      </c>
      <c r="H285" s="13" t="s">
        <v>805</v>
      </c>
      <c r="I285" s="13" t="s">
        <v>660</v>
      </c>
      <c r="J285" s="13" t="s">
        <v>912</v>
      </c>
      <c r="L285" s="13" t="s">
        <v>777</v>
      </c>
      <c r="M285" s="13" t="s">
        <v>819</v>
      </c>
      <c r="N285" s="13" t="str">
        <f t="shared" si="1045"/>
        <v>EPDef-VRFSysClgPipeLoss_fLenCombRatSI</v>
      </c>
      <c r="O285" s="13" t="s">
        <v>165</v>
      </c>
      <c r="P285" s="13" t="s">
        <v>821</v>
      </c>
      <c r="Q285" s="13" t="s">
        <v>822</v>
      </c>
      <c r="R285" s="13" t="s">
        <v>802</v>
      </c>
      <c r="V285" s="33">
        <v>1.0693790000000001</v>
      </c>
      <c r="W285" s="33">
        <v>-1.495E-3</v>
      </c>
      <c r="X285" s="33">
        <v>3.0000000000000001E-6</v>
      </c>
      <c r="Y285" s="33">
        <v>-0.11511</v>
      </c>
      <c r="Z285" s="33">
        <v>5.1117000000000003E-2</v>
      </c>
      <c r="AA285" s="33">
        <v>-4.37E-4</v>
      </c>
      <c r="AI285" s="13">
        <v>175</v>
      </c>
      <c r="AJ285" s="13">
        <v>8</v>
      </c>
      <c r="AK285" s="13">
        <v>1.5</v>
      </c>
      <c r="AL285" s="13">
        <v>0.5</v>
      </c>
      <c r="AM285" t="s">
        <v>925</v>
      </c>
      <c r="AO285" s="13">
        <v>1</v>
      </c>
      <c r="AP285" s="120" t="str">
        <f t="shared" si="1046"/>
        <v>CrvDblQuad     "EPDef-VRFSysClgPipeLoss_fLenCombRatSI"                          Coef1 =  1.069379  Coef2 = -0.001495  Coef3 =  0.000003  Coef4 = -0.115110  Coef5 =  0.051117  Coef6 = -0.000437  _x000D_
                                                                                MaxVar1 = 175.000   MinVar1 = 8.000   MaxVar2 = 1.500   MinVar2 = 0.500   _x000D_
..</v>
      </c>
      <c r="AQ285" s="120" t="str">
        <f t="shared" si="1047"/>
        <v xml:space="preserve">CrvDblQuad     "EPDef-VRFSysClgPipeLoss_fLenCombRatSI"                          Coef1 =  1.069379  Coef2 = -0.001495  Coef3 =  0.000003  Coef4 = -0.115110  Coef5 =  0.051117  Coef6 = -0.000437  </v>
      </c>
      <c r="AR285" s="120" t="str">
        <f t="shared" ref="AR285:AR286" si="1055">IF(AO285=1,CONCATENATE(BD285,IF(BE285="-","",$BE$15&amp;BE285),IF(BF285="-","",$BF$15&amp;BF285),IF(BG285="-","",$BG$15&amp;BG285),IF(BH285="-","",$BH$15&amp;BH285),IF(BI285="-","",$BI$15&amp;BI285),IF(BJ285="-","",$BJ$15&amp;BJ285)),"")</f>
        <v xml:space="preserve">_x000D_
                                                                                MaxVar1 = 175.000   MinVar1 = 8.000   MaxVar2 = 1.500   MinVar2 = 0.500   </v>
      </c>
      <c r="AS285" s="120" t="str">
        <f t="shared" si="1048"/>
        <v>_x000D_
..</v>
      </c>
      <c r="AT285" s="13" t="str">
        <f t="shared" si="1049"/>
        <v>CrvDblQuad</v>
      </c>
      <c r="AU285" s="13" t="str">
        <f t="shared" si="1026"/>
        <v xml:space="preserve">     </v>
      </c>
      <c r="AV285" s="13" t="str">
        <f t="shared" si="1027"/>
        <v>"EPDef-VRFSysClgPipeLoss_fLenCombRatSI"</v>
      </c>
      <c r="AW285" s="13" t="str">
        <f t="shared" si="1050"/>
        <v xml:space="preserve">                          </v>
      </c>
      <c r="AX285" s="13" t="str">
        <f t="shared" si="1040"/>
        <v xml:space="preserve"> 1.069379  </v>
      </c>
      <c r="AY285" s="13" t="str">
        <f t="shared" si="1041"/>
        <v xml:space="preserve">-0.001495  </v>
      </c>
      <c r="AZ285" s="13" t="str">
        <f t="shared" si="1042"/>
        <v xml:space="preserve"> 0.000003  </v>
      </c>
      <c r="BA285" s="13" t="str">
        <f t="shared" si="1043"/>
        <v xml:space="preserve">-0.115110  </v>
      </c>
      <c r="BB285" s="13" t="str">
        <f t="shared" si="1051"/>
        <v xml:space="preserve"> 0.051117  </v>
      </c>
      <c r="BC285" s="13" t="str">
        <f t="shared" si="1052"/>
        <v xml:space="preserve">-0.000437  </v>
      </c>
      <c r="BD285" s="13" t="str">
        <f t="shared" si="1053"/>
        <v xml:space="preserve">_x000D_
                                                                                </v>
      </c>
      <c r="BE285" s="13" t="str">
        <f t="shared" si="1028"/>
        <v>-</v>
      </c>
      <c r="BF285" s="13" t="str">
        <f t="shared" si="1029"/>
        <v>-</v>
      </c>
      <c r="BG285" s="13" t="str">
        <f t="shared" si="1030"/>
        <v xml:space="preserve">175.000   </v>
      </c>
      <c r="BH285" s="13" t="str">
        <f t="shared" si="1031"/>
        <v xml:space="preserve">8.000   </v>
      </c>
      <c r="BI285" s="13" t="str">
        <f t="shared" si="1032"/>
        <v xml:space="preserve">1.500   </v>
      </c>
      <c r="BJ285" s="13" t="str">
        <f t="shared" si="1033"/>
        <v xml:space="preserve">0.500   </v>
      </c>
      <c r="BM285" s="13" t="str">
        <f t="shared" si="1054"/>
        <v>Len</v>
      </c>
      <c r="BO285" s="13">
        <v>1</v>
      </c>
      <c r="BR285" s="13">
        <v>0</v>
      </c>
      <c r="BU285" s="104">
        <f t="shared" si="1034"/>
        <v>1.067887</v>
      </c>
      <c r="BV285" s="115"/>
      <c r="BW285" s="104">
        <f t="shared" si="1035"/>
        <v>1.0693790000000001</v>
      </c>
    </row>
    <row r="286" spans="1:75" hidden="1" outlineLevel="1" x14ac:dyDescent="0.3">
      <c r="B286" s="137"/>
      <c r="E286" s="13" t="s">
        <v>923</v>
      </c>
      <c r="F286" s="13" t="s">
        <v>818</v>
      </c>
      <c r="G286" s="22" t="s">
        <v>841</v>
      </c>
      <c r="H286" s="13" t="s">
        <v>806</v>
      </c>
      <c r="I286" s="13" t="s">
        <v>660</v>
      </c>
      <c r="J286" s="13" t="s">
        <v>912</v>
      </c>
      <c r="L286" s="13" t="s">
        <v>777</v>
      </c>
      <c r="M286" s="13" t="s">
        <v>820</v>
      </c>
      <c r="N286" s="13" t="str">
        <f t="shared" si="1045"/>
        <v>EPDef-VRFSysHtgPipeLoss_fLenCombRatSI</v>
      </c>
      <c r="O286" s="13" t="s">
        <v>165</v>
      </c>
      <c r="P286" s="13" t="s">
        <v>821</v>
      </c>
      <c r="Q286" s="13" t="s">
        <v>822</v>
      </c>
      <c r="R286" s="13" t="s">
        <v>802</v>
      </c>
      <c r="V286" s="33">
        <v>1.0693790000000001</v>
      </c>
      <c r="W286" s="33">
        <v>-1.495E-3</v>
      </c>
      <c r="X286" s="33">
        <v>3.0000000000000001E-6</v>
      </c>
      <c r="Y286" s="33">
        <v>-0.11511</v>
      </c>
      <c r="Z286" s="33">
        <v>5.1117000000000003E-2</v>
      </c>
      <c r="AA286" s="33">
        <v>-4.37E-4</v>
      </c>
      <c r="AI286" s="13">
        <v>175</v>
      </c>
      <c r="AJ286" s="13">
        <v>8</v>
      </c>
      <c r="AK286" s="13">
        <v>1.5</v>
      </c>
      <c r="AL286" s="13">
        <v>0.5</v>
      </c>
      <c r="AM286" t="s">
        <v>925</v>
      </c>
      <c r="AO286" s="13">
        <v>1</v>
      </c>
      <c r="AP286" s="120" t="str">
        <f t="shared" si="1046"/>
        <v>CrvDblQuad     "EPDef-VRFSysHtgPipeLoss_fLenCombRatSI"                          Coef1 =  1.069379  Coef2 = -0.001495  Coef3 =  0.000003  Coef4 = -0.115110  Coef5 =  0.051117  Coef6 = -0.000437  _x000D_
                                                                                MaxVar1 = 175.000   MinVar1 = 8.000   MaxVar2 = 1.500   MinVar2 = 0.500   _x000D_
..</v>
      </c>
      <c r="AQ286" s="120" t="str">
        <f t="shared" si="1047"/>
        <v xml:space="preserve">CrvDblQuad     "EPDef-VRFSysHtgPipeLoss_fLenCombRatSI"                          Coef1 =  1.069379  Coef2 = -0.001495  Coef3 =  0.000003  Coef4 = -0.115110  Coef5 =  0.051117  Coef6 = -0.000437  </v>
      </c>
      <c r="AR286" s="120" t="str">
        <f t="shared" si="1055"/>
        <v xml:space="preserve">_x000D_
                                                                                MaxVar1 = 175.000   MinVar1 = 8.000   MaxVar2 = 1.500   MinVar2 = 0.500   </v>
      </c>
      <c r="AS286" s="120" t="str">
        <f t="shared" si="1048"/>
        <v>_x000D_
..</v>
      </c>
      <c r="AT286" s="13" t="str">
        <f t="shared" si="1049"/>
        <v>CrvDblQuad</v>
      </c>
      <c r="AU286" s="13" t="str">
        <f t="shared" si="1026"/>
        <v xml:space="preserve">     </v>
      </c>
      <c r="AV286" s="13" t="str">
        <f t="shared" si="1027"/>
        <v>"EPDef-VRFSysHtgPipeLoss_fLenCombRatSI"</v>
      </c>
      <c r="AW286" s="13" t="str">
        <f t="shared" si="1050"/>
        <v xml:space="preserve">                          </v>
      </c>
      <c r="AX286" s="13" t="str">
        <f t="shared" si="1040"/>
        <v xml:space="preserve"> 1.069379  </v>
      </c>
      <c r="AY286" s="13" t="str">
        <f t="shared" si="1041"/>
        <v xml:space="preserve">-0.001495  </v>
      </c>
      <c r="AZ286" s="13" t="str">
        <f t="shared" si="1042"/>
        <v xml:space="preserve"> 0.000003  </v>
      </c>
      <c r="BA286" s="13" t="str">
        <f t="shared" si="1043"/>
        <v xml:space="preserve">-0.115110  </v>
      </c>
      <c r="BB286" s="13" t="str">
        <f t="shared" si="1051"/>
        <v xml:space="preserve"> 0.051117  </v>
      </c>
      <c r="BC286" s="13" t="str">
        <f t="shared" si="1052"/>
        <v xml:space="preserve">-0.000437  </v>
      </c>
      <c r="BD286" s="13" t="str">
        <f t="shared" si="1053"/>
        <v xml:space="preserve">_x000D_
                                                                                </v>
      </c>
      <c r="BE286" s="13" t="str">
        <f t="shared" si="1028"/>
        <v>-</v>
      </c>
      <c r="BF286" s="13" t="str">
        <f t="shared" si="1029"/>
        <v>-</v>
      </c>
      <c r="BG286" s="13" t="str">
        <f t="shared" si="1030"/>
        <v xml:space="preserve">175.000   </v>
      </c>
      <c r="BH286" s="13" t="str">
        <f t="shared" si="1031"/>
        <v xml:space="preserve">8.000   </v>
      </c>
      <c r="BI286" s="13" t="str">
        <f t="shared" si="1032"/>
        <v xml:space="preserve">1.500   </v>
      </c>
      <c r="BJ286" s="13" t="str">
        <f t="shared" si="1033"/>
        <v xml:space="preserve">0.500   </v>
      </c>
      <c r="BM286" s="13" t="str">
        <f t="shared" si="1054"/>
        <v>Len</v>
      </c>
      <c r="BO286" s="13">
        <v>1</v>
      </c>
      <c r="BR286" s="13">
        <v>0</v>
      </c>
      <c r="BU286" s="104">
        <f t="shared" si="1034"/>
        <v>1.067887</v>
      </c>
      <c r="BV286" s="115"/>
      <c r="BW286" s="104">
        <f t="shared" si="1035"/>
        <v>1.0693790000000001</v>
      </c>
    </row>
  </sheetData>
  <autoFilter ref="B15:AO15" xr:uid="{00000000-0009-0000-0000-000000000000}"/>
  <mergeCells count="2">
    <mergeCell ref="P13:U13"/>
    <mergeCell ref="AP14:AP15"/>
  </mergeCells>
  <conditionalFormatting sqref="A201:E204">
    <cfRule type="expression" dxfId="259" priority="5">
      <formula>$J201="E+"</formula>
    </cfRule>
    <cfRule type="expression" dxfId="258" priority="6">
      <formula>$J201="DOE2"</formula>
    </cfRule>
  </conditionalFormatting>
  <conditionalFormatting sqref="A86:M87">
    <cfRule type="expression" dxfId="257" priority="696">
      <formula>$J86="E+"</formula>
    </cfRule>
    <cfRule type="expression" dxfId="256" priority="697">
      <formula>$J86="DOE2"</formula>
    </cfRule>
    <cfRule type="expression" dxfId="255" priority="698">
      <formula>NOT(ISBLANK($D86))</formula>
    </cfRule>
    <cfRule type="expression" dxfId="254" priority="699">
      <formula>NOT(ISBLANK($A86))</formula>
    </cfRule>
  </conditionalFormatting>
  <conditionalFormatting sqref="A23:Y23">
    <cfRule type="expression" dxfId="253" priority="805">
      <formula>$J23="E+"</formula>
    </cfRule>
    <cfRule type="expression" dxfId="252" priority="806">
      <formula>$J23="DOE2"</formula>
    </cfRule>
  </conditionalFormatting>
  <conditionalFormatting sqref="A24:AG24 AI24:BZ24">
    <cfRule type="expression" dxfId="251" priority="816">
      <formula>$J24="E+"</formula>
    </cfRule>
    <cfRule type="expression" dxfId="250" priority="817">
      <formula>$J24="DOE2"</formula>
    </cfRule>
  </conditionalFormatting>
  <conditionalFormatting sqref="A94:E198 G94:BZ198 F96:F198 A206:BZ309 A16:BZ93">
    <cfRule type="expression" dxfId="249" priority="836">
      <formula>$J16="DOE2"</formula>
    </cfRule>
  </conditionalFormatting>
  <conditionalFormatting sqref="A94:E198 G94:BZ198 F96:F198 A16:BZ93">
    <cfRule type="expression" dxfId="248" priority="837">
      <formula>NOT(ISBLANK($D16))</formula>
    </cfRule>
  </conditionalFormatting>
  <conditionalFormatting sqref="G94:BZ198 A94:E198 F96:F198 A16:BZ93">
    <cfRule type="expression" dxfId="247" priority="838">
      <formula>NOT(ISBLANK($A16))</formula>
    </cfRule>
  </conditionalFormatting>
  <conditionalFormatting sqref="G94:BZ198 A206:BZ309 A94:E198 F96:F198 A16:BZ93">
    <cfRule type="expression" dxfId="246" priority="830">
      <formula>$J16="E+"</formula>
    </cfRule>
  </conditionalFormatting>
  <conditionalFormatting sqref="A199:BZ200 A205:BZ205">
    <cfRule type="expression" dxfId="245" priority="100">
      <formula>$J199="E+"</formula>
    </cfRule>
    <cfRule type="expression" dxfId="244" priority="101">
      <formula>$J199="DOE2"</formula>
    </cfRule>
  </conditionalFormatting>
  <conditionalFormatting sqref="A199:BZ309">
    <cfRule type="expression" dxfId="243" priority="7">
      <formula>NOT(ISBLANK($D199))</formula>
    </cfRule>
    <cfRule type="expression" dxfId="242" priority="8">
      <formula>NOT(ISBLANK($A199))</formula>
    </cfRule>
  </conditionalFormatting>
  <conditionalFormatting sqref="E217:E225">
    <cfRule type="expression" dxfId="241" priority="617">
      <formula>$J217="E+"</formula>
    </cfRule>
    <cfRule type="expression" dxfId="240" priority="618">
      <formula>$J217="DOE2"</formula>
    </cfRule>
  </conditionalFormatting>
  <conditionalFormatting sqref="E231">
    <cfRule type="expression" dxfId="239" priority="503">
      <formula>$J231="E+"</formula>
    </cfRule>
    <cfRule type="expression" dxfId="238" priority="504">
      <formula>$J231="DOE2"</formula>
    </cfRule>
    <cfRule type="expression" dxfId="237" priority="505">
      <formula>NOT(ISBLANK($D231))</formula>
    </cfRule>
    <cfRule type="expression" dxfId="236" priority="506">
      <formula>NOT(ISBLANK($A231))</formula>
    </cfRule>
  </conditionalFormatting>
  <conditionalFormatting sqref="F94">
    <cfRule type="expression" dxfId="235" priority="1675">
      <formula>$J95="E+"</formula>
    </cfRule>
    <cfRule type="expression" dxfId="234" priority="1676">
      <formula>$J95="DOE2"</formula>
    </cfRule>
    <cfRule type="expression" dxfId="233" priority="1677">
      <formula>NOT(ISBLANK($D95))</formula>
    </cfRule>
    <cfRule type="expression" dxfId="232" priority="1678">
      <formula>NOT(ISBLANK($A95))</formula>
    </cfRule>
  </conditionalFormatting>
  <conditionalFormatting sqref="F95">
    <cfRule type="expression" dxfId="231" priority="1659">
      <formula>$J94="E+"</formula>
    </cfRule>
    <cfRule type="expression" dxfId="230" priority="1660">
      <formula>$J94="DOE2"</formula>
    </cfRule>
    <cfRule type="expression" dxfId="229" priority="1661">
      <formula>NOT(ISBLANK($D94))</formula>
    </cfRule>
    <cfRule type="expression" dxfId="228" priority="1662">
      <formula>NOT(ISBLANK($A94))</formula>
    </cfRule>
  </conditionalFormatting>
  <conditionalFormatting sqref="F207:F216">
    <cfRule type="expression" dxfId="227" priority="660">
      <formula>$J207="E+"</formula>
    </cfRule>
    <cfRule type="expression" dxfId="226" priority="661">
      <formula>$J207="DOE2"</formula>
    </cfRule>
    <cfRule type="expression" dxfId="225" priority="666">
      <formula>NOT(ISBLANK($D207))</formula>
    </cfRule>
    <cfRule type="expression" dxfId="224" priority="667">
      <formula>NOT(ISBLANK($A207))</formula>
    </cfRule>
  </conditionalFormatting>
  <conditionalFormatting sqref="F201:U202">
    <cfRule type="expression" dxfId="223" priority="75">
      <formula>$J201="E+"</formula>
    </cfRule>
    <cfRule type="expression" dxfId="222" priority="76">
      <formula>$J201="DOE2"</formula>
    </cfRule>
  </conditionalFormatting>
  <conditionalFormatting sqref="F203:BZ204">
    <cfRule type="expression" dxfId="221" priority="45">
      <formula>$J203="E+"</formula>
    </cfRule>
    <cfRule type="expression" dxfId="220" priority="46">
      <formula>$J203="DOE2"</formula>
    </cfRule>
  </conditionalFormatting>
  <conditionalFormatting sqref="H207:H216">
    <cfRule type="expression" dxfId="219" priority="654">
      <formula>NOT(ISBLANK($D207))</formula>
    </cfRule>
    <cfRule type="expression" dxfId="218" priority="655">
      <formula>NOT(ISBLANK($A207))</formula>
    </cfRule>
  </conditionalFormatting>
  <conditionalFormatting sqref="H207:H225">
    <cfRule type="expression" dxfId="217" priority="615">
      <formula>$J207="E+"</formula>
    </cfRule>
    <cfRule type="expression" dxfId="216" priority="616">
      <formula>$J207="DOE2"</formula>
    </cfRule>
  </conditionalFormatting>
  <conditionalFormatting sqref="H231">
    <cfRule type="expression" dxfId="215" priority="492">
      <formula>$J231="DOE2"</formula>
    </cfRule>
  </conditionalFormatting>
  <conditionalFormatting sqref="H231:I231">
    <cfRule type="expression" dxfId="214" priority="493">
      <formula>$J231="E+"</formula>
    </cfRule>
    <cfRule type="expression" dxfId="213" priority="494">
      <formula>$J231="DOE2"</formula>
    </cfRule>
    <cfRule type="expression" dxfId="212" priority="497">
      <formula>$J231="E+"</formula>
    </cfRule>
    <cfRule type="expression" dxfId="211" priority="498">
      <formula>$J231="DOE2"</formula>
    </cfRule>
  </conditionalFormatting>
  <conditionalFormatting sqref="J217:J230">
    <cfRule type="expression" dxfId="210" priority="613">
      <formula>$J217="E+"</formula>
    </cfRule>
    <cfRule type="expression" dxfId="209" priority="614">
      <formula>$J217="DOE2"</formula>
    </cfRule>
  </conditionalFormatting>
  <conditionalFormatting sqref="L231">
    <cfRule type="expression" dxfId="208" priority="501">
      <formula>$J231="E+"</formula>
    </cfRule>
    <cfRule type="expression" dxfId="207" priority="502">
      <formula>$J231="DOE2"</formula>
    </cfRule>
  </conditionalFormatting>
  <conditionalFormatting sqref="M207:M216">
    <cfRule type="expression" dxfId="206" priority="648">
      <formula>$J207="E+"</formula>
    </cfRule>
    <cfRule type="expression" dxfId="205" priority="649">
      <formula>$J207="DOE2"</formula>
    </cfRule>
    <cfRule type="expression" dxfId="204" priority="650">
      <formula>NOT(ISBLANK($D207))</formula>
    </cfRule>
    <cfRule type="expression" dxfId="203" priority="651">
      <formula>NOT(ISBLANK($A207))</formula>
    </cfRule>
  </conditionalFormatting>
  <conditionalFormatting sqref="N61:N63">
    <cfRule type="expression" dxfId="202" priority="1204">
      <formula>NOT(ISBLANK($D61))</formula>
    </cfRule>
    <cfRule type="expression" dxfId="201" priority="1205">
      <formula>NOT(ISBLANK($A61))</formula>
    </cfRule>
  </conditionalFormatting>
  <conditionalFormatting sqref="O199">
    <cfRule type="expression" dxfId="200" priority="91">
      <formula>$J199="E+"</formula>
    </cfRule>
    <cfRule type="expression" dxfId="199" priority="92">
      <formula>$J199="DOE2"</formula>
    </cfRule>
    <cfRule type="expression" dxfId="198" priority="93">
      <formula>$J199="E+"</formula>
    </cfRule>
    <cfRule type="expression" dxfId="197" priority="94">
      <formula>$J199="DOE2"</formula>
    </cfRule>
    <cfRule type="expression" dxfId="196" priority="95">
      <formula>$J199="E+"</formula>
    </cfRule>
    <cfRule type="expression" dxfId="195" priority="96">
      <formula>$J199="DOE2"</formula>
    </cfRule>
    <cfRule type="expression" dxfId="194" priority="97">
      <formula>$J199="E+"</formula>
    </cfRule>
    <cfRule type="expression" dxfId="193" priority="98">
      <formula>$J199="DOE2"</formula>
    </cfRule>
  </conditionalFormatting>
  <conditionalFormatting sqref="O199:O200">
    <cfRule type="expression" dxfId="192" priority="87">
      <formula>$J199="E+"</formula>
    </cfRule>
    <cfRule type="expression" dxfId="191" priority="88">
      <formula>$J199="DOE2"</formula>
    </cfRule>
  </conditionalFormatting>
  <conditionalFormatting sqref="O200">
    <cfRule type="expression" dxfId="190" priority="81">
      <formula>$J200="E+"</formula>
    </cfRule>
    <cfRule type="expression" dxfId="189" priority="82">
      <formula>$J200="DOE2"</formula>
    </cfRule>
    <cfRule type="expression" dxfId="188" priority="83">
      <formula>$J200="E+"</formula>
    </cfRule>
    <cfRule type="expression" dxfId="187" priority="84">
      <formula>$J200="DOE2"</formula>
    </cfRule>
    <cfRule type="expression" dxfId="186" priority="85">
      <formula>$J200="E+"</formula>
    </cfRule>
    <cfRule type="expression" dxfId="185" priority="86">
      <formula>$J200="DOE2"</formula>
    </cfRule>
  </conditionalFormatting>
  <conditionalFormatting sqref="O200:O201">
    <cfRule type="expression" dxfId="184" priority="73">
      <formula>$J200="E+"</formula>
    </cfRule>
    <cfRule type="expression" dxfId="183" priority="74">
      <formula>$J200="DOE2"</formula>
    </cfRule>
  </conditionalFormatting>
  <conditionalFormatting sqref="O201">
    <cfRule type="expression" dxfId="182" priority="67">
      <formula>$J201="E+"</formula>
    </cfRule>
    <cfRule type="expression" dxfId="181" priority="68">
      <formula>$J201="DOE2"</formula>
    </cfRule>
    <cfRule type="expression" dxfId="180" priority="69">
      <formula>$J201="E+"</formula>
    </cfRule>
    <cfRule type="expression" dxfId="179" priority="70">
      <formula>$J201="DOE2"</formula>
    </cfRule>
    <cfRule type="expression" dxfId="178" priority="71">
      <formula>$J201="E+"</formula>
    </cfRule>
    <cfRule type="expression" dxfId="177" priority="72">
      <formula>$J201="DOE2"</formula>
    </cfRule>
  </conditionalFormatting>
  <conditionalFormatting sqref="O201:O202">
    <cfRule type="expression" dxfId="176" priority="63">
      <formula>$J201="E+"</formula>
    </cfRule>
    <cfRule type="expression" dxfId="175" priority="64">
      <formula>$J201="DOE2"</formula>
    </cfRule>
  </conditionalFormatting>
  <conditionalFormatting sqref="O202">
    <cfRule type="expression" dxfId="174" priority="57">
      <formula>$J202="E+"</formula>
    </cfRule>
    <cfRule type="expression" dxfId="173" priority="58">
      <formula>$J202="DOE2"</formula>
    </cfRule>
    <cfRule type="expression" dxfId="172" priority="59">
      <formula>$J202="E+"</formula>
    </cfRule>
    <cfRule type="expression" dxfId="171" priority="60">
      <formula>$J202="DOE2"</formula>
    </cfRule>
    <cfRule type="expression" dxfId="170" priority="61">
      <formula>$J202="E+"</formula>
    </cfRule>
    <cfRule type="expression" dxfId="169" priority="62">
      <formula>$J202="DOE2"</formula>
    </cfRule>
  </conditionalFormatting>
  <conditionalFormatting sqref="O202:O203">
    <cfRule type="expression" dxfId="168" priority="43">
      <formula>$J202="E+"</formula>
    </cfRule>
    <cfRule type="expression" dxfId="167" priority="44">
      <formula>$J202="DOE2"</formula>
    </cfRule>
  </conditionalFormatting>
  <conditionalFormatting sqref="O203">
    <cfRule type="expression" dxfId="166" priority="37">
      <formula>$J203="E+"</formula>
    </cfRule>
    <cfRule type="expression" dxfId="165" priority="38">
      <formula>$J203="DOE2"</formula>
    </cfRule>
    <cfRule type="expression" dxfId="164" priority="39">
      <formula>$J203="E+"</formula>
    </cfRule>
    <cfRule type="expression" dxfId="163" priority="40">
      <formula>$J203="DOE2"</formula>
    </cfRule>
    <cfRule type="expression" dxfId="162" priority="41">
      <formula>$J203="E+"</formula>
    </cfRule>
    <cfRule type="expression" dxfId="161" priority="42">
      <formula>$J203="DOE2"</formula>
    </cfRule>
  </conditionalFormatting>
  <conditionalFormatting sqref="O203:O204">
    <cfRule type="expression" dxfId="160" priority="33">
      <formula>$J203="E+"</formula>
    </cfRule>
    <cfRule type="expression" dxfId="159" priority="34">
      <formula>$J203="DOE2"</formula>
    </cfRule>
  </conditionalFormatting>
  <conditionalFormatting sqref="O204">
    <cfRule type="expression" dxfId="158" priority="25">
      <formula>$J204="E+"</formula>
    </cfRule>
    <cfRule type="expression" dxfId="157" priority="26">
      <formula>$J204="DOE2"</formula>
    </cfRule>
    <cfRule type="expression" dxfId="156" priority="27">
      <formula>$J204="E+"</formula>
    </cfRule>
    <cfRule type="expression" dxfId="155" priority="28">
      <formula>$J204="DOE2"</formula>
    </cfRule>
    <cfRule type="expression" dxfId="154" priority="29">
      <formula>$J204="E+"</formula>
    </cfRule>
    <cfRule type="expression" dxfId="153" priority="30">
      <formula>$J204="DOE2"</formula>
    </cfRule>
    <cfRule type="expression" dxfId="152" priority="31">
      <formula>$J204="E+"</formula>
    </cfRule>
    <cfRule type="expression" dxfId="151" priority="32">
      <formula>$J204="DOE2"</formula>
    </cfRule>
  </conditionalFormatting>
  <conditionalFormatting sqref="O207">
    <cfRule type="expression" dxfId="150" priority="557">
      <formula>$J207="E+"</formula>
    </cfRule>
    <cfRule type="expression" dxfId="149" priority="558">
      <formula>$J207="DOE2"</formula>
    </cfRule>
    <cfRule type="expression" dxfId="148" priority="559">
      <formula>$J207="E+"</formula>
    </cfRule>
    <cfRule type="expression" dxfId="147" priority="560">
      <formula>$J207="DOE2"</formula>
    </cfRule>
    <cfRule type="expression" dxfId="146" priority="561">
      <formula>$J207="E+"</formula>
    </cfRule>
    <cfRule type="expression" dxfId="145" priority="562">
      <formula>$J207="DOE2"</formula>
    </cfRule>
  </conditionalFormatting>
  <conditionalFormatting sqref="O207:O216">
    <cfRule type="expression" dxfId="144" priority="770">
      <formula>$J207="E+"</formula>
    </cfRule>
    <cfRule type="expression" dxfId="143" priority="771">
      <formula>$J207="DOE2"</formula>
    </cfRule>
  </conditionalFormatting>
  <conditionalFormatting sqref="O209">
    <cfRule type="expression" dxfId="142" priority="551">
      <formula>$J209="E+"</formula>
    </cfRule>
    <cfRule type="expression" dxfId="141" priority="552">
      <formula>$J209="DOE2"</formula>
    </cfRule>
    <cfRule type="expression" dxfId="140" priority="553">
      <formula>$J209="E+"</formula>
    </cfRule>
    <cfRule type="expression" dxfId="139" priority="554">
      <formula>$J209="DOE2"</formula>
    </cfRule>
    <cfRule type="expression" dxfId="138" priority="555">
      <formula>$J209="E+"</formula>
    </cfRule>
    <cfRule type="expression" dxfId="137" priority="556">
      <formula>$J209="DOE2"</formula>
    </cfRule>
  </conditionalFormatting>
  <conditionalFormatting sqref="O211">
    <cfRule type="expression" dxfId="136" priority="533">
      <formula>$J211="E+"</formula>
    </cfRule>
    <cfRule type="expression" dxfId="135" priority="534">
      <formula>$J211="DOE2"</formula>
    </cfRule>
    <cfRule type="expression" dxfId="134" priority="535">
      <formula>$J211="E+"</formula>
    </cfRule>
    <cfRule type="expression" dxfId="133" priority="536">
      <formula>$J211="DOE2"</formula>
    </cfRule>
  </conditionalFormatting>
  <conditionalFormatting sqref="O211:O212">
    <cfRule type="expression" dxfId="132" priority="537">
      <formula>$J211="E+"</formula>
    </cfRule>
    <cfRule type="expression" dxfId="131" priority="538">
      <formula>$J211="DOE2"</formula>
    </cfRule>
  </conditionalFormatting>
  <conditionalFormatting sqref="O212">
    <cfRule type="expression" dxfId="130" priority="547">
      <formula>$J212="E+"</formula>
    </cfRule>
    <cfRule type="expression" dxfId="129" priority="548">
      <formula>$J212="DOE2"</formula>
    </cfRule>
    <cfRule type="expression" dxfId="128" priority="549">
      <formula>$J212="E+"</formula>
    </cfRule>
    <cfRule type="expression" dxfId="127" priority="550">
      <formula>$J212="DOE2"</formula>
    </cfRule>
  </conditionalFormatting>
  <conditionalFormatting sqref="O214">
    <cfRule type="expression" dxfId="126" priority="539">
      <formula>$J214="E+"</formula>
    </cfRule>
    <cfRule type="expression" dxfId="125" priority="540">
      <formula>$J214="DOE2"</formula>
    </cfRule>
    <cfRule type="expression" dxfId="124" priority="541">
      <formula>$J214="E+"</formula>
    </cfRule>
    <cfRule type="expression" dxfId="123" priority="542">
      <formula>$J214="DOE2"</formula>
    </cfRule>
    <cfRule type="expression" dxfId="122" priority="543">
      <formula>$J214="E+"</formula>
    </cfRule>
    <cfRule type="expression" dxfId="121" priority="544">
      <formula>$J214="DOE2"</formula>
    </cfRule>
  </conditionalFormatting>
  <conditionalFormatting sqref="O216">
    <cfRule type="expression" dxfId="120" priority="527">
      <formula>$J216="E+"</formula>
    </cfRule>
    <cfRule type="expression" dxfId="119" priority="528">
      <formula>$J216="DOE2"</formula>
    </cfRule>
    <cfRule type="expression" dxfId="118" priority="529">
      <formula>$J216="E+"</formula>
    </cfRule>
    <cfRule type="expression" dxfId="117" priority="530">
      <formula>$J216="DOE2"</formula>
    </cfRule>
    <cfRule type="expression" dxfId="116" priority="531">
      <formula>$J216="E+"</formula>
    </cfRule>
    <cfRule type="expression" dxfId="115" priority="532">
      <formula>$J216="DOE2"</formula>
    </cfRule>
  </conditionalFormatting>
  <conditionalFormatting sqref="O217:O219">
    <cfRule type="expression" dxfId="114" priority="589">
      <formula>$J217="E+"</formula>
    </cfRule>
    <cfRule type="expression" dxfId="113" priority="590">
      <formula>$J217="DOE2"</formula>
    </cfRule>
  </conditionalFormatting>
  <conditionalFormatting sqref="O218">
    <cfRule type="expression" dxfId="112" priority="585">
      <formula>$J218="E+"</formula>
    </cfRule>
    <cfRule type="expression" dxfId="111" priority="586">
      <formula>$J218="DOE2"</formula>
    </cfRule>
    <cfRule type="expression" dxfId="110" priority="587">
      <formula>$J218="E+"</formula>
    </cfRule>
    <cfRule type="expression" dxfId="109" priority="588">
      <formula>$J218="DOE2"</formula>
    </cfRule>
  </conditionalFormatting>
  <conditionalFormatting sqref="O220">
    <cfRule type="expression" dxfId="108" priority="525">
      <formula>$J220="E+"</formula>
    </cfRule>
    <cfRule type="expression" dxfId="107" priority="526">
      <formula>$J220="DOE2"</formula>
    </cfRule>
  </conditionalFormatting>
  <conditionalFormatting sqref="O220:O221">
    <cfRule type="expression" dxfId="106" priority="521">
      <formula>$J220="E+"</formula>
    </cfRule>
    <cfRule type="expression" dxfId="105" priority="522">
      <formula>$J220="DOE2"</formula>
    </cfRule>
  </conditionalFormatting>
  <conditionalFormatting sqref="O221">
    <cfRule type="expression" dxfId="104" priority="519">
      <formula>$J221="E+"</formula>
    </cfRule>
    <cfRule type="expression" dxfId="103" priority="520">
      <formula>$J221="DOE2"</formula>
    </cfRule>
  </conditionalFormatting>
  <conditionalFormatting sqref="O223:O228">
    <cfRule type="expression" dxfId="102" priority="509">
      <formula>$J223="E+"</formula>
    </cfRule>
    <cfRule type="expression" dxfId="101" priority="510">
      <formula>$J223="DOE2"</formula>
    </cfRule>
  </conditionalFormatting>
  <conditionalFormatting sqref="O225">
    <cfRule type="expression" dxfId="100" priority="575">
      <formula>$J225="E+"</formula>
    </cfRule>
    <cfRule type="expression" dxfId="99" priority="576">
      <formula>$J225="DOE2"</formula>
    </cfRule>
  </conditionalFormatting>
  <conditionalFormatting sqref="O227:O228">
    <cfRule type="expression" dxfId="98" priority="507">
      <formula>$J227="E+"</formula>
    </cfRule>
    <cfRule type="expression" dxfId="97" priority="508">
      <formula>$J227="DOE2"</formula>
    </cfRule>
  </conditionalFormatting>
  <conditionalFormatting sqref="O230">
    <cfRule type="expression" dxfId="96" priority="511">
      <formula>$J230="E+"</formula>
    </cfRule>
    <cfRule type="expression" dxfId="95" priority="512">
      <formula>$J230="DOE2"</formula>
    </cfRule>
  </conditionalFormatting>
  <conditionalFormatting sqref="O207:S216">
    <cfRule type="expression" dxfId="94" priority="642">
      <formula>$J207="E+"</formula>
    </cfRule>
    <cfRule type="expression" dxfId="93" priority="643">
      <formula>$J207="DOE2"</formula>
    </cfRule>
  </conditionalFormatting>
  <conditionalFormatting sqref="P207:P216">
    <cfRule type="expression" dxfId="92" priority="646">
      <formula>NOT(ISBLANK($D207))</formula>
    </cfRule>
    <cfRule type="expression" dxfId="91" priority="647">
      <formula>NOT(ISBLANK($A207))</formula>
    </cfRule>
  </conditionalFormatting>
  <conditionalFormatting sqref="P216:P223">
    <cfRule type="expression" dxfId="90" priority="607">
      <formula>$J216="E+"</formula>
    </cfRule>
    <cfRule type="expression" dxfId="89" priority="608">
      <formula>$J216="DOE2"</formula>
    </cfRule>
  </conditionalFormatting>
  <conditionalFormatting sqref="Q210">
    <cfRule type="expression" dxfId="88" priority="638">
      <formula>$J210="E+"</formula>
    </cfRule>
    <cfRule type="expression" dxfId="87" priority="639">
      <formula>$J210="DOE2"</formula>
    </cfRule>
  </conditionalFormatting>
  <conditionalFormatting sqref="Q215">
    <cfRule type="expression" dxfId="86" priority="636">
      <formula>$J215="E+"</formula>
    </cfRule>
    <cfRule type="expression" dxfId="85" priority="637">
      <formula>$J215="DOE2"</formula>
    </cfRule>
  </conditionalFormatting>
  <conditionalFormatting sqref="V211:V216">
    <cfRule type="expression" dxfId="84" priority="591">
      <formula>$J211="E+"</formula>
    </cfRule>
    <cfRule type="expression" dxfId="83" priority="592">
      <formula>$J211="DOE2"</formula>
    </cfRule>
    <cfRule type="expression" dxfId="82" priority="593">
      <formula>NOT(ISBLANK($D211))</formula>
    </cfRule>
    <cfRule type="expression" dxfId="81" priority="594">
      <formula>NOT(ISBLANK($A211))</formula>
    </cfRule>
  </conditionalFormatting>
  <conditionalFormatting sqref="V218:W218">
    <cfRule type="expression" dxfId="80" priority="579">
      <formula>NOT(ISBLANK($D218))</formula>
    </cfRule>
    <cfRule type="expression" dxfId="79" priority="580">
      <formula>NOT(ISBLANK($A218))</formula>
    </cfRule>
  </conditionalFormatting>
  <conditionalFormatting sqref="V225:X225">
    <cfRule type="expression" dxfId="78" priority="563">
      <formula>$J225="E+"</formula>
    </cfRule>
    <cfRule type="expression" dxfId="77" priority="564">
      <formula>$J225="DOE2"</formula>
    </cfRule>
    <cfRule type="expression" dxfId="76" priority="565">
      <formula>NOT(ISBLANK($D225))</formula>
    </cfRule>
    <cfRule type="expression" dxfId="75" priority="566">
      <formula>NOT(ISBLANK($A225))</formula>
    </cfRule>
  </conditionalFormatting>
  <conditionalFormatting sqref="V217:AH219">
    <cfRule type="expression" dxfId="74" priority="577">
      <formula>$J217="E+"</formula>
    </cfRule>
    <cfRule type="expression" dxfId="73" priority="578">
      <formula>$J217="DOE2"</formula>
    </cfRule>
  </conditionalFormatting>
  <conditionalFormatting sqref="V220:AJ222 V223:AH224 V226:AH226 V227:AJ229 V230:AH230">
    <cfRule type="expression" dxfId="72" priority="623">
      <formula>$J220="E+"</formula>
    </cfRule>
    <cfRule type="expression" dxfId="71" priority="624">
      <formula>$J220="DOE2"</formula>
    </cfRule>
  </conditionalFormatting>
  <conditionalFormatting sqref="V201:BZ202">
    <cfRule type="expression" dxfId="70" priority="21">
      <formula>$J201="E+"</formula>
    </cfRule>
    <cfRule type="expression" dxfId="69" priority="22">
      <formula>$J201="DOE2"</formula>
    </cfRule>
  </conditionalFormatting>
  <conditionalFormatting sqref="X208:Y208 Y210 Y213 Y215">
    <cfRule type="expression" dxfId="68" priority="742">
      <formula>$J208="E+"</formula>
    </cfRule>
    <cfRule type="expression" dxfId="67" priority="743">
      <formula>$J208="DOE2"</formula>
    </cfRule>
  </conditionalFormatting>
  <conditionalFormatting sqref="X208:AA208 Y210:AA210 Y213:AA213 Y215:AA215">
    <cfRule type="expression" dxfId="66" priority="675">
      <formula>$J208="E+"</formula>
    </cfRule>
    <cfRule type="expression" dxfId="65" priority="676">
      <formula>$J208="DOE2"</formula>
    </cfRule>
  </conditionalFormatting>
  <conditionalFormatting sqref="X225:AH225">
    <cfRule type="expression" dxfId="64" priority="569">
      <formula>$J225="E+"</formula>
    </cfRule>
    <cfRule type="expression" dxfId="63" priority="570">
      <formula>$J225="DOE2"</formula>
    </cfRule>
  </conditionalFormatting>
  <conditionalFormatting sqref="Y262">
    <cfRule type="expression" dxfId="62" priority="122">
      <formula>$J265="E+"</formula>
    </cfRule>
    <cfRule type="expression" dxfId="61" priority="123">
      <formula>$J265="DOE2"</formula>
    </cfRule>
  </conditionalFormatting>
  <conditionalFormatting sqref="Z23:BZ23">
    <cfRule type="expression" dxfId="60" priority="810">
      <formula>$J23="E+"</formula>
    </cfRule>
    <cfRule type="expression" dxfId="59" priority="811">
      <formula>$J23="DOE2"</formula>
    </cfRule>
  </conditionalFormatting>
  <conditionalFormatting sqref="AM58:AM60 Y236">
    <cfRule type="expression" dxfId="58" priority="859">
      <formula>$J61="E+"</formula>
    </cfRule>
    <cfRule type="expression" dxfId="57" priority="860">
      <formula>$J61="DOE2"</formula>
    </cfRule>
  </conditionalFormatting>
  <conditionalFormatting sqref="AM58:AM60">
    <cfRule type="expression" dxfId="56" priority="1234">
      <formula>NOT(ISBLANK($D61))</formula>
    </cfRule>
    <cfRule type="expression" dxfId="55" priority="1235">
      <formula>NOT(ISBLANK($A61))</formula>
    </cfRule>
  </conditionalFormatting>
  <conditionalFormatting sqref="AM61:AM63">
    <cfRule type="expression" dxfId="54" priority="1112">
      <formula>$J58="E+"</formula>
    </cfRule>
    <cfRule type="expression" dxfId="53" priority="1113">
      <formula>$J58="DOE2"</formula>
    </cfRule>
    <cfRule type="expression" dxfId="52" priority="1196">
      <formula>NOT(ISBLANK($D58))</formula>
    </cfRule>
    <cfRule type="expression" dxfId="51" priority="1197">
      <formula>NOT(ISBLANK($A58))</formula>
    </cfRule>
  </conditionalFormatting>
  <conditionalFormatting sqref="AO166:BL166 BO166:BZ166">
    <cfRule type="expression" dxfId="50" priority="683">
      <formula>$J166="DOE2"</formula>
    </cfRule>
    <cfRule type="expression" dxfId="49" priority="684">
      <formula>NOT(ISBLANK($D166))</formula>
    </cfRule>
    <cfRule type="expression" dxfId="48" priority="685">
      <formula>NOT(ISBLANK($A166))</formula>
    </cfRule>
  </conditionalFormatting>
  <conditionalFormatting sqref="BO166:BZ166 AO166:BL166">
    <cfRule type="expression" dxfId="47" priority="682">
      <formula>$J166="E+"</formula>
    </cfRule>
  </conditionalFormatting>
  <conditionalFormatting sqref="BO185:BZ185">
    <cfRule type="expression" dxfId="46" priority="688">
      <formula>$J185="E+"</formula>
    </cfRule>
    <cfRule type="expression" dxfId="45" priority="689">
      <formula>$J185="DOE2"</formula>
    </cfRule>
    <cfRule type="expression" dxfId="44" priority="690">
      <formula>NOT(ISBLANK($D185))</formula>
    </cfRule>
    <cfRule type="expression" dxfId="43" priority="691">
      <formula>NOT(ISBLANK($A185))</formula>
    </cfRule>
  </conditionalFormatting>
  <conditionalFormatting sqref="BU16:BU22 BU27:BU44 BU46:BU87 BU89:BU184 BU186:BU204 BU207:BU216 BU218:BU230 BU232:BU234 BU236:BU244 BU246:BU260 BU262:BU270 BU272:BU286">
    <cfRule type="expression" dxfId="42" priority="839">
      <formula>IF(AND(OR($BU16&gt;$BU$11,$BU16&lt;$BU$12),$BU16&lt;&gt;0),TRUE,FALSE)</formula>
    </cfRule>
    <cfRule type="expression" dxfId="41" priority="840">
      <formula>IF(AND($BU16&lt;=$BU$11,$BU16&gt;=$BU$12,$BU16&lt;&gt;0),TRUE,FALSE)</formula>
    </cfRule>
  </conditionalFormatting>
  <conditionalFormatting sqref="BU16:BU23 BU39:BU44 BU46:BU66 BU68:BU87 BU28:BU37">
    <cfRule type="expression" dxfId="40" priority="809">
      <formula>IF(BU15=BU16,TRUE,FALSE)</formula>
    </cfRule>
  </conditionalFormatting>
  <conditionalFormatting sqref="BU23">
    <cfRule type="expression" dxfId="39" priority="814">
      <formula>IF(AND(OR($BU23&gt;$BU$11,$BU23&lt;$BU$12),$BU23&lt;&gt;0),TRUE,FALSE)</formula>
    </cfRule>
    <cfRule type="expression" dxfId="38" priority="815">
      <formula>IF(AND($BU23&lt;=$BU$11,$BU23&gt;=$BU$12,$BU23&lt;&gt;0),TRUE,FALSE)</formula>
    </cfRule>
  </conditionalFormatting>
  <conditionalFormatting sqref="BU45 BU88 BU180 BU24:BU26">
    <cfRule type="expression" dxfId="37" priority="820">
      <formula>IF(BU21=BU24,TRUE,FALSE)</formula>
    </cfRule>
    <cfRule type="expression" dxfId="36" priority="821">
      <formula>IF(AND(OR($BU24&gt;$BU$11,$BU24&lt;$BU$12),$BU24&lt;&gt;0),TRUE,FALSE)</formula>
    </cfRule>
    <cfRule type="expression" dxfId="35" priority="822">
      <formula>IF(AND($BU24&lt;=$BU$11,$BU24&gt;=$BU$12,$BU24&lt;&gt;0),TRUE,FALSE)</formula>
    </cfRule>
  </conditionalFormatting>
  <conditionalFormatting sqref="BU38 BU102 BU167 BU172 BU186 BU209:BU216 BU219:BU230 BU233:BU234 BU244 BU258 BU270 BU284 BU27">
    <cfRule type="expression" dxfId="34" priority="844">
      <formula>IF(BU25=BU27,TRUE,FALSE)</formula>
    </cfRule>
  </conditionalFormatting>
  <conditionalFormatting sqref="BU67">
    <cfRule type="expression" dxfId="33" priority="1681">
      <formula>IF(BU65=BU67,TRUE,FALSE)</formula>
    </cfRule>
  </conditionalFormatting>
  <conditionalFormatting sqref="BU89:BU101 BU168:BU179 BU181:BU184 BU208:BU216 BU218:BU230 BU232:BU234 BU236:BU244 BU246:BU258 BU260 BU262:BU270 BU272:BU284 BU286">
    <cfRule type="expression" dxfId="32" priority="823">
      <formula>IF(BU88=BU89,TRUE,FALSE)</formula>
    </cfRule>
  </conditionalFormatting>
  <conditionalFormatting sqref="BU103:BU166">
    <cfRule type="expression" dxfId="31" priority="681">
      <formula>IF(BU102=BU103,TRUE,FALSE)</formula>
    </cfRule>
  </conditionalFormatting>
  <conditionalFormatting sqref="BU167">
    <cfRule type="expression" dxfId="30" priority="864">
      <formula>IF(BU163=BU167,TRUE,FALSE)</formula>
    </cfRule>
    <cfRule type="expression" dxfId="29" priority="865">
      <formula>IF(AND(OR($BU167&gt;$BU$11,$BU167&lt;$BU$12),$BU167&lt;&gt;0),TRUE,FALSE)</formula>
    </cfRule>
    <cfRule type="expression" dxfId="28" priority="866">
      <formula>IF(AND($BU167&lt;=$BU$11,$BU167&gt;=$BU$12,$BU167&lt;&gt;0),TRUE,FALSE)</formula>
    </cfRule>
  </conditionalFormatting>
  <conditionalFormatting sqref="BU180 BU206:BU208 BU259 BU285">
    <cfRule type="expression" dxfId="27" priority="870">
      <formula>IF(#REF!=BU180,TRUE,FALSE)</formula>
    </cfRule>
  </conditionalFormatting>
  <conditionalFormatting sqref="BU185 BU200 BU202 BU204">
    <cfRule type="expression" dxfId="26" priority="693">
      <formula>IF(AND(OR($BU185&gt;$BU$11,$BU185&lt;$BU$12),$BU185&lt;&gt;0),TRUE,FALSE)</formula>
    </cfRule>
    <cfRule type="expression" dxfId="25" priority="694">
      <formula>IF(AND($BU185&lt;=$BU$11,$BU185&gt;=$BU$12,$BU185&lt;&gt;0),TRUE,FALSE)</formula>
    </cfRule>
  </conditionalFormatting>
  <conditionalFormatting sqref="BU185 BU200 BU204 BU202">
    <cfRule type="expression" dxfId="24" priority="692">
      <formula>IF(BU183=BU185,TRUE,FALSE)</formula>
    </cfRule>
  </conditionalFormatting>
  <conditionalFormatting sqref="BU187:BU204">
    <cfRule type="expression" dxfId="23" priority="49">
      <formula>IF(BU186=BU187,TRUE,FALSE)</formula>
    </cfRule>
  </conditionalFormatting>
  <conditionalFormatting sqref="BU205">
    <cfRule type="expression" dxfId="22" priority="109">
      <formula>IF(BU198=BU205,TRUE,FALSE)</formula>
    </cfRule>
    <cfRule type="expression" dxfId="21" priority="110">
      <formula>IF(AND(OR($BU205&gt;$BU$11,$BU205&lt;$BU$12),$BU205&lt;&gt;0),TRUE,FALSE)</formula>
    </cfRule>
    <cfRule type="expression" dxfId="20" priority="111">
      <formula>IF(AND($BU205&lt;=$BU$11,$BU205&gt;=$BU$12,$BU205&lt;&gt;0),TRUE,FALSE)</formula>
    </cfRule>
  </conditionalFormatting>
  <conditionalFormatting sqref="BU206:BU207 BU245 BU271">
    <cfRule type="expression" dxfId="19" priority="1299">
      <formula>IF(AND($BU206&lt;=$BU$11,$BU206&gt;=$BU$12,$BU206&lt;&gt;0),TRUE,FALSE)</formula>
    </cfRule>
  </conditionalFormatting>
  <conditionalFormatting sqref="BU217">
    <cfRule type="expression" dxfId="18" priority="1606">
      <formula>IF(BU258=BU217,TRUE,FALSE)</formula>
    </cfRule>
    <cfRule type="expression" dxfId="17" priority="1607">
      <formula>IF(AND(OR($BU217&gt;$BU$11,$BU217&lt;$BU$12),$BU217&lt;&gt;0),TRUE,FALSE)</formula>
    </cfRule>
    <cfRule type="expression" dxfId="16" priority="1608">
      <formula>IF(AND($BU217&lt;=$BU$11,$BU217&gt;=$BU$12,$BU217&lt;&gt;0),TRUE,FALSE)</formula>
    </cfRule>
  </conditionalFormatting>
  <conditionalFormatting sqref="BU217:BU218">
    <cfRule type="expression" dxfId="15" priority="1649">
      <formula>IF(BU257=BU217,TRUE,FALSE)</formula>
    </cfRule>
    <cfRule type="expression" dxfId="14" priority="1650">
      <formula>IF(AND(OR($BU217&gt;$BU$11,$BU217&lt;$BU$12),$BU217&lt;&gt;0),TRUE,FALSE)</formula>
    </cfRule>
    <cfRule type="expression" dxfId="13" priority="1651">
      <formula>IF(AND($BU217&lt;=$BU$11,$BU217&gt;=$BU$12,$BU217&lt;&gt;0),TRUE,FALSE)</formula>
    </cfRule>
  </conditionalFormatting>
  <conditionalFormatting sqref="BU231">
    <cfRule type="expression" dxfId="12" priority="1558">
      <formula>IF(BU260=BU231,TRUE,FALSE)</formula>
    </cfRule>
    <cfRule type="expression" dxfId="11" priority="1559">
      <formula>IF(AND(OR($BU231&gt;$BU$11,$BU231&lt;$BU$12),$BU231&lt;&gt;0),TRUE,FALSE)</formula>
    </cfRule>
    <cfRule type="expression" dxfId="10" priority="1560">
      <formula>IF(AND($BU231&lt;=$BU$11,$BU231&gt;=$BU$12,$BU231&lt;&gt;0),TRUE,FALSE)</formula>
    </cfRule>
  </conditionalFormatting>
  <conditionalFormatting sqref="BU231:BU232">
    <cfRule type="expression" dxfId="9" priority="1643">
      <formula>IF(BU259=BU231,TRUE,FALSE)</formula>
    </cfRule>
    <cfRule type="expression" dxfId="8" priority="1644">
      <formula>IF(AND(OR($BU231&gt;$BU$11,$BU231&lt;$BU$12),$BU231&lt;&gt;0),TRUE,FALSE)</formula>
    </cfRule>
    <cfRule type="expression" dxfId="7" priority="1645">
      <formula>IF(AND($BU231&lt;=$BU$11,$BU231&gt;=$BU$12,$BU231&lt;&gt;0),TRUE,FALSE)</formula>
    </cfRule>
  </conditionalFormatting>
  <conditionalFormatting sqref="BU235 BU261">
    <cfRule type="expression" dxfId="6" priority="1652">
      <formula>IF(BU216=BU235,TRUE,FALSE)</formula>
    </cfRule>
    <cfRule type="expression" dxfId="5" priority="1653">
      <formula>IF(AND(OR($BU235&gt;$BU$11,$BU235&lt;$BU$12),$BU235&lt;&gt;0),TRUE,FALSE)</formula>
    </cfRule>
    <cfRule type="expression" dxfId="4" priority="1654">
      <formula>IF(AND($BU235&lt;=$BU$11,$BU235&gt;=$BU$12,$BU235&lt;&gt;0),TRUE,FALSE)</formula>
    </cfRule>
  </conditionalFormatting>
  <conditionalFormatting sqref="BU245 BU271 BU206:BU207">
    <cfRule type="expression" dxfId="3" priority="1298">
      <formula>IF(AND(OR($BU206&gt;$BU$11,$BU206&lt;$BU$12),$BU206&lt;&gt;0),TRUE,FALSE)</formula>
    </cfRule>
  </conditionalFormatting>
  <conditionalFormatting sqref="BU245 BU271">
    <cfRule type="expression" dxfId="2" priority="1297">
      <formula>IF(#REF!=BU245,TRUE,FALSE)</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J27" sqref="J27"/>
    </sheetView>
  </sheetViews>
  <sheetFormatPr defaultRowHeight="14.4" x14ac:dyDescent="0.3"/>
  <cols>
    <col min="4" max="4" width="27.6640625" customWidth="1"/>
    <col min="5" max="5" width="45" customWidth="1"/>
    <col min="6" max="11" width="19.88671875" customWidth="1"/>
    <col min="15" max="16" width="9.5546875" bestFit="1" customWidth="1"/>
  </cols>
  <sheetData>
    <row r="1" spans="1:18" x14ac:dyDescent="0.3">
      <c r="A1" t="s">
        <v>701</v>
      </c>
    </row>
    <row r="2" spans="1:18" x14ac:dyDescent="0.3">
      <c r="N2">
        <v>110</v>
      </c>
      <c r="O2" s="108">
        <v>75</v>
      </c>
    </row>
    <row r="3" spans="1:18" x14ac:dyDescent="0.3">
      <c r="A3" t="s">
        <v>687</v>
      </c>
      <c r="L3" t="s">
        <v>688</v>
      </c>
      <c r="N3" t="s">
        <v>460</v>
      </c>
    </row>
    <row r="4" spans="1:18" x14ac:dyDescent="0.3">
      <c r="B4" t="s">
        <v>689</v>
      </c>
      <c r="C4" t="s">
        <v>690</v>
      </c>
      <c r="F4" t="s">
        <v>17</v>
      </c>
      <c r="G4" t="s">
        <v>18</v>
      </c>
      <c r="H4" t="s">
        <v>19</v>
      </c>
      <c r="I4" t="s">
        <v>20</v>
      </c>
      <c r="J4" t="s">
        <v>21</v>
      </c>
      <c r="K4" t="s">
        <v>22</v>
      </c>
      <c r="L4" t="s">
        <v>691</v>
      </c>
      <c r="M4" t="s">
        <v>692</v>
      </c>
      <c r="N4" t="s">
        <v>693</v>
      </c>
      <c r="O4" t="s">
        <v>694</v>
      </c>
      <c r="Q4" t="s">
        <v>695</v>
      </c>
      <c r="R4" t="s">
        <v>696</v>
      </c>
    </row>
    <row r="5" spans="1:18" x14ac:dyDescent="0.3">
      <c r="B5" t="s">
        <v>698</v>
      </c>
      <c r="L5" s="106"/>
      <c r="M5" s="106"/>
      <c r="N5" s="106"/>
      <c r="O5" s="107"/>
      <c r="P5" s="107"/>
      <c r="Q5" s="105"/>
      <c r="R5" s="105"/>
    </row>
    <row r="6" spans="1:18" x14ac:dyDescent="0.3">
      <c r="B6">
        <v>11</v>
      </c>
      <c r="C6">
        <v>13</v>
      </c>
      <c r="D6" s="132" t="s">
        <v>893</v>
      </c>
      <c r="E6" s="132" t="s">
        <v>899</v>
      </c>
      <c r="F6" s="132">
        <v>0.68668371859999999</v>
      </c>
      <c r="G6" s="132">
        <v>-3.5825755200000003E-2</v>
      </c>
      <c r="H6" s="132">
        <v>7.8065630000000001E-4</v>
      </c>
      <c r="I6" s="132">
        <v>2.55636817E-2</v>
      </c>
      <c r="J6" s="132">
        <v>1.634393E-4</v>
      </c>
      <c r="K6" s="132">
        <v>-5.5893900000000005E-4</v>
      </c>
      <c r="L6" s="106">
        <v>25</v>
      </c>
      <c r="M6" s="106">
        <v>13.89</v>
      </c>
      <c r="N6" s="106">
        <f>($N$2-32)/1.8</f>
        <v>43.333333333333336</v>
      </c>
      <c r="O6" s="107">
        <f t="shared" ref="O6:O8" si="0">($O$2-32)/1.8</f>
        <v>23.888888888888889</v>
      </c>
      <c r="P6" s="107"/>
      <c r="Q6" s="105">
        <f t="shared" ref="Q6:R8" si="1">ROUND($F6+($G6*L6)+($H6*L6^2)+($I6*N6)+($J6*N6^2)+($K6*L6*N6),3)</f>
        <v>1.0880000000000001</v>
      </c>
      <c r="R6" s="105">
        <f t="shared" si="1"/>
        <v>0.85799999999999998</v>
      </c>
    </row>
    <row r="7" spans="1:18" x14ac:dyDescent="0.3">
      <c r="B7">
        <v>11</v>
      </c>
      <c r="C7">
        <v>15</v>
      </c>
      <c r="D7" s="132" t="s">
        <v>894</v>
      </c>
      <c r="E7" s="132" t="s">
        <v>900</v>
      </c>
      <c r="F7" s="135">
        <v>-0.19999207490000001</v>
      </c>
      <c r="G7" s="135">
        <v>-3.5685746099999999E-2</v>
      </c>
      <c r="H7" s="135">
        <v>7.865557E-4</v>
      </c>
      <c r="I7" s="135">
        <v>7.4834090000000006E-2</v>
      </c>
      <c r="J7" s="135">
        <v>-5.1612809999999996E-4</v>
      </c>
      <c r="K7" s="135">
        <v>-5.734968E-4</v>
      </c>
      <c r="L7" s="106">
        <v>25</v>
      </c>
      <c r="M7" s="106">
        <v>13.89</v>
      </c>
      <c r="N7" s="106">
        <f>($N$2-32)/1.8</f>
        <v>43.333333333333336</v>
      </c>
      <c r="O7" s="107">
        <f t="shared" si="0"/>
        <v>23.888888888888889</v>
      </c>
      <c r="P7" s="107"/>
      <c r="Q7" s="105">
        <f t="shared" si="1"/>
        <v>1.052</v>
      </c>
      <c r="R7" s="105">
        <f t="shared" si="1"/>
        <v>0.75900000000000001</v>
      </c>
    </row>
    <row r="8" spans="1:18" x14ac:dyDescent="0.3">
      <c r="B8">
        <v>11</v>
      </c>
      <c r="C8">
        <v>17</v>
      </c>
      <c r="D8" s="132" t="s">
        <v>895</v>
      </c>
      <c r="E8" s="132" t="s">
        <v>901</v>
      </c>
      <c r="F8" s="135">
        <v>-1.7904739961</v>
      </c>
      <c r="G8" s="135">
        <v>-2.87772944E-2</v>
      </c>
      <c r="H8" s="135">
        <v>7.6288609999999998E-4</v>
      </c>
      <c r="I8" s="135">
        <v>0.15339063089999999</v>
      </c>
      <c r="J8" s="135">
        <v>-1.4824492999999999E-3</v>
      </c>
      <c r="K8" s="135">
        <v>-7.2065360000000001E-4</v>
      </c>
      <c r="L8" s="106">
        <v>25</v>
      </c>
      <c r="M8" s="106">
        <v>13.89</v>
      </c>
      <c r="N8" s="106">
        <f>($N$2-32)/1.8</f>
        <v>43.333333333333336</v>
      </c>
      <c r="O8" s="107">
        <f t="shared" si="0"/>
        <v>23.888888888888889</v>
      </c>
      <c r="P8" s="107"/>
      <c r="Q8" s="105">
        <f t="shared" si="1"/>
        <v>1.0489999999999999</v>
      </c>
      <c r="R8" s="105">
        <f t="shared" si="1"/>
        <v>0.53600000000000003</v>
      </c>
    </row>
    <row r="10" spans="1:18" x14ac:dyDescent="0.3">
      <c r="B10" t="s">
        <v>697</v>
      </c>
    </row>
    <row r="11" spans="1:18" x14ac:dyDescent="0.3">
      <c r="B11">
        <v>13</v>
      </c>
      <c r="C11">
        <v>16</v>
      </c>
      <c r="D11" s="131" t="s">
        <v>896</v>
      </c>
      <c r="E11" s="131" t="s">
        <v>902</v>
      </c>
      <c r="F11" s="134">
        <v>-1.2471210388</v>
      </c>
      <c r="G11" s="134">
        <v>-2.75131006E-2</v>
      </c>
      <c r="H11" s="134">
        <v>7.5193649999999999E-4</v>
      </c>
      <c r="I11" s="134">
        <v>0.1211232191</v>
      </c>
      <c r="J11" s="134">
        <v>-1.0125734E-3</v>
      </c>
      <c r="K11" s="134">
        <v>-7.3577820000000004E-4</v>
      </c>
      <c r="L11" s="106">
        <v>25</v>
      </c>
      <c r="M11" s="106">
        <v>13.89</v>
      </c>
      <c r="N11" s="106">
        <f>($N$2-32)/1.8</f>
        <v>43.333333333333336</v>
      </c>
      <c r="O11" s="107">
        <f>($O$2-32)/1.8</f>
        <v>23.888888888888889</v>
      </c>
      <c r="P11" s="107"/>
      <c r="Q11" s="105">
        <f t="shared" ref="Q11:R13" si="2">ROUND($F11+($G11*L11)+($H11*L11^2)+($I11*N11)+($J11*N11^2)+($K11*L11*N11),3)</f>
        <v>1.085</v>
      </c>
      <c r="R11" s="105">
        <f t="shared" si="2"/>
        <v>0.58699999999999997</v>
      </c>
    </row>
    <row r="12" spans="1:18" x14ac:dyDescent="0.3">
      <c r="B12">
        <v>13</v>
      </c>
      <c r="C12">
        <v>18</v>
      </c>
      <c r="D12" s="131" t="s">
        <v>897</v>
      </c>
      <c r="E12" s="131" t="s">
        <v>903</v>
      </c>
      <c r="F12" s="134">
        <v>-2.7249195793999998</v>
      </c>
      <c r="G12" s="134">
        <v>-2.1119805299999999E-2</v>
      </c>
      <c r="H12" s="134">
        <v>7.2996729999999998E-4</v>
      </c>
      <c r="I12" s="134">
        <v>0.194127624</v>
      </c>
      <c r="J12" s="134">
        <v>-1.9107555E-3</v>
      </c>
      <c r="K12" s="134">
        <v>-8.7189989999999996E-4</v>
      </c>
      <c r="L12" s="106">
        <v>25</v>
      </c>
      <c r="M12" s="106">
        <v>13.89</v>
      </c>
      <c r="N12" s="106">
        <f>($N$2-32)/1.8</f>
        <v>43.333333333333336</v>
      </c>
      <c r="O12" s="107">
        <f t="shared" ref="O12:O13" si="3">($O$2-32)/1.8</f>
        <v>23.888888888888889</v>
      </c>
      <c r="P12" s="107"/>
      <c r="Q12" s="105">
        <f t="shared" si="2"/>
        <v>1.083</v>
      </c>
      <c r="R12" s="105">
        <f t="shared" si="2"/>
        <v>0.38</v>
      </c>
    </row>
    <row r="13" spans="1:18" x14ac:dyDescent="0.3">
      <c r="B13">
        <v>13</v>
      </c>
      <c r="C13">
        <v>20</v>
      </c>
      <c r="D13" s="131" t="s">
        <v>898</v>
      </c>
      <c r="E13" s="131" t="s">
        <v>904</v>
      </c>
      <c r="F13" s="131">
        <v>-3.0605377466000001</v>
      </c>
      <c r="G13" s="131">
        <v>-2.3207308699999998E-2</v>
      </c>
      <c r="H13" s="131">
        <v>7.4391970000000003E-4</v>
      </c>
      <c r="I13" s="131">
        <v>0.2160932548</v>
      </c>
      <c r="J13" s="131">
        <v>-2.2534293E-3</v>
      </c>
      <c r="K13" s="131">
        <v>-8.3941199999999999E-4</v>
      </c>
      <c r="L13" s="106">
        <v>25</v>
      </c>
      <c r="M13" s="106">
        <v>13.89</v>
      </c>
      <c r="N13" s="106">
        <f>($N$2-32)/1.8</f>
        <v>43.333333333333336</v>
      </c>
      <c r="O13" s="107">
        <f t="shared" si="3"/>
        <v>23.888888888888889</v>
      </c>
      <c r="P13" s="107"/>
      <c r="Q13" s="105">
        <f t="shared" si="2"/>
        <v>1.0469999999999999</v>
      </c>
      <c r="R13" s="105">
        <f t="shared" si="2"/>
        <v>0.35799999999999998</v>
      </c>
    </row>
    <row r="14" spans="1:18" x14ac:dyDescent="0.3">
      <c r="L14" s="106"/>
      <c r="M14" s="106"/>
      <c r="N14" s="106"/>
      <c r="O14" s="107"/>
      <c r="P14" s="107"/>
      <c r="Q14" s="105"/>
      <c r="R14" s="105"/>
    </row>
    <row r="16" spans="1:18" x14ac:dyDescent="0.3">
      <c r="C16" s="1" t="s">
        <v>708</v>
      </c>
    </row>
    <row r="17" spans="3:14" x14ac:dyDescent="0.3">
      <c r="C17" t="s">
        <v>711</v>
      </c>
    </row>
    <row r="18" spans="3:14" x14ac:dyDescent="0.3">
      <c r="D18" s="128" t="s">
        <v>709</v>
      </c>
      <c r="E18" s="128" t="s">
        <v>710</v>
      </c>
    </row>
    <row r="19" spans="3:14" x14ac:dyDescent="0.3">
      <c r="D19" s="129">
        <v>67</v>
      </c>
      <c r="E19" s="129">
        <f>(D19-32)*5/9</f>
        <v>19.444444444444443</v>
      </c>
    </row>
    <row r="20" spans="3:14" x14ac:dyDescent="0.3">
      <c r="C20" t="s">
        <v>892</v>
      </c>
      <c r="D20" s="128"/>
      <c r="E20" s="128"/>
    </row>
    <row r="21" spans="3:14" x14ac:dyDescent="0.3">
      <c r="D21" s="128" t="s">
        <v>699</v>
      </c>
      <c r="E21" s="128"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3">
      <c r="D22" s="129">
        <v>75</v>
      </c>
      <c r="E22" s="129">
        <f>(D22-32)*5/9</f>
        <v>23.888888888888889</v>
      </c>
      <c r="F22" s="105">
        <f>F$6+G$6*$E$19+(H$6*$E$19^2)+(I$6*$E22)+(J$6*$E22^2)+(K$6*$E$19*$E22)</f>
        <v>0.72955607174197512</v>
      </c>
      <c r="G22" s="105">
        <f>F$7+G$7*$E$19+(H$7*$E$19^2)+(I$7*$E22)+(J$7*$E22^2)+(K$7*$E$19*$E22)</f>
        <v>0.6302714292049385</v>
      </c>
      <c r="H22" s="105">
        <f>F$8+G$8*$E$19+(H$8*$E$19^2)+(I$8*$E22)+(J$8*$E22^2)+(K$8*$E$19*$E22)</f>
        <v>0.42198536601728381</v>
      </c>
      <c r="I22" s="105">
        <f>F$11+G$11*$E$19+(H$11*$E$19^2)+(I$11*$E22)+(J$11*$E22^2)+(K$11*$E$19*$E22)</f>
        <v>0.47607020361975344</v>
      </c>
      <c r="J22" s="105">
        <f>F$12+G$12*$E$19+(H$12*$E$19^2)+(I$12*$E22)+(J$12*$E22^2)+(K$12*$E$19*$E22)</f>
        <v>0.28247055553827238</v>
      </c>
      <c r="K22" s="105">
        <f>F$13+G$13*$E$19+(H$13*$E$19^2)+(I$13*$E22)+(J$13*$E22^2)+(K$13*$E$19*$E22)</f>
        <v>0.25580585531975314</v>
      </c>
      <c r="N22" s="105"/>
    </row>
    <row r="23" spans="3:14" x14ac:dyDescent="0.3">
      <c r="D23" s="129">
        <v>85</v>
      </c>
      <c r="E23" s="129">
        <f t="shared" ref="E23:E26" si="4">(D23-32)*5/9</f>
        <v>29.444444444444443</v>
      </c>
      <c r="F23" s="105">
        <f>F$6+G$6*$E$19+(H$6*$E$19^2)+(I$6*$E23)+(J$6*$E23^2)+(K$6*$E$19*$E23)</f>
        <v>0.85962377192716044</v>
      </c>
      <c r="G23" s="105">
        <f>F$7+G$7*$E$19+(H$7*$E$19^2)+(I$7*$E23)+(J$7*$E23^2)+(K$7*$E$19*$E23)</f>
        <v>0.83113771439012363</v>
      </c>
      <c r="H23" s="105">
        <f>F$8+G$8*$E$19+(H$8*$E$19^2)+(I$8*$E23)+(J$8*$E23^2)+(K$8*$E$19*$E23)</f>
        <v>0.75706291793086411</v>
      </c>
      <c r="I23" s="105">
        <f>F$11+G$11*$E$19+(H$11*$E$19^2)+(I$11*$E23)+(J$11*$E23^2)+(K$11*$E$19*$E23)</f>
        <v>0.76947301528641965</v>
      </c>
      <c r="J23" s="105">
        <f>F$12+G$12*$E$19+(H$12*$E$19^2)+(I$12*$E23)+(J$12*$E23^2)+(K$12*$E$19*$E23)</f>
        <v>0.70062086016790182</v>
      </c>
      <c r="K23" s="105">
        <f>F$13+G$13*$E$19+(H$13*$E$19^2)+(I$13*$E23)+(J$13*$E23^2)+(K$13*$E$19*$E23)</f>
        <v>0.69796395976419734</v>
      </c>
      <c r="N23" s="105"/>
    </row>
    <row r="24" spans="3:14" x14ac:dyDescent="0.3">
      <c r="D24" s="130">
        <v>95</v>
      </c>
      <c r="E24" s="130">
        <f t="shared" si="4"/>
        <v>35</v>
      </c>
      <c r="F24" s="109">
        <f>F$6+G$6*$E$19+(H$6*$E$19^2)+(I$6*$E24)+(J$6*$E24^2)+(K$6*$E$19*$E24)</f>
        <v>0.99978031779135801</v>
      </c>
      <c r="G24" s="109">
        <f>F$7+G$7*$E$19+(H$7*$E$19^2)+(I$7*$E24)+(J$7*$E24^2)+(K$7*$E$19*$E24)</f>
        <v>1.0001442403160494</v>
      </c>
      <c r="H24" s="109">
        <f>F$8+G$8*$E$19+(H$8*$E$19^2)+(I$8*$E24)+(J$8*$E24^2)+(K$8*$E$19*$E24)</f>
        <v>1.0006312537950615</v>
      </c>
      <c r="I24" s="109">
        <f>F$11+G$11*$E$19+(H$11*$E$19^2)+(I$11*$E24)+(J$11*$E24^2)+(K$11*$E$19*$E24)</f>
        <v>1.0003712960888891</v>
      </c>
      <c r="J24" s="109">
        <f>F$12+G$12*$E$19+(H$12*$E$19^2)+(I$12*$E24)+(J$12*$E24^2)+(K$12*$E$19*$E24)</f>
        <v>1.0008232944271609</v>
      </c>
      <c r="K24" s="109">
        <f>F$13+G$13*$E$19+(H$13*$E$19^2)+(I$13*$E24)+(J$13*$E24^2)+(K$13*$E$19*$E24)</f>
        <v>1.0010214901345671</v>
      </c>
      <c r="L24" s="17"/>
      <c r="N24" s="105"/>
    </row>
    <row r="25" spans="3:14" x14ac:dyDescent="0.3">
      <c r="D25" s="129">
        <v>105</v>
      </c>
      <c r="E25" s="129">
        <f t="shared" si="4"/>
        <v>40.555555555555557</v>
      </c>
      <c r="F25" s="105">
        <f>F$6+G$6*$E$19+(H$6*$E$19^2)+(I$6*$E25)+(J$6*$E25^2)+(K$6*$E$19*$E25)</f>
        <v>1.1500257093345678</v>
      </c>
      <c r="G25" s="105">
        <f>F$7+G$7*$E$19+(H$7*$E$19^2)+(I$7*$E25)+(J$7*$E25^2)+(K$7*$E$19*$E25)</f>
        <v>1.137291006982716</v>
      </c>
      <c r="H25" s="105">
        <f>F$8+G$8*$E$19+(H$8*$E$19^2)+(I$8*$E25)+(J$8*$E25^2)+(K$8*$E$19*$E25)</f>
        <v>1.1526903736098768</v>
      </c>
      <c r="I25" s="105">
        <f>F$11+G$11*$E$19+(H$11*$E$19^2)+(I$11*$E25)+(J$11*$E25^2)+(K$11*$E$19*$E25)</f>
        <v>1.1687650460271608</v>
      </c>
      <c r="J25" s="105">
        <f>F$12+G$12*$E$19+(H$12*$E$19^2)+(I$12*$E25)+(J$12*$E25^2)+(K$12*$E$19*$E25)</f>
        <v>1.1830778583160502</v>
      </c>
      <c r="K25" s="105">
        <f>F$13+G$13*$E$19+(H$13*$E$19^2)+(I$13*$E25)+(J$13*$E25^2)+(K$13*$E$19*$E25)</f>
        <v>1.1649784464308657</v>
      </c>
      <c r="N25" s="105"/>
    </row>
    <row r="26" spans="3:14" x14ac:dyDescent="0.3">
      <c r="D26" s="129">
        <v>115</v>
      </c>
      <c r="E26" s="129">
        <f t="shared" si="4"/>
        <v>46.111111111111114</v>
      </c>
      <c r="F26" s="105">
        <f>F$6+G$6*$E$19+(H$6*$E$19^2)+(I$6*$E26)+(J$6*$E26^2)+(K$6*$E$19*$E26)</f>
        <v>1.3103599465567901</v>
      </c>
      <c r="G26" s="105">
        <f>F$7+G$7*$E$19+(H$7*$E$19^2)+(I$7*$E26)+(J$7*$E26^2)+(K$7*$E$19*$E26)</f>
        <v>1.2425780143901242</v>
      </c>
      <c r="H26" s="105">
        <f>F$8+G$8*$E$19+(H$8*$E$19^2)+(I$8*$E26)+(J$8*$E26^2)+(K$8*$E$19*$E26)</f>
        <v>1.2132402773753077</v>
      </c>
      <c r="I26" s="105">
        <f>F$11+G$11*$E$19+(H$11*$E$19^2)+(I$11*$E26)+(J$11*$E26^2)+(K$11*$E$19*$E26)</f>
        <v>1.2746542651012347</v>
      </c>
      <c r="J26" s="105">
        <f>F$12+G$12*$E$19+(H$12*$E$19^2)+(I$12*$E26)+(J$12*$E26^2)+(K$12*$E$19*$E26)</f>
        <v>1.2473845518345685</v>
      </c>
      <c r="K26" s="105">
        <f>F$13+G$13*$E$19+(H$13*$E$19^2)+(I$13*$E26)+(J$13*$E26^2)+(K$13*$E$19*$E26)</f>
        <v>1.1898348286530882</v>
      </c>
      <c r="N26" s="105"/>
    </row>
    <row r="33" spans="2:12" x14ac:dyDescent="0.3">
      <c r="B33" t="s">
        <v>911</v>
      </c>
    </row>
    <row r="34" spans="2:12" x14ac:dyDescent="0.3">
      <c r="D34" s="131" t="s">
        <v>707</v>
      </c>
      <c r="E34" s="132" t="s">
        <v>850</v>
      </c>
      <c r="F34" s="132" t="s">
        <v>851</v>
      </c>
      <c r="G34" s="132" t="s">
        <v>852</v>
      </c>
      <c r="H34" s="132" t="s">
        <v>853</v>
      </c>
      <c r="I34" s="132" t="s">
        <v>854</v>
      </c>
      <c r="J34" s="132" t="s">
        <v>855</v>
      </c>
      <c r="K34" s="132" t="s">
        <v>856</v>
      </c>
    </row>
    <row r="35" spans="2:12" x14ac:dyDescent="0.3">
      <c r="D35" s="131" t="s">
        <v>706</v>
      </c>
      <c r="E35" s="132" t="s">
        <v>857</v>
      </c>
      <c r="F35" s="132" t="s">
        <v>858</v>
      </c>
      <c r="G35" s="132" t="s">
        <v>859</v>
      </c>
      <c r="H35" s="132" t="s">
        <v>860</v>
      </c>
      <c r="I35" s="132" t="s">
        <v>861</v>
      </c>
      <c r="J35" s="132" t="s">
        <v>862</v>
      </c>
      <c r="K35" s="132" t="s">
        <v>863</v>
      </c>
    </row>
    <row r="36" spans="2:12" x14ac:dyDescent="0.3">
      <c r="D36" s="131" t="s">
        <v>705</v>
      </c>
      <c r="E36" s="132" t="s">
        <v>864</v>
      </c>
      <c r="F36" s="132" t="s">
        <v>865</v>
      </c>
      <c r="G36" s="132" t="s">
        <v>866</v>
      </c>
      <c r="H36" s="132" t="s">
        <v>867</v>
      </c>
      <c r="I36" s="132" t="s">
        <v>868</v>
      </c>
      <c r="J36" s="132" t="s">
        <v>869</v>
      </c>
      <c r="K36" s="132" t="s">
        <v>870</v>
      </c>
    </row>
    <row r="37" spans="2:12" x14ac:dyDescent="0.3">
      <c r="D37" s="132" t="s">
        <v>704</v>
      </c>
      <c r="E37" s="131" t="s">
        <v>871</v>
      </c>
      <c r="F37" s="131" t="s">
        <v>872</v>
      </c>
      <c r="G37" s="131" t="s">
        <v>873</v>
      </c>
      <c r="H37" s="131" t="s">
        <v>874</v>
      </c>
      <c r="I37" s="131" t="s">
        <v>875</v>
      </c>
      <c r="J37" s="131" t="s">
        <v>876</v>
      </c>
      <c r="K37" s="131" t="s">
        <v>877</v>
      </c>
    </row>
    <row r="38" spans="2:12" x14ac:dyDescent="0.3">
      <c r="D38" s="132" t="s">
        <v>703</v>
      </c>
      <c r="E38" s="131" t="s">
        <v>878</v>
      </c>
      <c r="F38" s="131" t="s">
        <v>879</v>
      </c>
      <c r="G38" s="131" t="s">
        <v>880</v>
      </c>
      <c r="H38" s="131" t="s">
        <v>881</v>
      </c>
      <c r="I38" s="131" t="s">
        <v>882</v>
      </c>
      <c r="J38" s="131" t="s">
        <v>883</v>
      </c>
      <c r="K38" s="131" t="s">
        <v>884</v>
      </c>
    </row>
    <row r="39" spans="2:12" x14ac:dyDescent="0.3">
      <c r="D39" s="132" t="s">
        <v>702</v>
      </c>
      <c r="E39" s="131" t="s">
        <v>885</v>
      </c>
      <c r="F39" s="131" t="s">
        <v>886</v>
      </c>
      <c r="G39" s="131" t="s">
        <v>887</v>
      </c>
      <c r="H39" s="131" t="s">
        <v>888</v>
      </c>
      <c r="I39" s="131" t="s">
        <v>889</v>
      </c>
      <c r="J39" s="131" t="s">
        <v>890</v>
      </c>
      <c r="K39" s="131" t="s">
        <v>891</v>
      </c>
    </row>
    <row r="40" spans="2:12" x14ac:dyDescent="0.3">
      <c r="L40" t="s">
        <v>32</v>
      </c>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zoomScale="70" zoomScaleNormal="70" workbookViewId="0">
      <selection activeCell="AN62" sqref="AN62"/>
    </sheetView>
  </sheetViews>
  <sheetFormatPr defaultColWidth="12.6640625" defaultRowHeight="15" customHeight="1" x14ac:dyDescent="0.3"/>
  <cols>
    <col min="1" max="1" width="4.44140625" style="140" customWidth="1"/>
    <col min="2" max="2" width="76" style="140" customWidth="1"/>
    <col min="3" max="3" width="45" style="140" customWidth="1"/>
    <col min="4" max="17" width="12" style="140" customWidth="1"/>
    <col min="18" max="18" width="4.109375" style="140" customWidth="1"/>
    <col min="19" max="19" width="24.6640625" style="140" customWidth="1"/>
    <col min="20" max="28" width="12" style="140" customWidth="1"/>
    <col min="29" max="29" width="4.44140625" style="140" customWidth="1"/>
    <col min="30" max="30" width="65" style="140" customWidth="1"/>
    <col min="31" max="37" width="12" style="140" customWidth="1"/>
    <col min="38" max="38" width="3.6640625" style="140" customWidth="1"/>
    <col min="39" max="39" width="52.88671875" style="140" customWidth="1"/>
    <col min="40" max="46" width="12" style="140" customWidth="1"/>
    <col min="47" max="47" width="3.6640625" style="140" customWidth="1"/>
    <col min="48" max="48" width="50.109375" style="140" customWidth="1"/>
    <col min="49" max="49" width="12" style="140" customWidth="1"/>
    <col min="50" max="50" width="14.109375" style="140" bestFit="1" customWidth="1"/>
    <col min="51" max="51" width="14.109375" style="140" customWidth="1"/>
    <col min="52" max="52" width="4" style="140" customWidth="1"/>
    <col min="53" max="53" width="29.88671875" style="140" customWidth="1"/>
    <col min="54" max="72" width="12" style="140" customWidth="1"/>
    <col min="73" max="16384" width="12.6640625" style="140"/>
  </cols>
  <sheetData>
    <row r="1" spans="1:50" ht="15.9" customHeight="1" x14ac:dyDescent="0.3"/>
    <row r="2" spans="1:50" ht="15.9" customHeight="1" x14ac:dyDescent="0.3"/>
    <row r="3" spans="1:50" ht="15.75" customHeight="1" x14ac:dyDescent="0.3"/>
    <row r="4" spans="1:50" ht="15.75" customHeight="1" thickBot="1" x14ac:dyDescent="0.35">
      <c r="A4" s="141" t="s">
        <v>1008</v>
      </c>
      <c r="R4" s="141" t="s">
        <v>1092</v>
      </c>
      <c r="AC4" s="141" t="s">
        <v>1097</v>
      </c>
      <c r="AL4" s="141" t="s">
        <v>1015</v>
      </c>
      <c r="AM4" s="141"/>
      <c r="AU4" s="141" t="s">
        <v>1049</v>
      </c>
    </row>
    <row r="5" spans="1:50" ht="15.75" customHeight="1" x14ac:dyDescent="0.3">
      <c r="A5" s="164"/>
      <c r="B5" s="145" t="str">
        <f>'ACM Performance Curves'!M15</f>
        <v>E+ Field(s)</v>
      </c>
      <c r="C5" s="143" t="str">
        <f>'ACM Performance Curves'!N15</f>
        <v>Curve Name (generated from fields)</v>
      </c>
      <c r="D5" s="143" t="str">
        <f>'ACM Performance Curves'!O15</f>
        <v>Curve Type</v>
      </c>
      <c r="E5" s="143" t="str">
        <f>'ACM Performance Curves'!P15</f>
        <v>Dependent</v>
      </c>
      <c r="F5" s="143" t="str">
        <f>'ACM Performance Curves'!Q15</f>
        <v>Var1</v>
      </c>
      <c r="G5" s="143" t="str">
        <f>'ACM Performance Curves'!R15</f>
        <v>Var2</v>
      </c>
      <c r="H5" s="143" t="str">
        <f>'ACM Performance Curves'!S15</f>
        <v>Var3</v>
      </c>
      <c r="I5" s="143" t="str">
        <f>'ACM Performance Curves'!T15</f>
        <v>Var4</v>
      </c>
      <c r="J5" s="143" t="str">
        <f>'ACM Performance Curves'!U15</f>
        <v>Var5</v>
      </c>
      <c r="K5" s="143" t="str">
        <f>'ACM Performance Curves'!V15</f>
        <v>a</v>
      </c>
      <c r="L5" s="143" t="str">
        <f>'ACM Performance Curves'!W15</f>
        <v>b</v>
      </c>
      <c r="M5" s="143" t="str">
        <f>'ACM Performance Curves'!X15</f>
        <v>c</v>
      </c>
      <c r="N5" s="143" t="str">
        <f>'ACM Performance Curves'!Y15</f>
        <v>d</v>
      </c>
      <c r="O5" s="143" t="str">
        <f>'ACM Performance Curves'!Z15</f>
        <v>e</v>
      </c>
      <c r="P5" s="144" t="str">
        <f>'ACM Performance Curves'!AA15</f>
        <v>f</v>
      </c>
      <c r="S5" s="191" t="s">
        <v>1096</v>
      </c>
      <c r="AD5" s="142" t="s">
        <v>961</v>
      </c>
      <c r="AE5" s="162" t="s">
        <v>946</v>
      </c>
      <c r="AF5" s="162"/>
      <c r="AG5" s="162"/>
      <c r="AH5" s="162" t="s">
        <v>947</v>
      </c>
      <c r="AI5" s="162"/>
      <c r="AJ5" s="163"/>
      <c r="AK5" s="179"/>
      <c r="AM5" s="142" t="s">
        <v>965</v>
      </c>
      <c r="AN5" s="143"/>
      <c r="AO5" s="144"/>
      <c r="AV5" s="145" t="s">
        <v>1050</v>
      </c>
      <c r="AW5" s="144" t="s">
        <v>1051</v>
      </c>
    </row>
    <row r="6" spans="1:50" ht="15.75" customHeight="1" x14ac:dyDescent="0.3">
      <c r="A6" s="297" t="s">
        <v>1011</v>
      </c>
      <c r="B6" s="146" t="str">
        <f>'ACM Performance Curves'!M261</f>
        <v>Cooling Capacity Ratio Modifier Function of Low Temperature Curve Name</v>
      </c>
      <c r="C6" s="140" t="str">
        <f>'ACM Performance Curves'!N261</f>
        <v>EPDef-VRFSysClgQRatio_fTwbToadbLowSI</v>
      </c>
      <c r="D6" s="140" t="str">
        <f>'ACM Performance Curves'!O261</f>
        <v>BiQuadratic</v>
      </c>
      <c r="E6" s="140" t="str">
        <f>'ACM Performance Curves'!P261</f>
        <v>QRatio</v>
      </c>
      <c r="F6" s="140" t="str">
        <f>'ACM Performance Curves'!Q261</f>
        <v>Twb</v>
      </c>
      <c r="G6" s="140" t="str">
        <f>'ACM Performance Curves'!R261</f>
        <v>Toadb</v>
      </c>
      <c r="H6" s="140" t="str">
        <f>'ACM Performance Curves'!S261</f>
        <v>Low</v>
      </c>
      <c r="I6" s="140">
        <f>'ACM Performance Curves'!T261</f>
        <v>0</v>
      </c>
      <c r="J6" s="140">
        <f>'ACM Performance Curves'!U261</f>
        <v>0</v>
      </c>
      <c r="K6" s="140">
        <f>'ACM Performance Curves'!V261</f>
        <v>0.57688300000000003</v>
      </c>
      <c r="L6" s="140">
        <f>'ACM Performance Curves'!W261</f>
        <v>1.7448000000000002E-2</v>
      </c>
      <c r="M6" s="140">
        <f>'ACM Performance Curves'!X261</f>
        <v>5.8299999999999997E-4</v>
      </c>
      <c r="N6" s="140">
        <f>'ACM Performance Curves'!Y261</f>
        <v>-1.9999999999999999E-6</v>
      </c>
      <c r="O6" s="140">
        <f>'ACM Performance Curves'!Z261</f>
        <v>0</v>
      </c>
      <c r="P6" s="147">
        <f>'ACM Performance Curves'!AA261</f>
        <v>0</v>
      </c>
      <c r="S6" s="141" t="s">
        <v>946</v>
      </c>
      <c r="AD6" s="146" t="s">
        <v>1006</v>
      </c>
      <c r="AE6" s="168">
        <v>115</v>
      </c>
      <c r="AF6" s="168">
        <v>95</v>
      </c>
      <c r="AG6" s="168">
        <v>82</v>
      </c>
      <c r="AH6" s="168">
        <v>47</v>
      </c>
      <c r="AI6" s="168">
        <v>17</v>
      </c>
      <c r="AJ6" s="169">
        <v>5</v>
      </c>
      <c r="AK6" s="168"/>
      <c r="AM6" s="146" t="s">
        <v>966</v>
      </c>
      <c r="AN6" s="138">
        <v>0.5</v>
      </c>
      <c r="AO6" s="192"/>
      <c r="AP6" s="185" t="s">
        <v>1103</v>
      </c>
      <c r="AV6" s="146" t="s">
        <v>1052</v>
      </c>
      <c r="AW6" s="147">
        <v>0.96</v>
      </c>
    </row>
    <row r="7" spans="1:50" ht="15.75" customHeight="1" x14ac:dyDescent="0.3">
      <c r="A7" s="297"/>
      <c r="B7" s="146" t="str">
        <f>'ACM Performance Curves'!M262</f>
        <v>Cooling Capacity Ratio Boundary Curve Name</v>
      </c>
      <c r="C7" s="140" t="str">
        <f>'ACM Performance Curves'!N262</f>
        <v>EPDef-VRFSysClgCapBdry_fToadbSI</v>
      </c>
      <c r="D7" s="140" t="str">
        <f>'ACM Performance Curves'!O262</f>
        <v>Cubic</v>
      </c>
      <c r="E7" s="140" t="str">
        <f>'ACM Performance Curves'!P262</f>
        <v>CapBdry</v>
      </c>
      <c r="F7" s="140" t="str">
        <f>'ACM Performance Curves'!Q262</f>
        <v>Toadb</v>
      </c>
      <c r="G7" s="140">
        <f>'ACM Performance Curves'!R262</f>
        <v>0</v>
      </c>
      <c r="H7" s="140">
        <f>'ACM Performance Curves'!S262</f>
        <v>0</v>
      </c>
      <c r="I7" s="140">
        <f>'ACM Performance Curves'!T262</f>
        <v>0</v>
      </c>
      <c r="J7" s="140">
        <f>'ACM Performance Curves'!U262</f>
        <v>0</v>
      </c>
      <c r="K7" s="140">
        <f>'ACM Performance Curves'!V262</f>
        <v>25.73</v>
      </c>
      <c r="L7" s="140">
        <f>'ACM Performance Curves'!W262</f>
        <v>-3.15E-2</v>
      </c>
      <c r="M7" s="140">
        <f>'ACM Performance Curves'!X262</f>
        <v>-1.4166E-2</v>
      </c>
      <c r="N7" s="140">
        <f>'ACM Performance Curves'!Y262</f>
        <v>0</v>
      </c>
      <c r="O7" s="140">
        <f>'ACM Performance Curves'!Z262</f>
        <v>0</v>
      </c>
      <c r="P7" s="147">
        <f>'ACM Performance Curves'!AA262</f>
        <v>0</v>
      </c>
      <c r="S7" s="140" t="s">
        <v>948</v>
      </c>
      <c r="W7" s="140" t="s">
        <v>1095</v>
      </c>
      <c r="AD7" s="146" t="s">
        <v>1007</v>
      </c>
      <c r="AE7" s="168">
        <v>67</v>
      </c>
      <c r="AF7" s="168">
        <v>67</v>
      </c>
      <c r="AG7" s="168">
        <v>67</v>
      </c>
      <c r="AJ7" s="169"/>
      <c r="AK7" s="168"/>
      <c r="AM7" s="146" t="s">
        <v>967</v>
      </c>
      <c r="AN7" s="184">
        <v>0.210115</v>
      </c>
      <c r="AO7" s="147"/>
      <c r="AV7" s="146" t="s">
        <v>1053</v>
      </c>
      <c r="AW7" s="147">
        <f>AN23</f>
        <v>350</v>
      </c>
    </row>
    <row r="8" spans="1:50" ht="15.75" customHeight="1" x14ac:dyDescent="0.3">
      <c r="A8" s="297"/>
      <c r="B8" s="146" t="str">
        <f>'ACM Performance Curves'!M263</f>
        <v>Cooling Capacity Ratio Modifier Function of High Temperature Curve Name</v>
      </c>
      <c r="C8" s="140" t="str">
        <f>'ACM Performance Curves'!N263</f>
        <v>EPDef-VRFSysClgQRatio_fTdbToadbHiSI</v>
      </c>
      <c r="D8" s="140" t="str">
        <f>'ACM Performance Curves'!O263</f>
        <v>BiQuadratic</v>
      </c>
      <c r="E8" s="140" t="str">
        <f>'ACM Performance Curves'!P263</f>
        <v>QRatio</v>
      </c>
      <c r="F8" s="140" t="str">
        <f>'ACM Performance Curves'!Q263</f>
        <v>Tdb</v>
      </c>
      <c r="G8" s="140" t="str">
        <f>'ACM Performance Curves'!R263</f>
        <v>Toadb</v>
      </c>
      <c r="H8" s="140" t="str">
        <f>'ACM Performance Curves'!S263</f>
        <v>Hi</v>
      </c>
      <c r="I8" s="140">
        <f>'ACM Performance Curves'!T263</f>
        <v>0</v>
      </c>
      <c r="J8" s="140">
        <f>'ACM Performance Curves'!U263</f>
        <v>0</v>
      </c>
      <c r="K8" s="140">
        <f>'ACM Performance Curves'!V263</f>
        <v>0.68673600000000001</v>
      </c>
      <c r="L8" s="140">
        <f>'ACM Performance Curves'!W263</f>
        <v>2.0763E-2</v>
      </c>
      <c r="M8" s="140">
        <f>'ACM Performance Curves'!X263</f>
        <v>5.4500000000000002E-4</v>
      </c>
      <c r="N8" s="140">
        <f>'ACM Performance Curves'!Y263</f>
        <v>-1.622E-3</v>
      </c>
      <c r="O8" s="140">
        <f>'ACM Performance Curves'!Z263</f>
        <v>0</v>
      </c>
      <c r="P8" s="147">
        <f>'ACM Performance Curves'!AA263</f>
        <v>-3.39E-4</v>
      </c>
      <c r="S8" s="140" t="s">
        <v>1093</v>
      </c>
      <c r="T8" s="140">
        <v>0.25</v>
      </c>
      <c r="W8" s="140" t="s">
        <v>1083</v>
      </c>
      <c r="X8" s="138">
        <v>0.55000000000000004</v>
      </c>
      <c r="AD8" s="146" t="s">
        <v>1100</v>
      </c>
      <c r="AH8" s="168">
        <v>70</v>
      </c>
      <c r="AI8" s="168">
        <v>70</v>
      </c>
      <c r="AJ8" s="169">
        <v>70</v>
      </c>
      <c r="AM8" s="146" t="s">
        <v>968</v>
      </c>
      <c r="AN8" s="184">
        <v>0.25337799999999999</v>
      </c>
      <c r="AO8" s="147"/>
      <c r="AV8" s="146" t="s">
        <v>1054</v>
      </c>
      <c r="AW8" s="147">
        <f>AN17</f>
        <v>0.25</v>
      </c>
    </row>
    <row r="9" spans="1:50" ht="15.75" customHeight="1" thickBot="1" x14ac:dyDescent="0.35">
      <c r="A9" s="297"/>
      <c r="B9" s="146" t="str">
        <f>'ACM Performance Curves'!M264</f>
        <v>Cooling Combination Ratio Correction Factor Curve Name</v>
      </c>
      <c r="C9" s="140" t="str">
        <f>'ACM Performance Curves'!N264</f>
        <v>EPDef-VRFSysClgQRatio_fCombRat</v>
      </c>
      <c r="D9" s="140" t="str">
        <f>'ACM Performance Curves'!O264</f>
        <v>Linear</v>
      </c>
      <c r="E9" s="140" t="str">
        <f>'ACM Performance Curves'!P264</f>
        <v>QRatio</v>
      </c>
      <c r="F9" s="140" t="str">
        <f>'ACM Performance Curves'!Q264</f>
        <v>CombRat</v>
      </c>
      <c r="G9" s="140">
        <f>'ACM Performance Curves'!R264</f>
        <v>0</v>
      </c>
      <c r="H9" s="140">
        <f>'ACM Performance Curves'!S264</f>
        <v>0</v>
      </c>
      <c r="I9" s="140">
        <f>'ACM Performance Curves'!T264</f>
        <v>0</v>
      </c>
      <c r="J9" s="140">
        <f>'ACM Performance Curves'!U264</f>
        <v>0</v>
      </c>
      <c r="K9" s="140">
        <f>'ACM Performance Curves'!V264</f>
        <v>0.61805500000000002</v>
      </c>
      <c r="L9" s="140">
        <f>'ACM Performance Curves'!W264</f>
        <v>0.38194499999999998</v>
      </c>
      <c r="M9" s="140">
        <f>'ACM Performance Curves'!X264</f>
        <v>0</v>
      </c>
      <c r="N9" s="140">
        <f>'ACM Performance Curves'!Y264</f>
        <v>0</v>
      </c>
      <c r="O9" s="140">
        <f>'ACM Performance Curves'!Z264</f>
        <v>0</v>
      </c>
      <c r="P9" s="147">
        <f>'ACM Performance Curves'!AA264</f>
        <v>0</v>
      </c>
      <c r="S9" s="140" t="s">
        <v>1094</v>
      </c>
      <c r="T9" s="140">
        <v>0.15</v>
      </c>
      <c r="W9" s="186" t="s">
        <v>1086</v>
      </c>
      <c r="X9" s="138">
        <v>0.55000000000000004</v>
      </c>
      <c r="AD9" s="148" t="s">
        <v>1010</v>
      </c>
      <c r="AE9" s="149">
        <v>0.25</v>
      </c>
      <c r="AF9" s="149">
        <f>AE9</f>
        <v>0.25</v>
      </c>
      <c r="AG9" s="149">
        <f>AF9</f>
        <v>0.25</v>
      </c>
      <c r="AH9" s="149">
        <f t="shared" ref="AH9:AJ9" si="0">AG9</f>
        <v>0.25</v>
      </c>
      <c r="AI9" s="149">
        <f t="shared" si="0"/>
        <v>0.25</v>
      </c>
      <c r="AJ9" s="160">
        <f t="shared" si="0"/>
        <v>0.25</v>
      </c>
      <c r="AM9" s="146" t="s">
        <v>969</v>
      </c>
      <c r="AN9" s="138">
        <f>AN15/1.33</f>
        <v>39284.135338345863</v>
      </c>
      <c r="AO9" s="147" t="s">
        <v>941</v>
      </c>
      <c r="AP9" s="185" t="s">
        <v>1104</v>
      </c>
      <c r="AV9" s="146" t="s">
        <v>1055</v>
      </c>
      <c r="AW9" s="147">
        <f>AN17</f>
        <v>0.25</v>
      </c>
    </row>
    <row r="10" spans="1:50" ht="15.75" customHeight="1" x14ac:dyDescent="0.3">
      <c r="A10" s="297"/>
      <c r="B10" s="146" t="str">
        <f>'ACM Performance Curves'!M265</f>
        <v>Heat Recovery Cooling Capacity Modifier Curve Name</v>
      </c>
      <c r="C10" s="140" t="str">
        <f>'ACM Performance Curves'!N265</f>
        <v>EPDef-VRFSysHtRcvryClgQRatio_fTwbToadbSI</v>
      </c>
      <c r="D10" s="140" t="str">
        <f>'ACM Performance Curves'!O265</f>
        <v>BiQuadratic</v>
      </c>
      <c r="E10" s="140" t="str">
        <f>'ACM Performance Curves'!P265</f>
        <v>QRatio</v>
      </c>
      <c r="F10" s="140" t="str">
        <f>'ACM Performance Curves'!Q265</f>
        <v>Twb</v>
      </c>
      <c r="G10" s="140" t="str">
        <f>'ACM Performance Curves'!R265</f>
        <v>Toadb</v>
      </c>
      <c r="H10" s="140">
        <f>'ACM Performance Curves'!S265</f>
        <v>0</v>
      </c>
      <c r="I10" s="140">
        <f>'ACM Performance Curves'!T265</f>
        <v>0</v>
      </c>
      <c r="J10" s="140">
        <f>'ACM Performance Curves'!U265</f>
        <v>0</v>
      </c>
      <c r="K10" s="140">
        <f>'ACM Performance Curves'!V265</f>
        <v>0.9</v>
      </c>
      <c r="L10" s="140">
        <f>'ACM Performance Curves'!W265</f>
        <v>0</v>
      </c>
      <c r="M10" s="140">
        <f>'ACM Performance Curves'!X265</f>
        <v>0</v>
      </c>
      <c r="N10" s="140">
        <f>'ACM Performance Curves'!Y265</f>
        <v>0</v>
      </c>
      <c r="O10" s="140">
        <f>'ACM Performance Curves'!Z265</f>
        <v>0</v>
      </c>
      <c r="P10" s="147">
        <f>'ACM Performance Curves'!AA265</f>
        <v>0</v>
      </c>
      <c r="W10" s="140" t="s">
        <v>1091</v>
      </c>
      <c r="X10" s="138">
        <v>-0.6</v>
      </c>
      <c r="AC10" s="300" t="s">
        <v>1011</v>
      </c>
      <c r="AD10" s="167" t="s">
        <v>960</v>
      </c>
      <c r="AE10" s="145"/>
      <c r="AF10" s="143"/>
      <c r="AG10" s="144"/>
      <c r="AH10" s="145"/>
      <c r="AI10" s="143"/>
      <c r="AJ10" s="144"/>
      <c r="AM10" s="146" t="s">
        <v>970</v>
      </c>
      <c r="AN10" s="138">
        <f>AN16/1.33</f>
        <v>32758.045112781951</v>
      </c>
      <c r="AO10" s="147" t="s">
        <v>941</v>
      </c>
      <c r="AP10" s="185" t="s">
        <v>1105</v>
      </c>
      <c r="AV10" s="146" t="s">
        <v>1056</v>
      </c>
      <c r="AW10" s="147" t="s">
        <v>1108</v>
      </c>
    </row>
    <row r="11" spans="1:50" ht="15.75" customHeight="1" x14ac:dyDescent="0.3">
      <c r="A11" s="297"/>
      <c r="B11" s="146" t="str">
        <f>'ACM Performance Curves'!M266</f>
        <v>Heating Capacity Ratio Modifier Function of Low Temperature Curve Name</v>
      </c>
      <c r="C11" s="140" t="str">
        <f>'ACM Performance Curves'!N266</f>
        <v>EPDef-VRFSysHtgQRatio_fTwbToadbLowSI</v>
      </c>
      <c r="D11" s="140" t="str">
        <f>'ACM Performance Curves'!O266</f>
        <v>BiQuadratic</v>
      </c>
      <c r="E11" s="140" t="str">
        <f>'ACM Performance Curves'!P266</f>
        <v>QRatio</v>
      </c>
      <c r="F11" s="140" t="str">
        <f>'ACM Performance Curves'!Q266</f>
        <v>Twb</v>
      </c>
      <c r="G11" s="140" t="str">
        <f>'ACM Performance Curves'!R266</f>
        <v>Toadb</v>
      </c>
      <c r="H11" s="140" t="str">
        <f>'ACM Performance Curves'!S266</f>
        <v>Low</v>
      </c>
      <c r="I11" s="140">
        <f>'ACM Performance Curves'!T266</f>
        <v>0</v>
      </c>
      <c r="J11" s="140">
        <f>'ACM Performance Curves'!U266</f>
        <v>0</v>
      </c>
      <c r="K11" s="140">
        <f>'ACM Performance Curves'!V266</f>
        <v>1.0145999999999999</v>
      </c>
      <c r="L11" s="140">
        <f>'ACM Performance Curves'!W266</f>
        <v>-2.5070000000000001E-3</v>
      </c>
      <c r="M11" s="140">
        <f>'ACM Performance Curves'!X266</f>
        <v>-1.4200000000000001E-4</v>
      </c>
      <c r="N11" s="140">
        <f>'ACM Performance Curves'!Y266</f>
        <v>2.6931594999999999E-2</v>
      </c>
      <c r="O11" s="140">
        <f>'ACM Performance Curves'!Z266</f>
        <v>1.84E-6</v>
      </c>
      <c r="P11" s="147">
        <f>'ACM Performance Curves'!AA266</f>
        <v>-3.5814700000000001E-4</v>
      </c>
      <c r="W11" s="140" t="s">
        <v>1090</v>
      </c>
      <c r="X11" s="193">
        <v>0</v>
      </c>
      <c r="Y11" s="193">
        <f>1/(1-$X$10)</f>
        <v>0.625</v>
      </c>
      <c r="Z11" s="193">
        <f>-$X$10/(1-$X$10)^2</f>
        <v>0.23437499999999994</v>
      </c>
      <c r="AC11" s="297"/>
      <c r="AD11" s="165" t="s">
        <v>951</v>
      </c>
      <c r="AE11" s="146">
        <f>$K41+$L41*AE$7+$M41*AE$7^2+$N41*AE$6+$O41*AE$6^2+$P41*AE$7*AE$6</f>
        <v>1.1364818271604942</v>
      </c>
      <c r="AF11" s="140">
        <f>$K41+$L41*AF$7+$M41*AF$7^2+$N41*AF$6+$O41*AF$6^2+$P41*AF$7*AF$6</f>
        <v>1.1365040493827163</v>
      </c>
      <c r="AG11" s="147">
        <f>$K41+$L41*AG$7+$M41*AG$7^2+$N41*AG$6+$O41*AG$6^2+$P41*AG$7*AG$6</f>
        <v>1.1365184938271609</v>
      </c>
      <c r="AH11" s="146"/>
      <c r="AJ11" s="147"/>
      <c r="AM11" s="146" t="s">
        <v>971</v>
      </c>
      <c r="AN11" s="140">
        <f>AN15/AN9</f>
        <v>1.33</v>
      </c>
      <c r="AO11" s="147"/>
      <c r="AP11" s="185" t="s">
        <v>1105</v>
      </c>
      <c r="AV11" s="146" t="s">
        <v>1057</v>
      </c>
      <c r="AW11" s="147" t="s">
        <v>1058</v>
      </c>
    </row>
    <row r="12" spans="1:50" ht="15.75" customHeight="1" x14ac:dyDescent="0.3">
      <c r="A12" s="297"/>
      <c r="B12" s="146" t="str">
        <f>'ACM Performance Curves'!M267</f>
        <v>Heating Capacity Ratio Boundary Curve Name</v>
      </c>
      <c r="C12" s="140" t="str">
        <f>'ACM Performance Curves'!N267</f>
        <v>EPDef-VRFSysHtgCapBdry_fToadbSI</v>
      </c>
      <c r="D12" s="140" t="str">
        <f>'ACM Performance Curves'!O267</f>
        <v>Cubic</v>
      </c>
      <c r="E12" s="140" t="str">
        <f>'ACM Performance Curves'!P267</f>
        <v>CapBdry</v>
      </c>
      <c r="F12" s="140" t="str">
        <f>'ACM Performance Curves'!Q267</f>
        <v>Toadb</v>
      </c>
      <c r="G12" s="140">
        <f>'ACM Performance Curves'!R267</f>
        <v>0</v>
      </c>
      <c r="H12" s="140">
        <f>'ACM Performance Curves'!S267</f>
        <v>0</v>
      </c>
      <c r="I12" s="140">
        <f>'ACM Performance Curves'!T267</f>
        <v>0</v>
      </c>
      <c r="J12" s="140">
        <f>'ACM Performance Curves'!U267</f>
        <v>0</v>
      </c>
      <c r="K12" s="140">
        <f>'ACM Performance Curves'!V267</f>
        <v>-7.6000880000000004</v>
      </c>
      <c r="L12" s="140">
        <f>'ACM Performance Curves'!W267</f>
        <v>3.0508999999999999</v>
      </c>
      <c r="M12" s="140">
        <f>'ACM Performance Curves'!X267</f>
        <v>-0.116284</v>
      </c>
      <c r="N12" s="140">
        <f>'ACM Performance Curves'!Y267</f>
        <v>0</v>
      </c>
      <c r="O12" s="140">
        <f>'ACM Performance Curves'!Z267</f>
        <v>0</v>
      </c>
      <c r="P12" s="147">
        <f>'ACM Performance Curves'!AA267</f>
        <v>0</v>
      </c>
      <c r="X12" s="193">
        <f>$X$10^2/(1-$X$10)^3</f>
        <v>8.7890624999999972E-2</v>
      </c>
      <c r="Y12" s="193">
        <f>-$X$10^3/(1-$X$10)^4</f>
        <v>3.2958984374999986E-2</v>
      </c>
      <c r="Z12" s="170">
        <f>$X$10^4/(1-$X$10)^5</f>
        <v>1.2359619140624991E-2</v>
      </c>
      <c r="AC12" s="297"/>
      <c r="AD12" s="165" t="s">
        <v>949</v>
      </c>
      <c r="AE12" s="201">
        <f>$K42+$L42*AE$7+$M42*AE$7^2</f>
        <v>67.570749999999975</v>
      </c>
      <c r="AF12" s="202">
        <f>$K42+$L42*AF$7+$M42*AF$7^2</f>
        <v>67.570749999999975</v>
      </c>
      <c r="AG12" s="203">
        <f>$K42+$L42*AG$7+$M42*AG$7^2</f>
        <v>67.570749999999975</v>
      </c>
      <c r="AH12" s="146"/>
      <c r="AJ12" s="147"/>
      <c r="AM12" s="146" t="s">
        <v>972</v>
      </c>
      <c r="AN12" s="140">
        <f>AN16/AN10</f>
        <v>1.33</v>
      </c>
      <c r="AO12" s="147"/>
      <c r="AP12" s="185" t="s">
        <v>1105</v>
      </c>
      <c r="AV12" s="146" t="s">
        <v>1067</v>
      </c>
      <c r="AW12" s="187">
        <f>AO36</f>
        <v>50891.759212723999</v>
      </c>
      <c r="AX12" s="185" t="s">
        <v>1119</v>
      </c>
    </row>
    <row r="13" spans="1:50" ht="15.75" customHeight="1" x14ac:dyDescent="0.3">
      <c r="A13" s="297"/>
      <c r="B13" s="146" t="str">
        <f>'ACM Performance Curves'!M268</f>
        <v>Heating Capacity Ratio Modifier Function of High Temperature Curve Name</v>
      </c>
      <c r="C13" s="140" t="str">
        <f>'ACM Performance Curves'!N268</f>
        <v>EPDef-VRFSysHtgQRatio_fTwbToadbHiSI</v>
      </c>
      <c r="D13" s="140" t="str">
        <f>'ACM Performance Curves'!O268</f>
        <v>BiQuadratic</v>
      </c>
      <c r="E13" s="140" t="str">
        <f>'ACM Performance Curves'!P268</f>
        <v>QRatio</v>
      </c>
      <c r="F13" s="140" t="str">
        <f>'ACM Performance Curves'!Q268</f>
        <v>Twb</v>
      </c>
      <c r="G13" s="140" t="str">
        <f>'ACM Performance Curves'!R268</f>
        <v>Toadb</v>
      </c>
      <c r="H13" s="140" t="str">
        <f>'ACM Performance Curves'!S268</f>
        <v>Hi</v>
      </c>
      <c r="I13" s="140">
        <f>'ACM Performance Curves'!T268</f>
        <v>0</v>
      </c>
      <c r="J13" s="140">
        <f>'ACM Performance Curves'!U268</f>
        <v>0</v>
      </c>
      <c r="K13" s="140">
        <f>'ACM Performance Curves'!V268</f>
        <v>1.161135</v>
      </c>
      <c r="L13" s="140">
        <f>'ACM Performance Curves'!W268</f>
        <v>2.7479E-2</v>
      </c>
      <c r="M13" s="140">
        <f>'ACM Performance Curves'!X268</f>
        <v>-1.688E-3</v>
      </c>
      <c r="N13" s="140">
        <f>'ACM Performance Curves'!Y268</f>
        <v>1.7830000000000001E-3</v>
      </c>
      <c r="O13" s="140">
        <f>'ACM Performance Curves'!Z268</f>
        <v>1.9999999999999999E-6</v>
      </c>
      <c r="P13" s="147">
        <f>'ACM Performance Curves'!AA268</f>
        <v>-6.8999999999999997E-5</v>
      </c>
      <c r="S13" s="140" t="s">
        <v>28</v>
      </c>
      <c r="T13" s="140" t="s">
        <v>1087</v>
      </c>
      <c r="U13" t="s">
        <v>1084</v>
      </c>
      <c r="V13" s="140" t="s">
        <v>1085</v>
      </c>
      <c r="X13" s="140" t="s">
        <v>1087</v>
      </c>
      <c r="Y13" t="s">
        <v>1084</v>
      </c>
      <c r="Z13" s="140" t="s">
        <v>1085</v>
      </c>
      <c r="AC13" s="297"/>
      <c r="AD13" s="165" t="s">
        <v>950</v>
      </c>
      <c r="AE13" s="146">
        <f>$K43+$L43*AE$7+$M43*AE$7^2+$N43*AE$6+$O43*AE$6^2+$P43*AE$7*AE$6</f>
        <v>0.91777680246913573</v>
      </c>
      <c r="AF13" s="140">
        <f>$K43+$L43*AF$7+$M43*AF$7^2+$N43*AF$6+$O43*AF$6^2+$P43*AF$7*AF$6</f>
        <v>1.0090397654320986</v>
      </c>
      <c r="AG13" s="147">
        <f>$K43+$L43*AG$7+$M43*AG$7^2+$N43*AG$6+$O43*AG$6^2+$P43*AG$7*AG$6</f>
        <v>1.0683606913580248</v>
      </c>
      <c r="AH13" s="146"/>
      <c r="AJ13" s="147"/>
      <c r="AM13" s="146" t="s">
        <v>1082</v>
      </c>
      <c r="AN13" s="138">
        <v>48</v>
      </c>
      <c r="AO13" s="147" t="s">
        <v>944</v>
      </c>
      <c r="AP13" s="185"/>
      <c r="AV13" s="146" t="s">
        <v>1059</v>
      </c>
      <c r="AW13" s="187">
        <f>AQ36</f>
        <v>44639.869707554564</v>
      </c>
      <c r="AX13" s="185" t="s">
        <v>1118</v>
      </c>
    </row>
    <row r="14" spans="1:50" ht="15.75" customHeight="1" x14ac:dyDescent="0.3">
      <c r="A14" s="297"/>
      <c r="B14" s="146" t="str">
        <f>'ACM Performance Curves'!M269</f>
        <v>Heating Combination Ratio Correction Factor Curve Name</v>
      </c>
      <c r="C14" s="140" t="str">
        <f>'ACM Performance Curves'!N269</f>
        <v>EPDef-VRFSysHtgQRatio_fCombRat</v>
      </c>
      <c r="D14" s="140" t="str">
        <f>'ACM Performance Curves'!O269</f>
        <v>Linear</v>
      </c>
      <c r="E14" s="140" t="str">
        <f>'ACM Performance Curves'!P269</f>
        <v>QRatio</v>
      </c>
      <c r="F14" s="140" t="str">
        <f>'ACM Performance Curves'!Q269</f>
        <v>CombRat</v>
      </c>
      <c r="G14" s="140">
        <f>'ACM Performance Curves'!R269</f>
        <v>0</v>
      </c>
      <c r="H14" s="140">
        <f>'ACM Performance Curves'!S269</f>
        <v>0</v>
      </c>
      <c r="I14" s="140">
        <f>'ACM Performance Curves'!T269</f>
        <v>0</v>
      </c>
      <c r="J14" s="140">
        <f>'ACM Performance Curves'!U269</f>
        <v>0</v>
      </c>
      <c r="K14" s="140">
        <f>'ACM Performance Curves'!V269</f>
        <v>0.96033999999999997</v>
      </c>
      <c r="L14" s="140">
        <f>'ACM Performance Curves'!W269</f>
        <v>3.9660000000000001E-2</v>
      </c>
      <c r="M14" s="140">
        <f>'ACM Performance Curves'!X269</f>
        <v>0</v>
      </c>
      <c r="N14" s="140">
        <f>'ACM Performance Curves'!Y269</f>
        <v>0</v>
      </c>
      <c r="O14" s="140">
        <f>'ACM Performance Curves'!Z269</f>
        <v>0</v>
      </c>
      <c r="P14" s="147">
        <f>'ACM Performance Curves'!AA269</f>
        <v>0</v>
      </c>
      <c r="S14" s="140">
        <v>1</v>
      </c>
      <c r="T14" s="189">
        <f>$K$54+$L$54*S14+$M$54*S14^2+$N$54*S14^3</f>
        <v>1.0002405699999999</v>
      </c>
      <c r="U14">
        <f t="shared" ref="U14:U33" si="1">IF(S14&gt;$T$8-0.01,1,S14/$T$8/(1-$T$9+$T$9*S14/$T$8))</f>
        <v>1</v>
      </c>
      <c r="V14" s="140">
        <f>S14/T14/U14</f>
        <v>0.99975948786000568</v>
      </c>
      <c r="X14" s="190">
        <f>$X$11+$Y$11*S14+$Z$11*S14^2+$X$12*S14^3+$Y$12*S14^4+$Z$12*S14^5</f>
        <v>0.992584228515625</v>
      </c>
      <c r="Y14">
        <f t="shared" ref="Y14:Y33" si="2">IF(S14&gt;$X$8-0.01,1,S14/$X$8/(1-$X$9+$X$9*S14/$X$8))</f>
        <v>1</v>
      </c>
      <c r="Z14" s="140">
        <f>S14/X14/Y14</f>
        <v>1.0074711760184474</v>
      </c>
      <c r="AC14" s="297"/>
      <c r="AD14" s="165" t="s">
        <v>952</v>
      </c>
      <c r="AE14" s="146"/>
      <c r="AG14" s="147"/>
      <c r="AH14" s="146">
        <f>$K46+$L46*AH$8+$M46*AH$8^2+$N46*AH$6+$O46*AH$6^2+$P46*AH$8*AH$6</f>
        <v>1.0599384182098763</v>
      </c>
      <c r="AI14" s="140">
        <f>$K46+$L46*AI$8+$M46*AI$8^2+$N46*AI$6+$O46*AI$6^2+$P46*AI$8*AI$6</f>
        <v>0.73709318672839497</v>
      </c>
      <c r="AJ14" s="147">
        <f>$K46+$L46*AJ$8+$M46*AJ$8^2+$N46*AJ$6+$O46*AJ$6^2+$P46*AJ$8*AJ$6</f>
        <v>0.6082413163580247</v>
      </c>
      <c r="AM14" s="146" t="s">
        <v>973</v>
      </c>
      <c r="AN14" s="138">
        <v>11</v>
      </c>
      <c r="AO14" s="147" t="s">
        <v>944</v>
      </c>
      <c r="AP14" s="185"/>
      <c r="AV14" s="146" t="s">
        <v>1111</v>
      </c>
      <c r="AW14" s="250">
        <f>AN56</f>
        <v>0.898013873657735</v>
      </c>
    </row>
    <row r="15" spans="1:50" ht="15.75" customHeight="1" x14ac:dyDescent="0.3">
      <c r="A15" s="297"/>
      <c r="B15" s="146" t="str">
        <f>'ACM Performance Curves'!M270</f>
        <v>Heat Recovery Heating Capacity Modifier Curve Name</v>
      </c>
      <c r="C15" s="140" t="str">
        <f>'ACM Performance Curves'!N270</f>
        <v>EPDef-VRFSysHtRcvryHtgQRatio_fTwbToadbSI</v>
      </c>
      <c r="D15" s="140" t="str">
        <f>'ACM Performance Curves'!O270</f>
        <v>BiQuadratic</v>
      </c>
      <c r="E15" s="140" t="str">
        <f>'ACM Performance Curves'!P270</f>
        <v>QRatio</v>
      </c>
      <c r="F15" s="140" t="str">
        <f>'ACM Performance Curves'!Q270</f>
        <v>Twb</v>
      </c>
      <c r="G15" s="140" t="str">
        <f>'ACM Performance Curves'!R270</f>
        <v>Toadb</v>
      </c>
      <c r="H15" s="140">
        <f>'ACM Performance Curves'!S270</f>
        <v>0</v>
      </c>
      <c r="I15" s="140">
        <f>'ACM Performance Curves'!T270</f>
        <v>0</v>
      </c>
      <c r="J15" s="140">
        <f>'ACM Performance Curves'!U270</f>
        <v>0</v>
      </c>
      <c r="K15" s="140">
        <f>'ACM Performance Curves'!V270</f>
        <v>0.9</v>
      </c>
      <c r="L15" s="140">
        <f>'ACM Performance Curves'!W270</f>
        <v>0</v>
      </c>
      <c r="M15" s="140">
        <f>'ACM Performance Curves'!X270</f>
        <v>0</v>
      </c>
      <c r="N15" s="140">
        <f>'ACM Performance Curves'!Y270</f>
        <v>0</v>
      </c>
      <c r="O15" s="140">
        <f>'ACM Performance Curves'!Z270</f>
        <v>0</v>
      </c>
      <c r="P15" s="147">
        <f>'ACM Performance Curves'!AA270</f>
        <v>0</v>
      </c>
      <c r="S15" s="140">
        <f t="shared" ref="S15:S32" si="3">S14-0.05</f>
        <v>0.95</v>
      </c>
      <c r="T15" s="189">
        <f t="shared" ref="T15:T33" si="4">IF(S15&lt;$T$8-0.001,T14,$K$54+$L$54*S15+$M$54*S15^2+$N$54*S15^3)</f>
        <v>0.92540267538749987</v>
      </c>
      <c r="U15">
        <f t="shared" si="1"/>
        <v>1</v>
      </c>
      <c r="V15" s="140">
        <f t="shared" ref="V15:V33" si="5">S15/T15/U15</f>
        <v>1.0265801312949525</v>
      </c>
      <c r="X15" s="190">
        <f t="shared" ref="X15:X33" si="6">IF(S15&lt;$X$8-0.001,X14,$X$11+$Y$11*S15+$Z$11*S15^2+$X$12*S15^3+$Y$12*S15^4+$Z$12*S15^5)</f>
        <v>0.91703759856224043</v>
      </c>
      <c r="Y15">
        <f t="shared" si="2"/>
        <v>1</v>
      </c>
      <c r="Z15" s="140">
        <f t="shared" ref="Z15:Z33" si="7">S15/X15/Y15</f>
        <v>1.035944438362657</v>
      </c>
      <c r="AC15" s="297"/>
      <c r="AD15" s="165" t="s">
        <v>953</v>
      </c>
      <c r="AE15" s="146"/>
      <c r="AG15" s="147"/>
      <c r="AH15" s="146">
        <f>$K47+$L47*AH$8+$M47*AH$8^2</f>
        <v>40.96843271111112</v>
      </c>
      <c r="AI15" s="140">
        <f>$K47+$L47*AI$8+$M47*AI$8^2</f>
        <v>40.96843271111112</v>
      </c>
      <c r="AJ15" s="147">
        <f>$K47+$L47*AJ$8+$M47*AJ$8^2</f>
        <v>40.96843271111112</v>
      </c>
      <c r="AM15" s="146" t="s">
        <v>975</v>
      </c>
      <c r="AN15" s="138">
        <f>52247.9</f>
        <v>52247.9</v>
      </c>
      <c r="AO15" s="147" t="s">
        <v>941</v>
      </c>
      <c r="AV15" s="146" t="s">
        <v>1112</v>
      </c>
      <c r="AW15" s="250">
        <f>AP56</f>
        <v>1.0501041884391709</v>
      </c>
    </row>
    <row r="16" spans="1:50" ht="15.75" customHeight="1" x14ac:dyDescent="0.3">
      <c r="A16" s="297"/>
      <c r="B16" s="146" t="str">
        <f>'ACM Performance Curves'!M271</f>
        <v>Cooling Energy Input Ratio Modifier Function of Low Temperature Curve Name</v>
      </c>
      <c r="C16" s="140" t="str">
        <f>'ACM Performance Curves'!N271</f>
        <v>EPDef-VRFSysClgEIRRatio_fTwbToadbLowSI</v>
      </c>
      <c r="D16" s="140" t="str">
        <f>'ACM Performance Curves'!O271</f>
        <v>BiQuadratic</v>
      </c>
      <c r="E16" s="140" t="str">
        <f>'ACM Performance Curves'!P271</f>
        <v>EIRRatio</v>
      </c>
      <c r="F16" s="140" t="str">
        <f>'ACM Performance Curves'!Q271</f>
        <v>Twb</v>
      </c>
      <c r="G16" s="140" t="str">
        <f>'ACM Performance Curves'!R271</f>
        <v>Toadb</v>
      </c>
      <c r="H16" s="140" t="str">
        <f>'ACM Performance Curves'!S271</f>
        <v>Low</v>
      </c>
      <c r="I16" s="140">
        <f>'ACM Performance Curves'!T271</f>
        <v>0</v>
      </c>
      <c r="J16" s="140">
        <f>'ACM Performance Curves'!U271</f>
        <v>0</v>
      </c>
      <c r="K16" s="140">
        <f>'ACM Performance Curves'!V271</f>
        <v>0.98901054099999997</v>
      </c>
      <c r="L16" s="140">
        <f>'ACM Performance Curves'!W271</f>
        <v>-2.3479670000000001E-2</v>
      </c>
      <c r="M16" s="140">
        <f>'ACM Performance Curves'!X271</f>
        <v>1.9971100000000001E-4</v>
      </c>
      <c r="N16" s="140">
        <f>'ACM Performance Curves'!Y271</f>
        <v>5.9683360000000003E-3</v>
      </c>
      <c r="O16" s="140">
        <f>'ACM Performance Curves'!Z271</f>
        <v>-1.03E-7</v>
      </c>
      <c r="P16" s="147">
        <f>'ACM Performance Curves'!AA271</f>
        <v>-1.5686000000000001E-4</v>
      </c>
      <c r="S16" s="140">
        <f t="shared" si="3"/>
        <v>0.89999999999999991</v>
      </c>
      <c r="T16" s="189">
        <f t="shared" si="4"/>
        <v>0.85292521639999963</v>
      </c>
      <c r="U16">
        <f t="shared" si="1"/>
        <v>1</v>
      </c>
      <c r="V16" s="140">
        <f t="shared" si="5"/>
        <v>1.0551921583450095</v>
      </c>
      <c r="X16" s="190">
        <f t="shared" si="6"/>
        <v>0.84533863677978494</v>
      </c>
      <c r="Y16">
        <f t="shared" si="2"/>
        <v>1</v>
      </c>
      <c r="Z16" s="140">
        <f t="shared" si="7"/>
        <v>1.0646620902463904</v>
      </c>
      <c r="AC16" s="297"/>
      <c r="AD16" s="165" t="s">
        <v>954</v>
      </c>
      <c r="AE16" s="146"/>
      <c r="AG16" s="147"/>
      <c r="AH16" s="146">
        <f>$K48+$L48*AH$8+$M48*AH$8^2+$N48*AH$6+$O48*AH$6^2+$P48*AH$8*AH$6</f>
        <v>0.99179938271604939</v>
      </c>
      <c r="AI16" s="140">
        <f>$K48+$L48*AI$8+$M48*AI$8^2+$N48*AI$6+$O48*AI$6^2+$P48*AI$8*AI$6</f>
        <v>0.98636049382716051</v>
      </c>
      <c r="AJ16" s="147">
        <f>$K48+$L48*AJ$8+$M48*AJ$8^2+$N48*AJ$6+$O48*AJ$6^2+$P48*AJ$8*AJ$6</f>
        <v>0.98449604938271607</v>
      </c>
      <c r="AM16" s="146" t="s">
        <v>976</v>
      </c>
      <c r="AN16" s="138">
        <v>43568.2</v>
      </c>
      <c r="AO16" s="147" t="s">
        <v>941</v>
      </c>
      <c r="AV16" s="146" t="s">
        <v>1113</v>
      </c>
      <c r="AW16" s="250">
        <f>AR56</f>
        <v>0.78395069011508478</v>
      </c>
    </row>
    <row r="17" spans="1:50" ht="15.75" customHeight="1" x14ac:dyDescent="0.3">
      <c r="A17" s="297"/>
      <c r="B17" s="146" t="str">
        <f>'ACM Performance Curves'!M272</f>
        <v>Cooling Energy Input Ratio Boundary Name</v>
      </c>
      <c r="C17" s="140" t="str">
        <f>'ACM Performance Curves'!N272</f>
        <v>EPDef-VRFSysClgEIRBdry_fToadbSI</v>
      </c>
      <c r="D17" s="140" t="str">
        <f>'ACM Performance Curves'!O272</f>
        <v>Cubic</v>
      </c>
      <c r="E17" s="140" t="str">
        <f>'ACM Performance Curves'!P272</f>
        <v>EIRBdry</v>
      </c>
      <c r="F17" s="140" t="str">
        <f>'ACM Performance Curves'!Q272</f>
        <v>Toadb</v>
      </c>
      <c r="G17" s="140">
        <f>'ACM Performance Curves'!R272</f>
        <v>0</v>
      </c>
      <c r="H17" s="140">
        <f>'ACM Performance Curves'!S272</f>
        <v>0</v>
      </c>
      <c r="I17" s="140">
        <f>'ACM Performance Curves'!T272</f>
        <v>0</v>
      </c>
      <c r="J17" s="140">
        <f>'ACM Performance Curves'!U272</f>
        <v>0</v>
      </c>
      <c r="K17" s="140">
        <f>'ACM Performance Curves'!V272</f>
        <v>25.734737750000001</v>
      </c>
      <c r="L17" s="140">
        <f>'ACM Performance Curves'!W272</f>
        <v>-3.1500430000000003E-2</v>
      </c>
      <c r="M17" s="140">
        <f>'ACM Performance Curves'!X272</f>
        <v>-1.416595E-2</v>
      </c>
      <c r="N17" s="140">
        <f>'ACM Performance Curves'!Y272</f>
        <v>0</v>
      </c>
      <c r="O17" s="140">
        <f>'ACM Performance Curves'!Z272</f>
        <v>0</v>
      </c>
      <c r="P17" s="147">
        <f>'ACM Performance Curves'!AA272</f>
        <v>0</v>
      </c>
      <c r="S17" s="140">
        <f t="shared" si="3"/>
        <v>0.84999999999999987</v>
      </c>
      <c r="T17" s="189">
        <f t="shared" si="4"/>
        <v>0.78325630431249982</v>
      </c>
      <c r="U17">
        <f t="shared" si="1"/>
        <v>1</v>
      </c>
      <c r="V17" s="140">
        <f t="shared" si="5"/>
        <v>1.0852130973220624</v>
      </c>
      <c r="X17" s="190">
        <f t="shared" si="6"/>
        <v>0.77725059208869918</v>
      </c>
      <c r="Y17">
        <f t="shared" si="2"/>
        <v>1</v>
      </c>
      <c r="Z17" s="140">
        <f t="shared" si="7"/>
        <v>1.0935983949729802</v>
      </c>
      <c r="AC17" s="297"/>
      <c r="AD17" s="165" t="s">
        <v>956</v>
      </c>
      <c r="AE17" s="146">
        <f>$K51+$L51*AE$7+$M51*AE$7^2+$N51*AE$6+$O51*AE$6^2+$P51*AE$7*AE$6</f>
        <v>0.74231557075308685</v>
      </c>
      <c r="AF17" s="140">
        <f>$K51+$L51*AF$7+$M51*AF$7^2+$N51*AF$6+$O51*AF$6^2+$P51*AF$7*AF$6</f>
        <v>0.70998305964197561</v>
      </c>
      <c r="AG17" s="147">
        <f>$K51+$L51*AG$7+$M51*AG$7^2+$N51*AG$6+$O51*AG$6^2+$P51*AG$7*AG$6</f>
        <v>0.68895328945679024</v>
      </c>
      <c r="AH17" s="146"/>
      <c r="AJ17" s="147"/>
      <c r="AM17" s="146" t="s">
        <v>977</v>
      </c>
      <c r="AN17" s="138">
        <v>0.25</v>
      </c>
      <c r="AO17" s="147" t="s">
        <v>943</v>
      </c>
      <c r="AV17" s="146" t="s">
        <v>1114</v>
      </c>
      <c r="AW17" s="250">
        <f>AS56</f>
        <v>0.63522049607026643</v>
      </c>
    </row>
    <row r="18" spans="1:50" ht="15.75" customHeight="1" x14ac:dyDescent="0.3">
      <c r="A18" s="297"/>
      <c r="B18" s="146" t="str">
        <f>'ACM Performance Curves'!M273</f>
        <v>Cooling Energy Input Ratio Modifier Function of High Temperature Curve Name</v>
      </c>
      <c r="C18" s="140" t="str">
        <f>'ACM Performance Curves'!N273</f>
        <v>EPDef-VRFSysClgEIRRatio_fTwbToadbHiSI</v>
      </c>
      <c r="D18" s="140" t="str">
        <f>'ACM Performance Curves'!O273</f>
        <v>BiQuadratic</v>
      </c>
      <c r="E18" s="140" t="str">
        <f>'ACM Performance Curves'!P273</f>
        <v>EIRRatio</v>
      </c>
      <c r="F18" s="140" t="str">
        <f>'ACM Performance Curves'!Q273</f>
        <v>Twb</v>
      </c>
      <c r="G18" s="140" t="str">
        <f>'ACM Performance Curves'!R273</f>
        <v>Toadb</v>
      </c>
      <c r="H18" s="140" t="str">
        <f>'ACM Performance Curves'!S273</f>
        <v>Hi</v>
      </c>
      <c r="I18" s="140">
        <f>'ACM Performance Curves'!T273</f>
        <v>0</v>
      </c>
      <c r="J18" s="140">
        <f>'ACM Performance Curves'!U273</f>
        <v>0</v>
      </c>
      <c r="K18" s="140">
        <f>'ACM Performance Curves'!V273</f>
        <v>0.1435147</v>
      </c>
      <c r="L18" s="140">
        <f>'ACM Performance Curves'!W273</f>
        <v>1.8600350000000002E-2</v>
      </c>
      <c r="M18" s="140">
        <f>'ACM Performance Curves'!X273</f>
        <v>-3.9500000000000001E-4</v>
      </c>
      <c r="N18" s="140">
        <f>'ACM Performance Curves'!Y273</f>
        <v>2.485219E-2</v>
      </c>
      <c r="O18" s="140">
        <f>'ACM Performance Curves'!Z273</f>
        <v>1.6328999999999999E-4</v>
      </c>
      <c r="P18" s="147">
        <f>'ACM Performance Curves'!AA273</f>
        <v>-6.244E-4</v>
      </c>
      <c r="S18" s="140">
        <f t="shared" si="3"/>
        <v>0.79999999999999982</v>
      </c>
      <c r="T18" s="189">
        <f t="shared" si="4"/>
        <v>0.71684405039999954</v>
      </c>
      <c r="U18">
        <f t="shared" si="1"/>
        <v>1</v>
      </c>
      <c r="V18" s="140">
        <f t="shared" si="5"/>
        <v>1.1160028454635276</v>
      </c>
      <c r="X18" s="190">
        <f t="shared" si="6"/>
        <v>0.71254999999999968</v>
      </c>
      <c r="Y18">
        <f t="shared" si="2"/>
        <v>1</v>
      </c>
      <c r="Z18" s="140">
        <f t="shared" si="7"/>
        <v>1.1227282295979233</v>
      </c>
      <c r="AC18" s="297"/>
      <c r="AD18" s="165" t="s">
        <v>789</v>
      </c>
      <c r="AE18" s="201">
        <f>$K52+$L52*AE$7+$M52*AE$7^2</f>
        <v>67.579296927777762</v>
      </c>
      <c r="AF18" s="202">
        <f>$K52+$L52*AF$7+$M52*AF$7^2</f>
        <v>67.579296927777762</v>
      </c>
      <c r="AG18" s="203">
        <f>$K52+$L52*AG$7+$M52*AG$7^2</f>
        <v>67.579296927777762</v>
      </c>
      <c r="AH18" s="146"/>
      <c r="AJ18" s="147"/>
      <c r="AM18" s="150" t="s">
        <v>974</v>
      </c>
      <c r="AO18" s="147"/>
      <c r="AV18" s="146" t="s">
        <v>1060</v>
      </c>
      <c r="AW18" s="188">
        <f>AN59</f>
        <v>3.2413509479403353</v>
      </c>
      <c r="AX18" s="202"/>
    </row>
    <row r="19" spans="1:50" ht="15.75" customHeight="1" x14ac:dyDescent="0.3">
      <c r="A19" s="297"/>
      <c r="B19" s="146" t="str">
        <f>'ACM Performance Curves'!M274</f>
        <v>Cooling Energy Input Ratio Modifier Function of Low Part-Load Ratio Curve Name</v>
      </c>
      <c r="C19" s="140" t="str">
        <f>'ACM Performance Curves'!N274</f>
        <v>EPDef-VRFSysClgEIRRatio_fPLRLowSI</v>
      </c>
      <c r="D19" s="140" t="str">
        <f>'ACM Performance Curves'!O274</f>
        <v>Cubic</v>
      </c>
      <c r="E19" s="140" t="str">
        <f>'ACM Performance Curves'!P274</f>
        <v>EIRRatio</v>
      </c>
      <c r="F19" s="140" t="str">
        <f>'ACM Performance Curves'!Q274</f>
        <v>PLR</v>
      </c>
      <c r="G19" s="140" t="str">
        <f>'ACM Performance Curves'!R274</f>
        <v>Low</v>
      </c>
      <c r="H19" s="140">
        <f>'ACM Performance Curves'!S274</f>
        <v>0</v>
      </c>
      <c r="I19" s="140">
        <f>'ACM Performance Curves'!T274</f>
        <v>0</v>
      </c>
      <c r="J19" s="140">
        <f>'ACM Performance Curves'!U274</f>
        <v>0</v>
      </c>
      <c r="K19" s="140">
        <f>'ACM Performance Curves'!V274</f>
        <v>0.46281230000000001</v>
      </c>
      <c r="L19" s="140">
        <f>'ACM Performance Curves'!W274</f>
        <v>-1.04</v>
      </c>
      <c r="M19" s="140">
        <f>'ACM Performance Curves'!X274</f>
        <v>2.1749099699999999</v>
      </c>
      <c r="N19" s="140">
        <f>'ACM Performance Curves'!Y274</f>
        <v>-0.5974817</v>
      </c>
      <c r="O19" s="140">
        <f>'ACM Performance Curves'!Z274</f>
        <v>0</v>
      </c>
      <c r="P19" s="147">
        <f>'ACM Performance Curves'!AA274</f>
        <v>0</v>
      </c>
      <c r="S19" s="140">
        <f t="shared" si="3"/>
        <v>0.74999999999999978</v>
      </c>
      <c r="T19" s="189">
        <f t="shared" si="4"/>
        <v>0.65413656593749958</v>
      </c>
      <c r="U19">
        <f t="shared" si="1"/>
        <v>1</v>
      </c>
      <c r="V19" s="140">
        <f t="shared" si="5"/>
        <v>1.1465495724506856</v>
      </c>
      <c r="X19" s="190">
        <f t="shared" si="6"/>
        <v>0.65102621912956216</v>
      </c>
      <c r="Y19">
        <f t="shared" si="2"/>
        <v>1</v>
      </c>
      <c r="Z19" s="140">
        <f t="shared" si="7"/>
        <v>1.1520273346329553</v>
      </c>
      <c r="AC19" s="297"/>
      <c r="AD19" s="165" t="s">
        <v>957</v>
      </c>
      <c r="AE19" s="146">
        <f>$K53+$L53*AE$7+$M53*AE$7^2+$N53*AE$6+$O53*AE$6^2+$P53*AE$7*AE$6</f>
        <v>1.2891588500000002</v>
      </c>
      <c r="AF19" s="140">
        <f>$K53+$L53*AF$7+$M53*AF$7^2+$N53*AF$6+$O53*AF$6^2+$P53*AF$7*AF$6</f>
        <v>1.0007620475308643</v>
      </c>
      <c r="AG19" s="147">
        <f>$K53+$L53*AG$7+$M53*AG$7^2+$N53*AG$6+$O53*AG$6^2+$P53*AG$7*AG$6</f>
        <v>0.83492493148148172</v>
      </c>
      <c r="AH19" s="146"/>
      <c r="AJ19" s="147"/>
      <c r="AM19" s="146" t="s">
        <v>1098</v>
      </c>
      <c r="AN19" s="140">
        <f>X8</f>
        <v>0.55000000000000004</v>
      </c>
      <c r="AO19" s="147"/>
      <c r="AV19" s="146" t="s">
        <v>1068</v>
      </c>
      <c r="AW19" s="188">
        <f>AO59</f>
        <v>4.0832474579746414</v>
      </c>
      <c r="AX19" s="202"/>
    </row>
    <row r="20" spans="1:50" ht="15.75" customHeight="1" x14ac:dyDescent="0.3">
      <c r="A20" s="297"/>
      <c r="B20" s="146" t="str">
        <f>'ACM Performance Curves'!M275</f>
        <v>Cooling Energy Input Ratio Modifier Function of HIgh Part-Load Ratio Curve Name</v>
      </c>
      <c r="C20" s="140" t="str">
        <f>'ACM Performance Curves'!N275</f>
        <v>EPDef-VRFSysClgEIRRatio_fPLRHiSI</v>
      </c>
      <c r="D20" s="140" t="str">
        <f>'ACM Performance Curves'!O275</f>
        <v>Quadratic</v>
      </c>
      <c r="E20" s="140" t="str">
        <f>'ACM Performance Curves'!P275</f>
        <v>EIRRatio</v>
      </c>
      <c r="F20" s="140" t="str">
        <f>'ACM Performance Curves'!Q275</f>
        <v>PLR</v>
      </c>
      <c r="G20" s="140" t="str">
        <f>'ACM Performance Curves'!R275</f>
        <v>Hi</v>
      </c>
      <c r="H20" s="140">
        <f>'ACM Performance Curves'!S275</f>
        <v>0</v>
      </c>
      <c r="I20" s="140">
        <f>'ACM Performance Curves'!T275</f>
        <v>0</v>
      </c>
      <c r="J20" s="140">
        <f>'ACM Performance Curves'!U275</f>
        <v>0</v>
      </c>
      <c r="K20" s="140">
        <f>'ACM Performance Curves'!V275</f>
        <v>1</v>
      </c>
      <c r="L20" s="140">
        <f>'ACM Performance Curves'!W275</f>
        <v>0</v>
      </c>
      <c r="M20" s="140">
        <f>'ACM Performance Curves'!X275</f>
        <v>0</v>
      </c>
      <c r="N20" s="140">
        <f>'ACM Performance Curves'!Y275</f>
        <v>0</v>
      </c>
      <c r="O20" s="140">
        <f>'ACM Performance Curves'!Z275</f>
        <v>0</v>
      </c>
      <c r="P20" s="147">
        <f>'ACM Performance Curves'!AA275</f>
        <v>0</v>
      </c>
      <c r="S20" s="140">
        <f t="shared" si="3"/>
        <v>0.69999999999999973</v>
      </c>
      <c r="T20" s="189">
        <f t="shared" si="4"/>
        <v>0.59558196219999937</v>
      </c>
      <c r="U20">
        <f t="shared" si="1"/>
        <v>1</v>
      </c>
      <c r="V20" s="140">
        <f t="shared" si="5"/>
        <v>1.175321021164399</v>
      </c>
      <c r="X20" s="190">
        <f t="shared" si="6"/>
        <v>0.59248096771240211</v>
      </c>
      <c r="Y20">
        <f t="shared" si="2"/>
        <v>1</v>
      </c>
      <c r="Z20" s="140">
        <f t="shared" si="7"/>
        <v>1.1814725504225627</v>
      </c>
      <c r="AC20" s="297"/>
      <c r="AD20" s="165" t="s">
        <v>958</v>
      </c>
      <c r="AE20" s="146"/>
      <c r="AG20" s="147"/>
      <c r="AH20" s="253">
        <f>$K58+$L58*AH$8+$M58*AH$8^2+$N58*AH$6+$O58*AH$6^2+$P58*AH$8*AH$6</f>
        <v>1.1484318136221483</v>
      </c>
      <c r="AI20" s="254">
        <f>$K58+$L58*AI$8+$M58*AI$8^2+$N58*AI$6+$O58*AI$6^2+$P58*AI$8*AI$6</f>
        <v>1.4499619702687747</v>
      </c>
      <c r="AJ20" s="255">
        <f>$K58+$L58*AJ$8+$M58*AJ$8^2+$N58*AJ$6+$O58*AJ$6^2+$P58*AJ$8*AJ$6</f>
        <v>1.7270813906239848</v>
      </c>
      <c r="AM20" s="146" t="s">
        <v>1099</v>
      </c>
      <c r="AN20" s="140">
        <f>X9</f>
        <v>0.55000000000000004</v>
      </c>
      <c r="AO20" s="147"/>
      <c r="AV20" s="146" t="s">
        <v>1061</v>
      </c>
      <c r="AW20" s="188">
        <f>AP59</f>
        <v>4.8001861688500833</v>
      </c>
      <c r="AX20" s="202"/>
    </row>
    <row r="21" spans="1:50" ht="15.75" customHeight="1" x14ac:dyDescent="0.3">
      <c r="A21" s="297"/>
      <c r="B21" s="146" t="str">
        <f>'ACM Performance Curves'!M276</f>
        <v>Cooling Part-Load Fraction Correlation Curve Name</v>
      </c>
      <c r="C21" s="140" t="str">
        <f>'ACM Performance Curves'!N276</f>
        <v>EPDef-VRFSysClgEIRRatio_fCycRatSI</v>
      </c>
      <c r="D21" s="140" t="str">
        <f>'ACM Performance Curves'!O276</f>
        <v>Quadratic</v>
      </c>
      <c r="E21" s="140" t="str">
        <f>'ACM Performance Curves'!P276</f>
        <v>EIRRatio</v>
      </c>
      <c r="F21" s="140" t="str">
        <f>'ACM Performance Curves'!Q276</f>
        <v>CycRat</v>
      </c>
      <c r="G21" s="140">
        <f>'ACM Performance Curves'!R276</f>
        <v>0</v>
      </c>
      <c r="H21" s="140">
        <f>'ACM Performance Curves'!S276</f>
        <v>0</v>
      </c>
      <c r="I21" s="140">
        <f>'ACM Performance Curves'!T276</f>
        <v>0</v>
      </c>
      <c r="J21" s="140">
        <f>'ACM Performance Curves'!U276</f>
        <v>0</v>
      </c>
      <c r="K21" s="140">
        <f>'ACM Performance Curves'!V276</f>
        <v>0.85</v>
      </c>
      <c r="L21" s="140">
        <f>'ACM Performance Curves'!W276</f>
        <v>0.15</v>
      </c>
      <c r="M21" s="140">
        <f>'ACM Performance Curves'!X276</f>
        <v>0</v>
      </c>
      <c r="N21" s="140">
        <f>'ACM Performance Curves'!Y276</f>
        <v>0</v>
      </c>
      <c r="O21" s="140">
        <f>'ACM Performance Curves'!Z276</f>
        <v>0</v>
      </c>
      <c r="P21" s="147">
        <f>'ACM Performance Curves'!AA276</f>
        <v>0</v>
      </c>
      <c r="S21" s="140">
        <f t="shared" si="3"/>
        <v>0.64999999999999969</v>
      </c>
      <c r="T21" s="189">
        <f t="shared" si="4"/>
        <v>0.54162835046249957</v>
      </c>
      <c r="U21">
        <f t="shared" si="1"/>
        <v>1</v>
      </c>
      <c r="V21" s="140">
        <f t="shared" si="5"/>
        <v>1.2000848911342268</v>
      </c>
      <c r="X21" s="190">
        <f t="shared" si="6"/>
        <v>0.53672786011695817</v>
      </c>
      <c r="Y21">
        <f t="shared" si="2"/>
        <v>1</v>
      </c>
      <c r="Z21" s="140">
        <f t="shared" si="7"/>
        <v>1.2110420350796742</v>
      </c>
      <c r="AC21" s="297"/>
      <c r="AD21" s="165" t="s">
        <v>955</v>
      </c>
      <c r="AE21" s="146"/>
      <c r="AG21" s="147"/>
      <c r="AH21" s="253">
        <f>$K59+$L59*AH$8+$M59*AH$8^2</f>
        <v>40.968117542222217</v>
      </c>
      <c r="AI21" s="254">
        <f>$K59+$L59*AI$8+$M59*AI$8^2</f>
        <v>40.968117542222217</v>
      </c>
      <c r="AJ21" s="255">
        <f>$K59+$L59*AJ$8+$M59*AJ$8^2</f>
        <v>40.968117542222217</v>
      </c>
      <c r="AM21" s="146" t="s">
        <v>1016</v>
      </c>
      <c r="AN21" s="140">
        <f>-0.000630938320209974/3.28084</f>
        <v>-1.9230999384608029E-4</v>
      </c>
      <c r="AO21" s="147" t="s">
        <v>945</v>
      </c>
      <c r="AV21" s="146" t="s">
        <v>1062</v>
      </c>
      <c r="AW21" s="188">
        <f>AQ59</f>
        <v>3.6193334563582811</v>
      </c>
      <c r="AX21" s="202"/>
    </row>
    <row r="22" spans="1:50" ht="15.75" customHeight="1" x14ac:dyDescent="0.3">
      <c r="A22" s="297"/>
      <c r="B22" s="146" t="str">
        <f>'ACM Performance Curves'!M277</f>
        <v>Heat Recovery Cooling Energy Modifier Function of Temperature Curve Name</v>
      </c>
      <c r="C22" s="140" t="str">
        <f>'ACM Performance Curves'!N277</f>
        <v>EPDef-VRFSysHtRcvryClgEIRRatio_fTwbToadbSI</v>
      </c>
      <c r="D22" s="140" t="str">
        <f>'ACM Performance Curves'!O277</f>
        <v>BiQuadratic</v>
      </c>
      <c r="E22" s="140" t="str">
        <f>'ACM Performance Curves'!P277</f>
        <v>EIRRatio</v>
      </c>
      <c r="F22" s="140" t="str">
        <f>'ACM Performance Curves'!Q277</f>
        <v>Twb</v>
      </c>
      <c r="G22" s="140" t="str">
        <f>'ACM Performance Curves'!R277</f>
        <v>Toadb</v>
      </c>
      <c r="H22" s="140">
        <f>'ACM Performance Curves'!S277</f>
        <v>0</v>
      </c>
      <c r="I22" s="140">
        <f>'ACM Performance Curves'!T277</f>
        <v>0</v>
      </c>
      <c r="J22" s="140">
        <f>'ACM Performance Curves'!U277</f>
        <v>0</v>
      </c>
      <c r="K22" s="140">
        <f>'ACM Performance Curves'!V277</f>
        <v>1.1000000000000001</v>
      </c>
      <c r="L22" s="140">
        <f>'ACM Performance Curves'!W277</f>
        <v>0</v>
      </c>
      <c r="M22" s="140">
        <f>'ACM Performance Curves'!X277</f>
        <v>0</v>
      </c>
      <c r="N22" s="140">
        <f>'ACM Performance Curves'!Y277</f>
        <v>0</v>
      </c>
      <c r="O22" s="140">
        <f>'ACM Performance Curves'!Z277</f>
        <v>0</v>
      </c>
      <c r="P22" s="147">
        <f>'ACM Performance Curves'!AA277</f>
        <v>0</v>
      </c>
      <c r="S22" s="140">
        <f t="shared" si="3"/>
        <v>0.59999999999999964</v>
      </c>
      <c r="T22" s="189">
        <f t="shared" si="4"/>
        <v>0.49272384199999975</v>
      </c>
      <c r="U22">
        <f t="shared" si="1"/>
        <v>1</v>
      </c>
      <c r="V22" s="140">
        <f t="shared" si="5"/>
        <v>1.2177206557826767</v>
      </c>
      <c r="X22" s="190">
        <f t="shared" si="6"/>
        <v>0.48359194335937455</v>
      </c>
      <c r="Y22">
        <f t="shared" si="2"/>
        <v>1</v>
      </c>
      <c r="Z22" s="140">
        <f t="shared" si="7"/>
        <v>1.2407154590541185</v>
      </c>
      <c r="AC22" s="297"/>
      <c r="AD22" s="165" t="s">
        <v>959</v>
      </c>
      <c r="AE22" s="146"/>
      <c r="AG22" s="147"/>
      <c r="AH22" s="256">
        <f>$K60+$L60*AH$8+$M60*AH$8^2+$N60*AH$6+$O60*AH$6^2+$P60*AH$8*AH$6</f>
        <v>0.99812153671288995</v>
      </c>
      <c r="AI22" s="254">
        <f>$K60+$L60*AI$8+$M60*AI$8^2+$N60*AI$6+$O60*AI$6^2+$P60*AI$8*AI$6</f>
        <v>2.1787566176851647</v>
      </c>
      <c r="AJ22" s="255">
        <f>$K60+$L60*AJ$8+$M60*AJ$8^2+$N60*AJ$6+$O60*AJ$6^2+$P60*AJ$8*AJ$6</f>
        <v>2.8898392217192992</v>
      </c>
      <c r="AM22" s="146" t="s">
        <v>1017</v>
      </c>
      <c r="AN22" s="140">
        <f>AN21</f>
        <v>-1.9230999384608029E-4</v>
      </c>
      <c r="AO22" s="147" t="s">
        <v>945</v>
      </c>
      <c r="AV22" s="146" t="s">
        <v>1063</v>
      </c>
      <c r="AW22" s="188">
        <f>AR59</f>
        <v>2.5579852905915588</v>
      </c>
      <c r="AX22" s="202"/>
    </row>
    <row r="23" spans="1:50" ht="15.75" customHeight="1" x14ac:dyDescent="0.3">
      <c r="A23" s="297"/>
      <c r="B23" s="146" t="str">
        <f>'ACM Performance Curves'!M278</f>
        <v>Heating Energy Input Ratio Modifier Function of Low Temperature Curve Name</v>
      </c>
      <c r="C23" s="140" t="str">
        <f>'ACM Performance Curves'!N278</f>
        <v>EPDef-VRFSysHtgEIRRatio_fTwbToadbLowSI</v>
      </c>
      <c r="D23" s="140" t="str">
        <f>'ACM Performance Curves'!O278</f>
        <v>BiQuadratic</v>
      </c>
      <c r="E23" s="140" t="str">
        <f>'ACM Performance Curves'!P278</f>
        <v>EIRRatio</v>
      </c>
      <c r="F23" s="140" t="str">
        <f>'ACM Performance Curves'!Q278</f>
        <v>Twb</v>
      </c>
      <c r="G23" s="140" t="str">
        <f>'ACM Performance Curves'!R278</f>
        <v>Toadb</v>
      </c>
      <c r="H23" s="140" t="str">
        <f>'ACM Performance Curves'!S278</f>
        <v>Low</v>
      </c>
      <c r="I23" s="140">
        <f>'ACM Performance Curves'!T278</f>
        <v>0</v>
      </c>
      <c r="J23" s="140">
        <f>'ACM Performance Curves'!U278</f>
        <v>0</v>
      </c>
      <c r="K23" s="140">
        <f>'ACM Performance Curves'!V278</f>
        <v>0.988582839393777</v>
      </c>
      <c r="L23" s="140">
        <f>'ACM Performance Curves'!W278</f>
        <v>-1.491658015680142E-2</v>
      </c>
      <c r="M23" s="140">
        <f>'ACM Performance Curves'!X278</f>
        <v>1.2467499301811505E-3</v>
      </c>
      <c r="N23" s="140">
        <f>'ACM Performance Curves'!Y278</f>
        <v>-1.5045723046212335E-2</v>
      </c>
      <c r="O23" s="140">
        <f>'ACM Performance Curves'!Z278</f>
        <v>1.0061187280493123E-3</v>
      </c>
      <c r="P23" s="147">
        <f>'ACM Performance Curves'!AA278</f>
        <v>-1.4428830091193278E-4</v>
      </c>
      <c r="S23" s="140">
        <f t="shared" si="3"/>
        <v>0.5499999999999996</v>
      </c>
      <c r="T23" s="189">
        <f t="shared" si="4"/>
        <v>0.44931654808749966</v>
      </c>
      <c r="U23">
        <f t="shared" si="1"/>
        <v>1</v>
      </c>
      <c r="V23" s="140">
        <f t="shared" si="5"/>
        <v>1.2240813349542892</v>
      </c>
      <c r="X23" s="190">
        <f t="shared" si="6"/>
        <v>0.43290923361778222</v>
      </c>
      <c r="Y23">
        <f t="shared" si="2"/>
        <v>1</v>
      </c>
      <c r="Z23" s="140">
        <f t="shared" si="7"/>
        <v>1.2704741716957635</v>
      </c>
      <c r="AC23" s="297"/>
      <c r="AD23" s="165" t="s">
        <v>1101</v>
      </c>
      <c r="AE23" s="146">
        <f>$X$11+$Y$11*$X$8+$Z$11*$X$8^2+$X$12*$X$8^3+$Y$12*$X$8^4+$Z$12*$X$8^5</f>
        <v>0.43290923361778261</v>
      </c>
      <c r="AF23" s="140">
        <f>AE23</f>
        <v>0.43290923361778261</v>
      </c>
      <c r="AG23" s="147">
        <f>AF23</f>
        <v>0.43290923361778261</v>
      </c>
      <c r="AH23" s="146"/>
      <c r="AJ23" s="147"/>
      <c r="AM23" s="146" t="s">
        <v>1122</v>
      </c>
      <c r="AN23" s="140">
        <v>350</v>
      </c>
      <c r="AO23" s="147" t="s">
        <v>942</v>
      </c>
      <c r="AV23" s="146" t="s">
        <v>1064</v>
      </c>
      <c r="AW23" s="188">
        <f>AS59</f>
        <v>2.1680592093887223</v>
      </c>
      <c r="AX23" s="202"/>
    </row>
    <row r="24" spans="1:50" ht="15.75" customHeight="1" x14ac:dyDescent="0.3">
      <c r="A24" s="297"/>
      <c r="B24" s="146" t="str">
        <f>'ACM Performance Curves'!M279</f>
        <v>Heating Energy Input Ratio Boundary Curve Name</v>
      </c>
      <c r="C24" s="140" t="str">
        <f>'ACM Performance Curves'!N279</f>
        <v>EPDef-VRFSysHtgEIRBdry_fToadbSI</v>
      </c>
      <c r="D24" s="140" t="str">
        <f>'ACM Performance Curves'!O279</f>
        <v>Cubic</v>
      </c>
      <c r="E24" s="140" t="str">
        <f>'ACM Performance Curves'!P279</f>
        <v>EIRBdry</v>
      </c>
      <c r="F24" s="140" t="str">
        <f>'ACM Performance Curves'!Q279</f>
        <v>Toadb</v>
      </c>
      <c r="G24" s="140">
        <f>'ACM Performance Curves'!R279</f>
        <v>0</v>
      </c>
      <c r="H24" s="140">
        <f>'ACM Performance Curves'!S279</f>
        <v>0</v>
      </c>
      <c r="I24" s="140">
        <f>'ACM Performance Curves'!T279</f>
        <v>0</v>
      </c>
      <c r="J24" s="140">
        <f>'ACM Performance Curves'!U279</f>
        <v>0</v>
      </c>
      <c r="K24" s="140">
        <f>'ACM Performance Curves'!V279</f>
        <v>-7.6000882000000001</v>
      </c>
      <c r="L24" s="140">
        <f>'ACM Performance Curves'!W279</f>
        <v>3.0509001599999999</v>
      </c>
      <c r="M24" s="140">
        <f>'ACM Performance Curves'!X279</f>
        <v>-0.1162844</v>
      </c>
      <c r="N24" s="140">
        <f>'ACM Performance Curves'!Y279</f>
        <v>0</v>
      </c>
      <c r="O24" s="140">
        <f>'ACM Performance Curves'!Z279</f>
        <v>0</v>
      </c>
      <c r="P24" s="147">
        <f>'ACM Performance Curves'!AA279</f>
        <v>0</v>
      </c>
      <c r="S24" s="140">
        <f t="shared" si="3"/>
        <v>0.49999999999999961</v>
      </c>
      <c r="T24" s="189">
        <f t="shared" si="4"/>
        <v>0.41185457999999969</v>
      </c>
      <c r="U24">
        <f t="shared" si="1"/>
        <v>1</v>
      </c>
      <c r="V24" s="140">
        <f t="shared" si="5"/>
        <v>1.2140207351827919</v>
      </c>
      <c r="X24" s="190">
        <f t="shared" si="6"/>
        <v>0.43290923361778222</v>
      </c>
      <c r="Y24">
        <f t="shared" si="2"/>
        <v>0.95693779904306187</v>
      </c>
      <c r="Z24" s="140">
        <f t="shared" si="7"/>
        <v>1.2069504631109755</v>
      </c>
      <c r="AC24" s="299"/>
      <c r="AD24" s="183" t="s">
        <v>1102</v>
      </c>
      <c r="AE24" s="180"/>
      <c r="AF24" s="181"/>
      <c r="AG24" s="182"/>
      <c r="AH24" s="198">
        <f>$X$53+$Y$53*$X$50+$Z$53*$X$50^2+$X$54*$X$50^3+$Y$54*$X$50^4+$Z$54*$X$50^5</f>
        <v>0.52631562499999995</v>
      </c>
      <c r="AI24" s="199">
        <f>AH24</f>
        <v>0.52631562499999995</v>
      </c>
      <c r="AJ24" s="200">
        <f>AI24</f>
        <v>0.52631562499999995</v>
      </c>
      <c r="AM24" s="146" t="s">
        <v>1120</v>
      </c>
      <c r="AN24" s="140">
        <v>400</v>
      </c>
      <c r="AO24" s="147" t="s">
        <v>942</v>
      </c>
      <c r="AV24" s="146" t="s">
        <v>1065</v>
      </c>
      <c r="AW24" s="188">
        <f>AN62</f>
        <v>4.0326020499575392</v>
      </c>
      <c r="AX24" s="202"/>
    </row>
    <row r="25" spans="1:50" ht="15.75" customHeight="1" x14ac:dyDescent="0.3">
      <c r="A25" s="297"/>
      <c r="B25" s="146" t="str">
        <f>'ACM Performance Curves'!M280</f>
        <v>Heating Energy Input Ratio Modifier Function of High Temperature Curve Name</v>
      </c>
      <c r="C25" s="140" t="str">
        <f>'ACM Performance Curves'!N280</f>
        <v>EPDef-VRFSysHtgEIRRatio_fTwbToadbHiSI</v>
      </c>
      <c r="D25" s="140" t="str">
        <f>'ACM Performance Curves'!O280</f>
        <v>BiQuadratic</v>
      </c>
      <c r="E25" s="140" t="str">
        <f>'ACM Performance Curves'!P280</f>
        <v>EIRRatio</v>
      </c>
      <c r="F25" s="140" t="str">
        <f>'ACM Performance Curves'!Q280</f>
        <v>Twb</v>
      </c>
      <c r="G25" s="140" t="str">
        <f>'ACM Performance Curves'!R280</f>
        <v>Toadb</v>
      </c>
      <c r="H25" s="140" t="str">
        <f>'ACM Performance Curves'!S280</f>
        <v>Hi</v>
      </c>
      <c r="I25" s="140">
        <f>'ACM Performance Curves'!T280</f>
        <v>0</v>
      </c>
      <c r="J25" s="140">
        <f>'ACM Performance Curves'!U280</f>
        <v>0</v>
      </c>
      <c r="K25" s="140">
        <f>'ACM Performance Curves'!V280</f>
        <v>2.8301633087190674</v>
      </c>
      <c r="L25" s="140">
        <f>'ACM Performance Curves'!W280</f>
        <v>-6.4840072313774547E-2</v>
      </c>
      <c r="M25" s="140">
        <f>'ACM Performance Curves'!X280</f>
        <v>4.6001361797866706E-5</v>
      </c>
      <c r="N25" s="140">
        <f>'ACM Performance Curves'!Y280</f>
        <v>-0.14647725367311976</v>
      </c>
      <c r="O25" s="140">
        <f>'ACM Performance Curves'!Z280</f>
        <v>1.535326532005016E-3</v>
      </c>
      <c r="P25" s="147">
        <f>'ACM Performance Curves'!AA280</f>
        <v>3.5829070491213135E-3</v>
      </c>
      <c r="S25" s="140">
        <f t="shared" si="3"/>
        <v>0.44999999999999962</v>
      </c>
      <c r="T25" s="189">
        <f t="shared" si="4"/>
        <v>0.38078604901249974</v>
      </c>
      <c r="U25">
        <f t="shared" si="1"/>
        <v>1</v>
      </c>
      <c r="V25" s="140">
        <f t="shared" si="5"/>
        <v>1.1817659842501946</v>
      </c>
      <c r="X25" s="190">
        <f t="shared" si="6"/>
        <v>0.43290923361778222</v>
      </c>
      <c r="Y25">
        <f t="shared" si="2"/>
        <v>0.90909090909090873</v>
      </c>
      <c r="Z25" s="140">
        <f t="shared" si="7"/>
        <v>1.1434267545261876</v>
      </c>
      <c r="AC25" s="297" t="s">
        <v>1013</v>
      </c>
      <c r="AD25" s="165" t="s">
        <v>980</v>
      </c>
      <c r="AE25" s="146">
        <f>$K67+$L67*AE$7+$M67*AE$7^2+$N67*AE$6+$O67*AE$6^2+$P67*AE$7*AE$6</f>
        <v>0.89584680970363362</v>
      </c>
      <c r="AF25" s="140">
        <f>$K67+$L67*AF$7+$M67*AF$7^2+$N67*AF$6+$O67*AF$6^2+$P67*AF$7*AF$6</f>
        <v>0.99758682575217406</v>
      </c>
      <c r="AG25" s="147">
        <f>$K67+$L67*AG$7+$M67*AG$7^2+$N67*AG$6+$O67*AG$6^2+$P67*AG$7*AG$6</f>
        <v>1.0475701040540952</v>
      </c>
      <c r="AH25" s="146"/>
      <c r="AJ25" s="147"/>
      <c r="AM25" s="146" t="s">
        <v>1121</v>
      </c>
      <c r="AN25" s="140">
        <v>0.20749999999999999</v>
      </c>
      <c r="AO25" s="147" t="s">
        <v>943</v>
      </c>
      <c r="AV25" s="146" t="s">
        <v>1066</v>
      </c>
      <c r="AW25" s="188">
        <f>AO62</f>
        <v>5.0527827555221663</v>
      </c>
      <c r="AX25" s="202"/>
    </row>
    <row r="26" spans="1:50" ht="15.75" customHeight="1" thickBot="1" x14ac:dyDescent="0.35">
      <c r="A26" s="297"/>
      <c r="B26" s="146" t="str">
        <f>'ACM Performance Curves'!M281</f>
        <v>Heating Energy Input Ratio Modifier Function of Low Part-Load Ratio Curve Name</v>
      </c>
      <c r="C26" s="140" t="str">
        <f>'ACM Performance Curves'!N281</f>
        <v>EPDef-VRFSysHtgEIRRatio_fPLRLowSI</v>
      </c>
      <c r="D26" s="140" t="str">
        <f>'ACM Performance Curves'!O281</f>
        <v>Cubic</v>
      </c>
      <c r="E26" s="140" t="str">
        <f>'ACM Performance Curves'!P281</f>
        <v>EIRRatio</v>
      </c>
      <c r="F26" s="140" t="str">
        <f>'ACM Performance Curves'!Q281</f>
        <v>PLR</v>
      </c>
      <c r="G26" s="140" t="str">
        <f>'ACM Performance Curves'!R281</f>
        <v>Low</v>
      </c>
      <c r="H26" s="140">
        <f>'ACM Performance Curves'!S281</f>
        <v>0</v>
      </c>
      <c r="I26" s="140">
        <f>'ACM Performance Curves'!T281</f>
        <v>0</v>
      </c>
      <c r="J26" s="140">
        <f>'ACM Performance Curves'!U281</f>
        <v>0</v>
      </c>
      <c r="K26" s="140">
        <f>'ACM Performance Curves'!V281</f>
        <v>0.1400093</v>
      </c>
      <c r="L26" s="140">
        <f>'ACM Performance Curves'!W281</f>
        <v>0.64150019999999996</v>
      </c>
      <c r="M26" s="140">
        <f>'ACM Performance Curves'!X281</f>
        <v>0.13390469999999999</v>
      </c>
      <c r="N26" s="140">
        <f>'ACM Performance Curves'!Y281</f>
        <v>8.4585900000000006E-2</v>
      </c>
      <c r="O26" s="140">
        <f>'ACM Performance Curves'!Z281</f>
        <v>0</v>
      </c>
      <c r="P26" s="147">
        <f>'ACM Performance Curves'!AA281</f>
        <v>0</v>
      </c>
      <c r="S26" s="140">
        <f t="shared" si="3"/>
        <v>0.39999999999999963</v>
      </c>
      <c r="T26" s="189">
        <f t="shared" si="4"/>
        <v>0.35655906639999979</v>
      </c>
      <c r="U26">
        <f t="shared" si="1"/>
        <v>1</v>
      </c>
      <c r="V26" s="140">
        <f t="shared" si="5"/>
        <v>1.1218337652681263</v>
      </c>
      <c r="X26" s="190">
        <f t="shared" si="6"/>
        <v>0.43290923361778222</v>
      </c>
      <c r="Y26">
        <f t="shared" si="2"/>
        <v>0.85561497326203151</v>
      </c>
      <c r="Z26" s="140">
        <f t="shared" si="7"/>
        <v>1.0799030459413994</v>
      </c>
      <c r="AC26" s="298"/>
      <c r="AD26" s="166" t="s">
        <v>981</v>
      </c>
      <c r="AE26" s="148"/>
      <c r="AF26" s="149"/>
      <c r="AG26" s="160"/>
      <c r="AH26" s="148">
        <f>$K69+$L69*AH$8+$M69*AH$8^2+$N69*AH$6+$O69*AH$6^2+$P69*AH$8*AH$6</f>
        <v>1.0009748480856033</v>
      </c>
      <c r="AI26" s="149">
        <f>$K69+$L69*AI$8+$M69*AI$8^2+$N69*AI$6+$O69*AI$6^2+$P69*AI$8*AI$6</f>
        <v>0.78471492294455092</v>
      </c>
      <c r="AJ26" s="160">
        <f>$K69+$L69*AJ$8+$M69*AJ$8^2+$N69*AJ$6+$O69*AJ$6^2+$P69*AJ$8*AJ$6</f>
        <v>0.63583973955479656</v>
      </c>
      <c r="AM26" s="146" t="s">
        <v>978</v>
      </c>
      <c r="AN26" s="140">
        <v>1</v>
      </c>
      <c r="AO26" s="147"/>
      <c r="AP26" s="185"/>
      <c r="AV26" s="146" t="s">
        <v>1069</v>
      </c>
      <c r="AW26" s="188">
        <f>AP62</f>
        <v>5.9129600613661566</v>
      </c>
      <c r="AX26" s="202"/>
    </row>
    <row r="27" spans="1:50" ht="15.75" customHeight="1" thickBot="1" x14ac:dyDescent="0.35">
      <c r="A27" s="297"/>
      <c r="B27" s="146" t="str">
        <f>'ACM Performance Curves'!M282</f>
        <v>Heating Energy Input Ratio Modifier Function of High Part-Load Ratio Curve Name</v>
      </c>
      <c r="C27" s="140" t="str">
        <f>'ACM Performance Curves'!N282</f>
        <v>EPDef-VRFSysHtgEIRRatio_fPLRHiSI</v>
      </c>
      <c r="D27" s="140" t="str">
        <f>'ACM Performance Curves'!O282</f>
        <v>Quadratic</v>
      </c>
      <c r="E27" s="140" t="str">
        <f>'ACM Performance Curves'!P282</f>
        <v>EIRRatio</v>
      </c>
      <c r="F27" s="140" t="str">
        <f>'ACM Performance Curves'!Q282</f>
        <v>PLR</v>
      </c>
      <c r="G27" s="140" t="str">
        <f>'ACM Performance Curves'!R282</f>
        <v>Hi</v>
      </c>
      <c r="H27" s="140">
        <f>'ACM Performance Curves'!S282</f>
        <v>0</v>
      </c>
      <c r="I27" s="140">
        <f>'ACM Performance Curves'!T282</f>
        <v>0</v>
      </c>
      <c r="J27" s="140">
        <f>'ACM Performance Curves'!U282</f>
        <v>0</v>
      </c>
      <c r="K27" s="140">
        <f>'ACM Performance Curves'!V282</f>
        <v>2.4294359999999999</v>
      </c>
      <c r="L27" s="140">
        <f>'ACM Performance Curves'!W282</f>
        <v>-2.235887</v>
      </c>
      <c r="M27" s="140">
        <f>'ACM Performance Curves'!X282</f>
        <v>0.80645199999999995</v>
      </c>
      <c r="N27" s="140">
        <f>'ACM Performance Curves'!Y282</f>
        <v>0</v>
      </c>
      <c r="O27" s="140">
        <f>'ACM Performance Curves'!Z282</f>
        <v>0</v>
      </c>
      <c r="P27" s="147">
        <f>'ACM Performance Curves'!AA282</f>
        <v>0</v>
      </c>
      <c r="S27" s="140">
        <f t="shared" si="3"/>
        <v>0.34999999999999964</v>
      </c>
      <c r="T27" s="189">
        <f t="shared" si="4"/>
        <v>0.33962174343749985</v>
      </c>
      <c r="U27">
        <f t="shared" si="1"/>
        <v>1</v>
      </c>
      <c r="V27" s="140">
        <f t="shared" si="5"/>
        <v>1.0305582806844336</v>
      </c>
      <c r="X27" s="190">
        <f t="shared" si="6"/>
        <v>0.43290923361778222</v>
      </c>
      <c r="Y27">
        <f t="shared" si="2"/>
        <v>0.79545454545454497</v>
      </c>
      <c r="Z27" s="140">
        <f t="shared" si="7"/>
        <v>1.016379337356611</v>
      </c>
      <c r="AM27" s="148" t="s">
        <v>979</v>
      </c>
      <c r="AN27" s="149">
        <v>0.55000000000000004</v>
      </c>
      <c r="AO27" s="160"/>
      <c r="AV27" s="146" t="s">
        <v>1070</v>
      </c>
      <c r="AW27" s="188">
        <f>AQ62</f>
        <v>3.7680552687269144</v>
      </c>
      <c r="AX27" s="202"/>
    </row>
    <row r="28" spans="1:50" ht="15.75" customHeight="1" thickBot="1" x14ac:dyDescent="0.35">
      <c r="A28" s="297"/>
      <c r="B28" s="146" t="str">
        <f>'ACM Performance Curves'!M283</f>
        <v>Heating Part-Load Fraction Correlation Curve Name</v>
      </c>
      <c r="C28" s="140" t="str">
        <f>'ACM Performance Curves'!N283</f>
        <v>EPDef-VRFSysHtgEIRRatio_fCycRatSI</v>
      </c>
      <c r="D28" s="140" t="str">
        <f>'ACM Performance Curves'!O283</f>
        <v>Cubic</v>
      </c>
      <c r="E28" s="140" t="str">
        <f>'ACM Performance Curves'!P283</f>
        <v>EIRRatio</v>
      </c>
      <c r="F28" s="140" t="str">
        <f>'ACM Performance Curves'!Q283</f>
        <v>CycRat</v>
      </c>
      <c r="G28" s="140">
        <f>'ACM Performance Curves'!R283</f>
        <v>0</v>
      </c>
      <c r="H28" s="140">
        <f>'ACM Performance Curves'!S283</f>
        <v>0</v>
      </c>
      <c r="I28" s="140">
        <f>'ACM Performance Curves'!T283</f>
        <v>0</v>
      </c>
      <c r="J28" s="140">
        <f>'ACM Performance Curves'!U283</f>
        <v>0</v>
      </c>
      <c r="K28" s="140">
        <f>'ACM Performance Curves'!V283</f>
        <v>0.85</v>
      </c>
      <c r="L28" s="140">
        <f>'ACM Performance Curves'!W283</f>
        <v>0.15</v>
      </c>
      <c r="M28" s="140">
        <f>'ACM Performance Curves'!X283</f>
        <v>0</v>
      </c>
      <c r="N28" s="140">
        <f>'ACM Performance Curves'!Y283</f>
        <v>0</v>
      </c>
      <c r="O28" s="140">
        <f>'ACM Performance Curves'!Z283</f>
        <v>0</v>
      </c>
      <c r="P28" s="147">
        <f>'ACM Performance Curves'!AA283</f>
        <v>0</v>
      </c>
      <c r="S28" s="140">
        <f t="shared" si="3"/>
        <v>0.29999999999999966</v>
      </c>
      <c r="T28" s="189">
        <f t="shared" si="4"/>
        <v>0.3304221913999999</v>
      </c>
      <c r="U28">
        <f t="shared" si="1"/>
        <v>1</v>
      </c>
      <c r="V28" s="140">
        <f t="shared" si="5"/>
        <v>0.90792933346546334</v>
      </c>
      <c r="X28" s="190">
        <f t="shared" si="6"/>
        <v>0.43290923361778222</v>
      </c>
      <c r="Y28">
        <f t="shared" si="2"/>
        <v>0.72727272727272674</v>
      </c>
      <c r="Z28" s="140">
        <f t="shared" si="7"/>
        <v>0.95285562877182284</v>
      </c>
      <c r="AD28" s="164" t="s">
        <v>962</v>
      </c>
      <c r="AV28" s="146" t="s">
        <v>1071</v>
      </c>
      <c r="AW28" s="188">
        <f>AR62</f>
        <v>2.6660200338286644</v>
      </c>
      <c r="AX28" s="202"/>
    </row>
    <row r="29" spans="1:50" ht="15.75" customHeight="1" x14ac:dyDescent="0.3">
      <c r="A29" s="297"/>
      <c r="B29" s="146" t="str">
        <f>'ACM Performance Curves'!M284</f>
        <v>Heat Recovery Heating Energy Modifier Function of Temperature Curve Name</v>
      </c>
      <c r="C29" s="140" t="str">
        <f>'ACM Performance Curves'!N284</f>
        <v>EPDef-VRFSysHtRcvryHtgEIRRatio_fTwbToadbSI</v>
      </c>
      <c r="D29" s="140" t="str">
        <f>'ACM Performance Curves'!O284</f>
        <v>BiQuadratic</v>
      </c>
      <c r="E29" s="140" t="str">
        <f>'ACM Performance Curves'!P284</f>
        <v>EIRRatio</v>
      </c>
      <c r="F29" s="140" t="str">
        <f>'ACM Performance Curves'!Q284</f>
        <v>Twb</v>
      </c>
      <c r="G29" s="140" t="str">
        <f>'ACM Performance Curves'!R284</f>
        <v>Toadb</v>
      </c>
      <c r="H29" s="140">
        <f>'ACM Performance Curves'!S284</f>
        <v>0</v>
      </c>
      <c r="I29" s="140">
        <f>'ACM Performance Curves'!T284</f>
        <v>0</v>
      </c>
      <c r="J29" s="140">
        <f>'ACM Performance Curves'!U284</f>
        <v>0</v>
      </c>
      <c r="K29" s="140">
        <f>'ACM Performance Curves'!V284</f>
        <v>1.1000000000000001</v>
      </c>
      <c r="L29" s="140">
        <f>'ACM Performance Curves'!W284</f>
        <v>0</v>
      </c>
      <c r="M29" s="140">
        <f>'ACM Performance Curves'!X284</f>
        <v>0</v>
      </c>
      <c r="N29" s="140">
        <f>'ACM Performance Curves'!Y284</f>
        <v>0</v>
      </c>
      <c r="O29" s="140">
        <f>'ACM Performance Curves'!Z284</f>
        <v>0</v>
      </c>
      <c r="P29" s="147">
        <f>'ACM Performance Curves'!AA284</f>
        <v>0</v>
      </c>
      <c r="S29" s="140">
        <f t="shared" si="3"/>
        <v>0.24999999999999967</v>
      </c>
      <c r="T29" s="189">
        <f t="shared" si="4"/>
        <v>0.3294085215625</v>
      </c>
      <c r="U29">
        <f t="shared" si="1"/>
        <v>1</v>
      </c>
      <c r="V29" s="140">
        <f t="shared" si="5"/>
        <v>0.75893604334873332</v>
      </c>
      <c r="X29" s="190">
        <f t="shared" si="6"/>
        <v>0.43290923361778222</v>
      </c>
      <c r="Y29">
        <f t="shared" si="2"/>
        <v>0.64935064935064879</v>
      </c>
      <c r="Z29" s="140">
        <f t="shared" si="7"/>
        <v>0.88933192018703455</v>
      </c>
      <c r="AC29" s="300" t="s">
        <v>1014</v>
      </c>
      <c r="AD29" s="164" t="s">
        <v>982</v>
      </c>
      <c r="AE29" s="176">
        <f>IF(AE$6&gt;AE$12,AE13,AE11)</f>
        <v>0.91777680246913573</v>
      </c>
      <c r="AF29" s="252">
        <f>IF(AF$6&gt;AF$12,AF13,AF11)</f>
        <v>1.0090397654320986</v>
      </c>
      <c r="AG29" s="177">
        <f>IF(AG$6&gt;AG$12,AG13,AG11)</f>
        <v>1.0683606913580248</v>
      </c>
      <c r="AH29" s="145"/>
      <c r="AI29" s="143"/>
      <c r="AJ29" s="174"/>
      <c r="AM29" s="141" t="s">
        <v>1115</v>
      </c>
      <c r="AV29" s="146" t="s">
        <v>1072</v>
      </c>
      <c r="AW29" s="188">
        <f>AS62</f>
        <v>2.2605377767769812</v>
      </c>
      <c r="AX29" s="202"/>
    </row>
    <row r="30" spans="1:50" ht="15.75" customHeight="1" thickBot="1" x14ac:dyDescent="0.35">
      <c r="A30" s="297"/>
      <c r="B30" s="146" t="str">
        <f>'ACM Performance Curves'!M285</f>
        <v xml:space="preserve">Piping Correction Factor for Length in Cooling Mode Curve Name </v>
      </c>
      <c r="C30" s="140" t="str">
        <f>'ACM Performance Curves'!N285</f>
        <v>EPDef-VRFSysClgPipeLoss_fLenCombRatSI</v>
      </c>
      <c r="D30" s="140" t="str">
        <f>'ACM Performance Curves'!O285</f>
        <v>BiQuadratic</v>
      </c>
      <c r="E30" s="140" t="str">
        <f>'ACM Performance Curves'!P285</f>
        <v>PipeLoss</v>
      </c>
      <c r="F30" s="140" t="str">
        <f>'ACM Performance Curves'!Q285</f>
        <v>Len</v>
      </c>
      <c r="G30" s="140" t="str">
        <f>'ACM Performance Curves'!R285</f>
        <v>CombRat</v>
      </c>
      <c r="H30" s="140">
        <f>'ACM Performance Curves'!S285</f>
        <v>0</v>
      </c>
      <c r="I30" s="140">
        <f>'ACM Performance Curves'!T285</f>
        <v>0</v>
      </c>
      <c r="J30" s="140">
        <f>'ACM Performance Curves'!U285</f>
        <v>0</v>
      </c>
      <c r="K30" s="140">
        <f>'ACM Performance Curves'!V285</f>
        <v>1.0693790000000001</v>
      </c>
      <c r="L30" s="140">
        <f>'ACM Performance Curves'!W285</f>
        <v>-1.495E-3</v>
      </c>
      <c r="M30" s="140">
        <f>'ACM Performance Curves'!X285</f>
        <v>3.0000000000000001E-6</v>
      </c>
      <c r="N30" s="140">
        <f>'ACM Performance Curves'!Y285</f>
        <v>-0.11511</v>
      </c>
      <c r="O30" s="140">
        <f>'ACM Performance Curves'!Z285</f>
        <v>5.1117000000000003E-2</v>
      </c>
      <c r="P30" s="147">
        <f>'ACM Performance Curves'!AA285</f>
        <v>-4.37E-4</v>
      </c>
      <c r="S30" s="140">
        <f t="shared" si="3"/>
        <v>0.19999999999999968</v>
      </c>
      <c r="T30" s="189">
        <f t="shared" si="4"/>
        <v>0.3294085215625</v>
      </c>
      <c r="U30">
        <f t="shared" si="1"/>
        <v>0.82474226804123596</v>
      </c>
      <c r="V30" s="140">
        <f t="shared" si="5"/>
        <v>0.73616796204827217</v>
      </c>
      <c r="X30" s="190">
        <f t="shared" si="6"/>
        <v>0.43290923361778222</v>
      </c>
      <c r="Y30">
        <f t="shared" si="2"/>
        <v>0.55944055944055882</v>
      </c>
      <c r="Z30" s="140">
        <f t="shared" si="7"/>
        <v>0.82580821160224649</v>
      </c>
      <c r="AC30" s="297"/>
      <c r="AD30" s="165" t="s">
        <v>983</v>
      </c>
      <c r="AE30" s="146"/>
      <c r="AG30" s="147"/>
      <c r="AH30" s="251">
        <f>IF(AH6&gt;AH15,AH16,AH14)</f>
        <v>0.99179938271604939</v>
      </c>
      <c r="AI30" s="170">
        <f>IF(AI6&gt;AI15,AI16,AI14)</f>
        <v>0.73709318672839497</v>
      </c>
      <c r="AJ30" s="171">
        <f>IF(AJ6&gt;AJ15,AJ16,AJ14)</f>
        <v>0.6082413163580247</v>
      </c>
      <c r="AM30" s="141" t="s">
        <v>1116</v>
      </c>
      <c r="AV30" s="146" t="s">
        <v>1073</v>
      </c>
      <c r="AW30" s="188">
        <f>AN60</f>
        <v>0.55000000000000004</v>
      </c>
    </row>
    <row r="31" spans="1:50" ht="15.75" customHeight="1" x14ac:dyDescent="0.3">
      <c r="A31" s="299"/>
      <c r="B31" s="180" t="str">
        <f>'ACM Performance Curves'!M286</f>
        <v xml:space="preserve">Piping Correction Factor for Length in Heating Mode Curve Name </v>
      </c>
      <c r="C31" s="181" t="str">
        <f>'ACM Performance Curves'!N286</f>
        <v>EPDef-VRFSysHtgPipeLoss_fLenCombRatSI</v>
      </c>
      <c r="D31" s="181" t="str">
        <f>'ACM Performance Curves'!O286</f>
        <v>BiQuadratic</v>
      </c>
      <c r="E31" s="181" t="str">
        <f>'ACM Performance Curves'!P286</f>
        <v>PipeLoss</v>
      </c>
      <c r="F31" s="181" t="str">
        <f>'ACM Performance Curves'!Q286</f>
        <v>Len</v>
      </c>
      <c r="G31" s="181" t="str">
        <f>'ACM Performance Curves'!R286</f>
        <v>CombRat</v>
      </c>
      <c r="H31" s="181">
        <f>'ACM Performance Curves'!S286</f>
        <v>0</v>
      </c>
      <c r="I31" s="181">
        <f>'ACM Performance Curves'!T286</f>
        <v>0</v>
      </c>
      <c r="J31" s="181">
        <f>'ACM Performance Curves'!U286</f>
        <v>0</v>
      </c>
      <c r="K31" s="181">
        <f>'ACM Performance Curves'!V286</f>
        <v>1.0693790000000001</v>
      </c>
      <c r="L31" s="181">
        <f>'ACM Performance Curves'!W286</f>
        <v>-1.495E-3</v>
      </c>
      <c r="M31" s="181">
        <f>'ACM Performance Curves'!X286</f>
        <v>3.0000000000000001E-6</v>
      </c>
      <c r="N31" s="181">
        <f>'ACM Performance Curves'!Y286</f>
        <v>-0.11511</v>
      </c>
      <c r="O31" s="181">
        <f>'ACM Performance Curves'!Z286</f>
        <v>5.1117000000000003E-2</v>
      </c>
      <c r="P31" s="182">
        <f>'ACM Performance Curves'!AA286</f>
        <v>-4.37E-4</v>
      </c>
      <c r="S31" s="140">
        <f t="shared" si="3"/>
        <v>0.14999999999999969</v>
      </c>
      <c r="T31" s="189">
        <f t="shared" si="4"/>
        <v>0.3294085215625</v>
      </c>
      <c r="U31">
        <f t="shared" si="1"/>
        <v>0.63829787234042434</v>
      </c>
      <c r="V31" s="140">
        <f t="shared" si="5"/>
        <v>0.71339988074781013</v>
      </c>
      <c r="X31" s="190">
        <f t="shared" si="6"/>
        <v>0.43290923361778222</v>
      </c>
      <c r="Y31">
        <f t="shared" si="2"/>
        <v>0.45454545454545386</v>
      </c>
      <c r="Z31" s="140">
        <f t="shared" si="7"/>
        <v>0.76228450301745809</v>
      </c>
      <c r="AC31" s="297"/>
      <c r="AD31" s="165" t="s">
        <v>984</v>
      </c>
      <c r="AE31" s="178">
        <f>IF(AE6&gt;AE18,AE19,AE17)</f>
        <v>1.2891588500000002</v>
      </c>
      <c r="AF31" s="170">
        <f>IF(AF6&gt;AF18,AF19,AF17)</f>
        <v>1.0007620475308643</v>
      </c>
      <c r="AG31" s="171">
        <f>IF(AG6&gt;AG18,AG19,AG17)</f>
        <v>0.83492493148148172</v>
      </c>
      <c r="AH31" s="146"/>
      <c r="AJ31" s="147"/>
      <c r="AM31" s="145"/>
      <c r="AN31" s="161" t="s">
        <v>946</v>
      </c>
      <c r="AO31" s="162"/>
      <c r="AP31" s="163"/>
      <c r="AQ31" s="161" t="s">
        <v>947</v>
      </c>
      <c r="AR31" s="162"/>
      <c r="AS31" s="163"/>
      <c r="AV31" s="146" t="s">
        <v>1075</v>
      </c>
      <c r="AW31" s="188">
        <f>AO60</f>
        <v>0.55000000000000004</v>
      </c>
    </row>
    <row r="32" spans="1:50" ht="15.75" customHeight="1" x14ac:dyDescent="0.3">
      <c r="A32" s="297" t="s">
        <v>1012</v>
      </c>
      <c r="B32" s="146" t="str">
        <f>'ACM Performance Curves'!M43</f>
        <v>Cooling Capacity Ratio Modifier Function of Temperature Curve Name</v>
      </c>
      <c r="C32" s="140" t="str">
        <f>'ACM Performance Curves'!N43</f>
        <v>CoilClgVRFClgQratio_fTwbTdbSI</v>
      </c>
      <c r="D32" s="140" t="str">
        <f>'ACM Performance Curves'!O43</f>
        <v>BiQuadratic</v>
      </c>
      <c r="E32" s="140" t="str">
        <f>'ACM Performance Curves'!P43</f>
        <v>Qratio</v>
      </c>
      <c r="F32" s="140" t="str">
        <f>'ACM Performance Curves'!Q43</f>
        <v>Twb</v>
      </c>
      <c r="G32" s="140" t="str">
        <f>'ACM Performance Curves'!R43</f>
        <v>Tdb</v>
      </c>
      <c r="H32" s="140">
        <f>'ACM Performance Curves'!S43</f>
        <v>0</v>
      </c>
      <c r="I32" s="140">
        <f>'ACM Performance Curves'!T43</f>
        <v>0</v>
      </c>
      <c r="J32" s="140">
        <f>'ACM Performance Curves'!U43</f>
        <v>0</v>
      </c>
      <c r="K32" s="140">
        <f>'ACM Performance Curves'!V43</f>
        <v>5.8588407780325903E-2</v>
      </c>
      <c r="L32" s="140">
        <f>'ACM Performance Curves'!W43</f>
        <v>5.8739653271838402E-2</v>
      </c>
      <c r="M32" s="140">
        <f>'ACM Performance Curves'!X43</f>
        <v>-2.10274979759697E-4</v>
      </c>
      <c r="N32" s="140">
        <f>'ACM Performance Curves'!Y43</f>
        <v>1.0937047388964701E-2</v>
      </c>
      <c r="O32" s="140">
        <f>'ACM Performance Curves'!Z43</f>
        <v>-1.219549E-4</v>
      </c>
      <c r="P32" s="147">
        <f>'ACM Performance Curves'!AA43</f>
        <v>-5.246615E-4</v>
      </c>
      <c r="S32" s="140">
        <f t="shared" si="3"/>
        <v>9.9999999999999686E-2</v>
      </c>
      <c r="T32" s="189">
        <f t="shared" si="4"/>
        <v>0.3294085215625</v>
      </c>
      <c r="U32">
        <f t="shared" si="1"/>
        <v>0.43956043956043828</v>
      </c>
      <c r="V32" s="140">
        <f t="shared" si="5"/>
        <v>0.6906317994473482</v>
      </c>
      <c r="X32" s="190">
        <f t="shared" si="6"/>
        <v>0.43290923361778222</v>
      </c>
      <c r="Y32">
        <f t="shared" si="2"/>
        <v>0.33057851239669339</v>
      </c>
      <c r="Z32" s="140">
        <f t="shared" si="7"/>
        <v>0.69876079443266992</v>
      </c>
      <c r="AC32" s="297"/>
      <c r="AD32" s="165" t="s">
        <v>985</v>
      </c>
      <c r="AE32" s="146"/>
      <c r="AG32" s="147"/>
      <c r="AH32" s="251">
        <f>IF(AH6&gt;AH21,AH22,AH20)</f>
        <v>0.99812153671288995</v>
      </c>
      <c r="AI32" s="170">
        <f>IF(AI6&gt;AI21,AI22,AI20)</f>
        <v>1.4499619702687747</v>
      </c>
      <c r="AJ32" s="171">
        <f>IF(AJ6&gt;AJ21,AJ22,AJ20)</f>
        <v>1.7270813906239848</v>
      </c>
      <c r="AM32" s="146" t="s">
        <v>1006</v>
      </c>
      <c r="AN32" s="146">
        <v>115</v>
      </c>
      <c r="AO32" s="140">
        <v>95</v>
      </c>
      <c r="AP32" s="147">
        <v>82</v>
      </c>
      <c r="AQ32" s="146">
        <v>47</v>
      </c>
      <c r="AR32" s="140">
        <v>17</v>
      </c>
      <c r="AS32" s="147">
        <v>5</v>
      </c>
      <c r="AV32" s="146" t="s">
        <v>1074</v>
      </c>
      <c r="AW32" s="188">
        <f>AP60</f>
        <v>0.55000000000000004</v>
      </c>
    </row>
    <row r="33" spans="1:49" ht="15.75" customHeight="1" x14ac:dyDescent="0.3">
      <c r="A33" s="297"/>
      <c r="B33" s="146" t="str">
        <f>'ACM Performance Curves'!M44</f>
        <v xml:space="preserve">Cooling Capacity Modifier Curve Function of Flow Fraction Name </v>
      </c>
      <c r="C33" s="140" t="str">
        <f>'ACM Performance Curves'!N44</f>
        <v>CoilClgVRFClgQratio_fCFMRatioSI</v>
      </c>
      <c r="D33" s="140" t="str">
        <f>'ACM Performance Curves'!O44</f>
        <v>Cubic</v>
      </c>
      <c r="E33" s="140" t="str">
        <f>'ACM Performance Curves'!P44</f>
        <v>Qratio</v>
      </c>
      <c r="F33" s="140" t="str">
        <f>'ACM Performance Curves'!Q44</f>
        <v>CFMRatio</v>
      </c>
      <c r="G33" s="140">
        <f>'ACM Performance Curves'!R44</f>
        <v>0</v>
      </c>
      <c r="H33" s="140">
        <f>'ACM Performance Curves'!S44</f>
        <v>0</v>
      </c>
      <c r="I33" s="140">
        <f>'ACM Performance Curves'!T44</f>
        <v>0</v>
      </c>
      <c r="J33" s="140">
        <f>'ACM Performance Curves'!U44</f>
        <v>0</v>
      </c>
      <c r="K33" s="140">
        <f>'ACM Performance Curves'!V44</f>
        <v>0.8</v>
      </c>
      <c r="L33" s="140">
        <f>'ACM Performance Curves'!W44</f>
        <v>0.2</v>
      </c>
      <c r="M33" s="140">
        <f>'ACM Performance Curves'!X44</f>
        <v>0</v>
      </c>
      <c r="N33" s="140">
        <f>'ACM Performance Curves'!Y44</f>
        <v>0</v>
      </c>
      <c r="O33" s="140">
        <f>'ACM Performance Curves'!Z44</f>
        <v>0</v>
      </c>
      <c r="P33" s="147">
        <f>'ACM Performance Curves'!AA44</f>
        <v>0</v>
      </c>
      <c r="S33" s="140">
        <f t="shared" ref="S33" si="8">S32-0.05</f>
        <v>4.9999999999999684E-2</v>
      </c>
      <c r="T33" s="189">
        <f t="shared" si="4"/>
        <v>0.3294085215625</v>
      </c>
      <c r="U33">
        <f t="shared" si="1"/>
        <v>0.22727272727272588</v>
      </c>
      <c r="V33" s="140">
        <f t="shared" si="5"/>
        <v>0.66786371814688605</v>
      </c>
      <c r="X33" s="190">
        <f t="shared" si="6"/>
        <v>0.43290923361778222</v>
      </c>
      <c r="Y33">
        <f t="shared" si="2"/>
        <v>0.18181818181818077</v>
      </c>
      <c r="Z33" s="140">
        <f t="shared" si="7"/>
        <v>0.63523708584788174</v>
      </c>
      <c r="AC33" s="297"/>
      <c r="AD33" s="165" t="s">
        <v>1101</v>
      </c>
      <c r="AE33" s="178">
        <f>AE23</f>
        <v>0.43290923361778261</v>
      </c>
      <c r="AF33" s="170">
        <f>AF23</f>
        <v>0.43290923361778261</v>
      </c>
      <c r="AG33" s="171">
        <f>AG23</f>
        <v>0.43290923361778261</v>
      </c>
      <c r="AH33" s="146"/>
      <c r="AJ33" s="147"/>
      <c r="AM33" s="146" t="s">
        <v>1021</v>
      </c>
      <c r="AN33" s="151">
        <f>AE35</f>
        <v>0.89584680970363362</v>
      </c>
      <c r="AO33" s="204">
        <f>AF35</f>
        <v>0.99758682575217406</v>
      </c>
      <c r="AP33" s="152">
        <f>AG35</f>
        <v>1.0475701040540952</v>
      </c>
      <c r="AQ33" s="151">
        <f>AH36</f>
        <v>1.0009748480856033</v>
      </c>
      <c r="AR33" s="204">
        <f>AI36</f>
        <v>0.78471492294455092</v>
      </c>
      <c r="AS33" s="152">
        <f>AJ36</f>
        <v>0.63583973955479656</v>
      </c>
      <c r="AV33" s="146" t="s">
        <v>1076</v>
      </c>
      <c r="AW33" s="188">
        <f>AQ60</f>
        <v>0.55000000000000004</v>
      </c>
    </row>
    <row r="34" spans="1:49" ht="15.75" customHeight="1" x14ac:dyDescent="0.3">
      <c r="A34" s="297"/>
      <c r="B34" s="146" t="str">
        <f>'ACM Performance Curves'!M86</f>
        <v>Heating Capacity Ratio Modifier Function of Temperature Curve Name</v>
      </c>
      <c r="C34" s="140" t="str">
        <f>'ACM Performance Curves'!N86</f>
        <v>CoilHtgVRFHtgQratio_fTwbTdbSI</v>
      </c>
      <c r="D34" s="140" t="str">
        <f>'ACM Performance Curves'!O86</f>
        <v>BiQuadratic</v>
      </c>
      <c r="E34" s="140" t="str">
        <f>'ACM Performance Curves'!P86</f>
        <v>Qratio</v>
      </c>
      <c r="F34" s="140" t="str">
        <f>'ACM Performance Curves'!Q86</f>
        <v>Twb</v>
      </c>
      <c r="G34" s="140" t="str">
        <f>'ACM Performance Curves'!R86</f>
        <v>Tdb</v>
      </c>
      <c r="H34" s="140">
        <f>'ACM Performance Curves'!S86</f>
        <v>0</v>
      </c>
      <c r="I34" s="140">
        <f>'ACM Performance Curves'!T86</f>
        <v>0</v>
      </c>
      <c r="J34" s="140">
        <f>'ACM Performance Curves'!U86</f>
        <v>0</v>
      </c>
      <c r="K34" s="140">
        <f>'ACM Performance Curves'!V86</f>
        <v>0.37544399495612701</v>
      </c>
      <c r="L34" s="140">
        <f>'ACM Performance Curves'!W86</f>
        <v>6.6819064514782103E-2</v>
      </c>
      <c r="M34" s="140">
        <f>'ACM Performance Curves'!X86</f>
        <v>-1.94171026482001E-3</v>
      </c>
      <c r="N34" s="140">
        <f>'ACM Performance Curves'!Y86</f>
        <v>4.4261842064018703E-2</v>
      </c>
      <c r="O34" s="140">
        <f>'ACM Performance Curves'!Z86</f>
        <v>-4.0095780000000002E-4</v>
      </c>
      <c r="P34" s="147">
        <f>'ACM Performance Curves'!AA86</f>
        <v>-1.4819801E-3</v>
      </c>
      <c r="T34"/>
      <c r="U34"/>
      <c r="AC34" s="297"/>
      <c r="AD34" s="183" t="s">
        <v>1102</v>
      </c>
      <c r="AE34" s="146"/>
      <c r="AG34" s="147"/>
      <c r="AH34" s="178">
        <f>AH24</f>
        <v>0.52631562499999995</v>
      </c>
      <c r="AI34" s="170">
        <f>AI24</f>
        <v>0.52631562499999995</v>
      </c>
      <c r="AJ34" s="171">
        <f>AJ24</f>
        <v>0.52631562499999995</v>
      </c>
      <c r="AM34" s="146" t="s">
        <v>1023</v>
      </c>
      <c r="AN34" s="241">
        <f>$AN$15*AN33</f>
        <v>46806.114528714483</v>
      </c>
      <c r="AO34" s="242">
        <f t="shared" ref="AO34:AP34" si="9">$AN$15*AO33</f>
        <v>52121.816713217013</v>
      </c>
      <c r="AP34" s="243">
        <f t="shared" si="9"/>
        <v>54733.338039607966</v>
      </c>
      <c r="AQ34" s="241">
        <f>$AN$16*AQ33</f>
        <v>43610.672376363182</v>
      </c>
      <c r="AR34" s="242">
        <f t="shared" ref="AR34:AS34" si="10">$AN$16*AR33</f>
        <v>34188.616705832785</v>
      </c>
      <c r="AS34" s="243">
        <f t="shared" si="10"/>
        <v>27702.392940871287</v>
      </c>
      <c r="AV34" s="146" t="s">
        <v>1077</v>
      </c>
      <c r="AW34" s="188">
        <f>AR60</f>
        <v>0.55000000000000004</v>
      </c>
    </row>
    <row r="35" spans="1:49" ht="15.75" customHeight="1" thickBot="1" x14ac:dyDescent="0.35">
      <c r="A35" s="298"/>
      <c r="B35" s="148" t="str">
        <f>'ACM Performance Curves'!M87</f>
        <v xml:space="preserve">Heating Capacity Modifier Curve Function of Flow Fraction Name </v>
      </c>
      <c r="C35" s="149" t="str">
        <f>'ACM Performance Curves'!N87</f>
        <v>CoilHtgVRFHtgQratio_fCFMRatioSI</v>
      </c>
      <c r="D35" s="149" t="str">
        <f>'ACM Performance Curves'!O87</f>
        <v>Cubic</v>
      </c>
      <c r="E35" s="149" t="str">
        <f>'ACM Performance Curves'!P87</f>
        <v>Qratio</v>
      </c>
      <c r="F35" s="149" t="str">
        <f>'ACM Performance Curves'!Q87</f>
        <v>CFMRatio</v>
      </c>
      <c r="G35" s="149">
        <f>'ACM Performance Curves'!R87</f>
        <v>0</v>
      </c>
      <c r="H35" s="149">
        <f>'ACM Performance Curves'!S87</f>
        <v>0</v>
      </c>
      <c r="I35" s="149">
        <f>'ACM Performance Curves'!T87</f>
        <v>0</v>
      </c>
      <c r="J35" s="149">
        <f>'ACM Performance Curves'!U87</f>
        <v>0</v>
      </c>
      <c r="K35" s="149">
        <f>'ACM Performance Curves'!V87</f>
        <v>0.8</v>
      </c>
      <c r="L35" s="149">
        <f>'ACM Performance Curves'!W87</f>
        <v>0.2</v>
      </c>
      <c r="M35" s="149">
        <f>'ACM Performance Curves'!X87</f>
        <v>0</v>
      </c>
      <c r="N35" s="149">
        <f>'ACM Performance Curves'!Y87</f>
        <v>0</v>
      </c>
      <c r="O35" s="149">
        <f>'ACM Performance Curves'!Z87</f>
        <v>0</v>
      </c>
      <c r="P35" s="160">
        <f>'ACM Performance Curves'!AA87</f>
        <v>0</v>
      </c>
      <c r="AC35" s="195" t="s">
        <v>1013</v>
      </c>
      <c r="AD35" s="165" t="s">
        <v>986</v>
      </c>
      <c r="AE35" s="178">
        <f>AE25</f>
        <v>0.89584680970363362</v>
      </c>
      <c r="AF35" s="170">
        <f>AF25</f>
        <v>0.99758682575217406</v>
      </c>
      <c r="AG35" s="171">
        <f>AG25</f>
        <v>1.0475701040540952</v>
      </c>
      <c r="AH35" s="146"/>
      <c r="AJ35" s="147"/>
      <c r="AM35" s="146" t="s">
        <v>1041</v>
      </c>
      <c r="AN35" s="153">
        <f>AN34/12000*$AN$24*$AN$25</f>
        <v>323.74229215694186</v>
      </c>
      <c r="AO35" s="205">
        <f t="shared" ref="AO35:AS35" si="11">AO34/12000*$AN$24*$AN$25</f>
        <v>360.50923226641765</v>
      </c>
      <c r="AP35" s="154">
        <f t="shared" si="11"/>
        <v>378.57225477395508</v>
      </c>
      <c r="AQ35" s="153">
        <f t="shared" si="11"/>
        <v>301.640483936512</v>
      </c>
      <c r="AR35" s="205">
        <f t="shared" si="11"/>
        <v>236.47126554867674</v>
      </c>
      <c r="AS35" s="154">
        <f t="shared" si="11"/>
        <v>191.6082178410264</v>
      </c>
      <c r="AT35" s="185"/>
      <c r="AV35" s="146" t="s">
        <v>1078</v>
      </c>
      <c r="AW35" s="188">
        <f>AS60</f>
        <v>0.55000000000000004</v>
      </c>
    </row>
    <row r="36" spans="1:49" ht="15.75" customHeight="1" thickBot="1" x14ac:dyDescent="0.35">
      <c r="AC36" s="196"/>
      <c r="AD36" s="166" t="s">
        <v>987</v>
      </c>
      <c r="AE36" s="148"/>
      <c r="AF36" s="149"/>
      <c r="AG36" s="160"/>
      <c r="AH36" s="197">
        <f>AH26</f>
        <v>1.0009748480856033</v>
      </c>
      <c r="AI36" s="172">
        <f>AI26</f>
        <v>0.78471492294455092</v>
      </c>
      <c r="AJ36" s="173">
        <f>AJ26</f>
        <v>0.63583973955479656</v>
      </c>
      <c r="AM36" s="146" t="s">
        <v>1125</v>
      </c>
      <c r="AN36" s="241">
        <f>AN34-AN35*3.412</f>
        <v>45701.505827875</v>
      </c>
      <c r="AO36" s="206">
        <f t="shared" ref="AO36:AP36" si="12">AO34-AO35*3.412</f>
        <v>50891.759212723999</v>
      </c>
      <c r="AP36" s="243">
        <f t="shared" si="12"/>
        <v>53441.649506319234</v>
      </c>
      <c r="AQ36" s="241">
        <f>AQ34+AQ35*3.412</f>
        <v>44639.869707554564</v>
      </c>
      <c r="AR36" s="206">
        <f t="shared" ref="AR36:AS36" si="13">AR34+AR35*3.412</f>
        <v>34995.45666388487</v>
      </c>
      <c r="AS36" s="243">
        <f t="shared" si="13"/>
        <v>28356.160180144867</v>
      </c>
      <c r="AV36" s="146" t="s">
        <v>1079</v>
      </c>
      <c r="AW36" s="147">
        <v>1.2</v>
      </c>
    </row>
    <row r="37" spans="1:49" ht="15.75" customHeight="1" thickBot="1" x14ac:dyDescent="0.35">
      <c r="AM37" s="146" t="s">
        <v>1020</v>
      </c>
      <c r="AN37" s="151">
        <f>$K$65+$L$65*$AN$13+$M$65*$AN$13^2+$N$65*1+$O$65*1^2+$P$65*$AN$13*1+$AN$21*$AN$14</f>
        <v>0.97564680394358572</v>
      </c>
      <c r="AO37" s="204">
        <f t="shared" ref="AO37:AP37" si="14">$K$65+$L$65*$AN$13+$M$65*$AN$13^2+$N$65*1+$O$65*1^2+$P$65*$AN$13*1+$AN$21*$AN$14</f>
        <v>0.97564680394358572</v>
      </c>
      <c r="AP37" s="152">
        <f t="shared" si="14"/>
        <v>0.97564680394358572</v>
      </c>
      <c r="AQ37" s="151">
        <f>$K$66+$L$66*$AN$13+$M$66*$AN$13^2+$N$66*1+$O$66*1^2+$P$66*$AN$13*1+$AN$22*$AN$14</f>
        <v>0.97564680394358572</v>
      </c>
      <c r="AR37" s="204">
        <f t="shared" ref="AR37:AS37" si="15">$K$66+$L$66*$AN$13+$M$66*$AN$13^2+$N$66*1+$O$66*1^2+$P$66*$AN$13*1+$AN$22*$AN$14</f>
        <v>0.97564680394358572</v>
      </c>
      <c r="AS37" s="152">
        <f t="shared" si="15"/>
        <v>0.97564680394358572</v>
      </c>
      <c r="AV37" s="146" t="s">
        <v>1088</v>
      </c>
      <c r="AW37" s="188">
        <f>X51</f>
        <v>0.35</v>
      </c>
    </row>
    <row r="38" spans="1:49" ht="15.75" customHeight="1" x14ac:dyDescent="0.3">
      <c r="AD38" s="145" t="s">
        <v>963</v>
      </c>
      <c r="AE38" s="144" t="s">
        <v>964</v>
      </c>
      <c r="AG38" s="141"/>
      <c r="AJ38" s="141"/>
      <c r="AM38" s="146" t="s">
        <v>1026</v>
      </c>
      <c r="AN38" s="153">
        <f>AN34/AN37</f>
        <v>47974.445608311478</v>
      </c>
      <c r="AO38" s="205">
        <f t="shared" ref="AO38:AS38" si="16">AO34/AO37</f>
        <v>53422.833450116879</v>
      </c>
      <c r="AP38" s="154">
        <f t="shared" si="16"/>
        <v>56099.541164255977</v>
      </c>
      <c r="AQ38" s="153">
        <f t="shared" si="16"/>
        <v>44699.241774879898</v>
      </c>
      <c r="AR38" s="205">
        <f t="shared" si="16"/>
        <v>35042.001437038125</v>
      </c>
      <c r="AS38" s="154">
        <f t="shared" si="16"/>
        <v>28393.874534203984</v>
      </c>
      <c r="AV38" s="146" t="s">
        <v>1089</v>
      </c>
      <c r="AW38" s="188">
        <f>X9</f>
        <v>0.55000000000000004</v>
      </c>
    </row>
    <row r="39" spans="1:49" ht="15.75" customHeight="1" thickBot="1" x14ac:dyDescent="0.35">
      <c r="A39" s="141" t="s">
        <v>1009</v>
      </c>
      <c r="AD39" s="146" t="s">
        <v>988</v>
      </c>
      <c r="AE39" s="171">
        <f>AE29</f>
        <v>0.91777680246913573</v>
      </c>
      <c r="AG39" s="141"/>
      <c r="AJ39" s="141"/>
      <c r="AM39" s="146" t="s">
        <v>1030</v>
      </c>
      <c r="AN39" s="151">
        <f>AE31</f>
        <v>1.2891588500000002</v>
      </c>
      <c r="AO39" s="204">
        <f>AF31</f>
        <v>1.0007620475308643</v>
      </c>
      <c r="AP39" s="152">
        <f>AG31</f>
        <v>0.83492493148148172</v>
      </c>
      <c r="AQ39" s="151">
        <f>AH32</f>
        <v>0.99812153671288995</v>
      </c>
      <c r="AR39" s="204">
        <f>AI32</f>
        <v>1.4499619702687747</v>
      </c>
      <c r="AS39" s="152">
        <f>AJ32</f>
        <v>1.7270813906239848</v>
      </c>
      <c r="AV39" s="148" t="s">
        <v>1080</v>
      </c>
      <c r="AW39" s="160" t="s">
        <v>1081</v>
      </c>
    </row>
    <row r="40" spans="1:49" ht="15.75" customHeight="1" x14ac:dyDescent="0.3">
      <c r="A40" s="164"/>
      <c r="B40" s="142" t="str">
        <f t="shared" ref="B40:B65" si="17">B5</f>
        <v>E+ Field(s)</v>
      </c>
      <c r="C40" s="175" t="str">
        <f t="shared" ref="C40:P40" si="18">C5</f>
        <v>Curve Name (generated from fields)</v>
      </c>
      <c r="D40" s="175" t="str">
        <f t="shared" si="18"/>
        <v>Curve Type</v>
      </c>
      <c r="E40" s="175" t="str">
        <f t="shared" si="18"/>
        <v>Dependent</v>
      </c>
      <c r="F40" s="175" t="str">
        <f t="shared" si="18"/>
        <v>Var1</v>
      </c>
      <c r="G40" s="175" t="str">
        <f t="shared" si="18"/>
        <v>Var2</v>
      </c>
      <c r="H40" s="175" t="str">
        <f t="shared" si="18"/>
        <v>Var3</v>
      </c>
      <c r="I40" s="175" t="str">
        <f t="shared" si="18"/>
        <v>Var4</v>
      </c>
      <c r="J40" s="175" t="str">
        <f t="shared" si="18"/>
        <v>Var5</v>
      </c>
      <c r="K40" s="175" t="str">
        <f t="shared" si="18"/>
        <v>a</v>
      </c>
      <c r="L40" s="175" t="str">
        <f t="shared" si="18"/>
        <v>b</v>
      </c>
      <c r="M40" s="175" t="str">
        <f t="shared" si="18"/>
        <v>c</v>
      </c>
      <c r="N40" s="175" t="str">
        <f t="shared" si="18"/>
        <v>d</v>
      </c>
      <c r="O40" s="175" t="str">
        <f t="shared" si="18"/>
        <v>e</v>
      </c>
      <c r="P40" s="174" t="str">
        <f t="shared" si="18"/>
        <v>f</v>
      </c>
      <c r="AD40" s="146" t="s">
        <v>989</v>
      </c>
      <c r="AE40" s="171">
        <f>AF29</f>
        <v>1.0090397654320986</v>
      </c>
      <c r="AG40" s="141"/>
      <c r="AJ40" s="141"/>
      <c r="AM40" s="146" t="s">
        <v>1027</v>
      </c>
      <c r="AN40" s="153">
        <f>AN38*$AN$7*AN39</f>
        <v>12994.915405587588</v>
      </c>
      <c r="AO40" s="205">
        <f>AO38*$AN$7*AO39</f>
        <v>11233.492587153927</v>
      </c>
      <c r="AP40" s="154">
        <f>AP38*$AN$7*AP39</f>
        <v>9841.5566423085984</v>
      </c>
      <c r="AQ40" s="153">
        <f>AQ38*$AN$8*AQ39</f>
        <v>11304.529374518277</v>
      </c>
      <c r="AR40" s="205">
        <f>AR38*$AN$8*AR39</f>
        <v>12874.027087040202</v>
      </c>
      <c r="AS40" s="154">
        <f>AS38*$AN$8*AS39</f>
        <v>12425.285241096548</v>
      </c>
    </row>
    <row r="41" spans="1:49" ht="15.75" customHeight="1" x14ac:dyDescent="0.3">
      <c r="A41" s="297" t="s">
        <v>1011</v>
      </c>
      <c r="B41" s="146" t="str">
        <f t="shared" si="17"/>
        <v>Cooling Capacity Ratio Modifier Function of Low Temperature Curve Name</v>
      </c>
      <c r="C41" s="140" t="str">
        <f t="shared" ref="C41:J50" si="19">C6</f>
        <v>EPDef-VRFSysClgQRatio_fTwbToadbLowSI</v>
      </c>
      <c r="D41" s="140" t="str">
        <f t="shared" si="19"/>
        <v>BiQuadratic</v>
      </c>
      <c r="E41" s="140" t="str">
        <f t="shared" si="19"/>
        <v>QRatio</v>
      </c>
      <c r="F41" s="140" t="str">
        <f t="shared" si="19"/>
        <v>Twb</v>
      </c>
      <c r="G41" s="140" t="str">
        <f t="shared" si="19"/>
        <v>Toadb</v>
      </c>
      <c r="H41" s="140" t="str">
        <f t="shared" si="19"/>
        <v>Low</v>
      </c>
      <c r="I41" s="140">
        <f t="shared" si="19"/>
        <v>0</v>
      </c>
      <c r="J41" s="140">
        <f t="shared" si="19"/>
        <v>0</v>
      </c>
      <c r="K41" s="140">
        <f>K6-32*L41-1024*M41-32*N41-1024*O41-1024*P41</f>
        <v>0.45098867901234574</v>
      </c>
      <c r="L41" s="140">
        <f>5/9*L6-64*25/81*M6-32*25/81*P6</f>
        <v>-1.8227160493827135E-3</v>
      </c>
      <c r="M41" s="140">
        <f>M6*25/81</f>
        <v>1.7993827160493826E-4</v>
      </c>
      <c r="N41" s="140">
        <f>5/9*N6-64*25/81*O6-32*25/81*P6</f>
        <v>-1.111111111111111E-6</v>
      </c>
      <c r="O41" s="140">
        <f>O6*25/81</f>
        <v>0</v>
      </c>
      <c r="P41" s="147">
        <f>P6*25/81</f>
        <v>0</v>
      </c>
      <c r="AD41" s="146" t="s">
        <v>990</v>
      </c>
      <c r="AE41" s="171">
        <f>AG29</f>
        <v>1.0683606913580248</v>
      </c>
      <c r="AG41" s="141"/>
      <c r="AJ41" s="141"/>
      <c r="AM41" s="146" t="s">
        <v>1127</v>
      </c>
      <c r="AN41" s="155">
        <f>AN36/(AN40+AN35*3.412)</f>
        <v>3.2413509479403348</v>
      </c>
      <c r="AO41" s="207">
        <f t="shared" ref="AO41:AS41" si="20">AO36/(AO40+AO35*3.412)</f>
        <v>4.0832474579746405</v>
      </c>
      <c r="AP41" s="156">
        <f t="shared" si="20"/>
        <v>4.8001861688500833</v>
      </c>
      <c r="AQ41" s="155">
        <f t="shared" si="20"/>
        <v>3.6193334563582811</v>
      </c>
      <c r="AR41" s="207">
        <f t="shared" si="20"/>
        <v>2.5579852905915583</v>
      </c>
      <c r="AS41" s="156">
        <f t="shared" si="20"/>
        <v>2.1680592093887219</v>
      </c>
    </row>
    <row r="42" spans="1:49" ht="15.75" customHeight="1" x14ac:dyDescent="0.3">
      <c r="A42" s="297"/>
      <c r="B42" s="146" t="str">
        <f t="shared" si="17"/>
        <v>Cooling Capacity Ratio Boundary Curve Name</v>
      </c>
      <c r="C42" s="140" t="str">
        <f t="shared" si="19"/>
        <v>EPDef-VRFSysClgCapBdry_fToadbSI</v>
      </c>
      <c r="D42" s="140" t="str">
        <f t="shared" si="19"/>
        <v>Cubic</v>
      </c>
      <c r="E42" s="140" t="str">
        <f t="shared" si="19"/>
        <v>CapBdry</v>
      </c>
      <c r="F42" s="140" t="str">
        <f t="shared" si="19"/>
        <v>Toadb</v>
      </c>
      <c r="G42" s="140">
        <f t="shared" si="19"/>
        <v>0</v>
      </c>
      <c r="H42" s="140">
        <f t="shared" si="19"/>
        <v>0</v>
      </c>
      <c r="I42" s="140">
        <f t="shared" si="19"/>
        <v>0</v>
      </c>
      <c r="J42" s="140">
        <f t="shared" si="19"/>
        <v>0</v>
      </c>
      <c r="K42" s="140">
        <f>32+9/5*K7-32*L42-1024*M42</f>
        <v>71.263119999999986</v>
      </c>
      <c r="L42" s="140">
        <f>L7-64*M42</f>
        <v>0.47218000000000004</v>
      </c>
      <c r="M42" s="140">
        <f>5/9*M7</f>
        <v>-7.8700000000000003E-3</v>
      </c>
      <c r="P42" s="147"/>
      <c r="AD42" s="146" t="s">
        <v>991</v>
      </c>
      <c r="AE42" s="171">
        <f>AH30</f>
        <v>0.99179938271604939</v>
      </c>
      <c r="AG42" s="141"/>
      <c r="AJ42" s="141"/>
      <c r="AM42" s="146" t="s">
        <v>1038</v>
      </c>
      <c r="AN42" s="153">
        <f>AN34*$AN$19</f>
        <v>25743.362990792968</v>
      </c>
      <c r="AO42" s="205">
        <f>AO34*$AN$19</f>
        <v>28666.999192269359</v>
      </c>
      <c r="AP42" s="154">
        <f>AP34*$AN$19</f>
        <v>30103.335921784383</v>
      </c>
      <c r="AQ42" s="153">
        <f>AQ34*$AN$20</f>
        <v>23985.869806999752</v>
      </c>
      <c r="AR42" s="205">
        <f>AR34*$AN$20</f>
        <v>18803.739188208034</v>
      </c>
      <c r="AS42" s="154">
        <f>AS34*$AN$20</f>
        <v>15236.316117479209</v>
      </c>
    </row>
    <row r="43" spans="1:49" ht="15.75" customHeight="1" x14ac:dyDescent="0.3">
      <c r="A43" s="297"/>
      <c r="B43" s="146" t="str">
        <f t="shared" si="17"/>
        <v>Cooling Capacity Ratio Modifier Function of High Temperature Curve Name</v>
      </c>
      <c r="C43" s="140" t="str">
        <f t="shared" si="19"/>
        <v>EPDef-VRFSysClgQRatio_fTdbToadbHiSI</v>
      </c>
      <c r="D43" s="140" t="str">
        <f t="shared" si="19"/>
        <v>BiQuadratic</v>
      </c>
      <c r="E43" s="140" t="str">
        <f t="shared" si="19"/>
        <v>QRatio</v>
      </c>
      <c r="F43" s="140" t="str">
        <f t="shared" si="19"/>
        <v>Tdb</v>
      </c>
      <c r="G43" s="140" t="str">
        <f t="shared" si="19"/>
        <v>Toadb</v>
      </c>
      <c r="H43" s="140" t="str">
        <f t="shared" si="19"/>
        <v>Hi</v>
      </c>
      <c r="I43" s="140">
        <f t="shared" si="19"/>
        <v>0</v>
      </c>
      <c r="J43" s="140">
        <f t="shared" si="19"/>
        <v>0</v>
      </c>
      <c r="K43" s="140">
        <f>K8-32*L43-1024*M43-32*N43-1024*O43-1024*P43</f>
        <v>0.41155772839506177</v>
      </c>
      <c r="L43" s="140">
        <f>5/9*L8-64*25/81*M8-32*25/81*P8</f>
        <v>4.1177160493827162E-3</v>
      </c>
      <c r="M43" s="140">
        <f>M8*25/81</f>
        <v>1.6820987654320987E-4</v>
      </c>
      <c r="N43" s="140">
        <f>5/9*N8-64*25/81*O8-32*25/81*P8</f>
        <v>2.4470370370370366E-3</v>
      </c>
      <c r="O43" s="140">
        <f>O8*25/81</f>
        <v>0</v>
      </c>
      <c r="P43" s="147">
        <f>P8*25/81</f>
        <v>-1.0462962962962963E-4</v>
      </c>
      <c r="AD43" s="146" t="s">
        <v>992</v>
      </c>
      <c r="AE43" s="171">
        <f>AI30</f>
        <v>0.73709318672839497</v>
      </c>
      <c r="AG43" s="141"/>
      <c r="AJ43" s="141"/>
      <c r="AM43" s="146" t="s">
        <v>1040</v>
      </c>
      <c r="AN43" s="153">
        <f>AN42/12000*$AN$24*$AN$25</f>
        <v>178.05826068631802</v>
      </c>
      <c r="AO43" s="205">
        <f t="shared" ref="AO43:AS43" si="21">AO42/12000*$AN$24*$AN$25</f>
        <v>198.28007774652971</v>
      </c>
      <c r="AP43" s="154">
        <f t="shared" si="21"/>
        <v>208.21474012567529</v>
      </c>
      <c r="AQ43" s="153">
        <f t="shared" si="21"/>
        <v>165.90226616508161</v>
      </c>
      <c r="AR43" s="205">
        <f t="shared" si="21"/>
        <v>130.05919605177223</v>
      </c>
      <c r="AS43" s="154">
        <f t="shared" si="21"/>
        <v>105.38451981256453</v>
      </c>
    </row>
    <row r="44" spans="1:49" ht="15.75" customHeight="1" x14ac:dyDescent="0.3">
      <c r="A44" s="297"/>
      <c r="B44" s="146" t="str">
        <f t="shared" si="17"/>
        <v>Cooling Combination Ratio Correction Factor Curve Name</v>
      </c>
      <c r="C44" s="140" t="str">
        <f t="shared" si="19"/>
        <v>EPDef-VRFSysClgQRatio_fCombRat</v>
      </c>
      <c r="D44" s="140" t="str">
        <f t="shared" si="19"/>
        <v>Linear</v>
      </c>
      <c r="E44" s="140" t="str">
        <f t="shared" si="19"/>
        <v>QRatio</v>
      </c>
      <c r="F44" s="140" t="str">
        <f t="shared" si="19"/>
        <v>CombRat</v>
      </c>
      <c r="G44" s="140">
        <f t="shared" si="19"/>
        <v>0</v>
      </c>
      <c r="H44" s="140">
        <f t="shared" si="19"/>
        <v>0</v>
      </c>
      <c r="I44" s="140">
        <f t="shared" si="19"/>
        <v>0</v>
      </c>
      <c r="J44" s="140">
        <f t="shared" si="19"/>
        <v>0</v>
      </c>
      <c r="K44" s="170">
        <f>K9</f>
        <v>0.61805500000000002</v>
      </c>
      <c r="L44" s="170">
        <f>L9</f>
        <v>0.38194499999999998</v>
      </c>
      <c r="M44" s="170">
        <f>M9</f>
        <v>0</v>
      </c>
      <c r="P44" s="147"/>
      <c r="AD44" s="146" t="s">
        <v>993</v>
      </c>
      <c r="AE44" s="171">
        <f>AJ30</f>
        <v>0.6082413163580247</v>
      </c>
      <c r="AG44" s="141"/>
      <c r="AJ44" s="141"/>
      <c r="AM44" s="146" t="s">
        <v>1042</v>
      </c>
      <c r="AN44" s="241">
        <f>AN42-AN43*3.412</f>
        <v>25135.828205331251</v>
      </c>
      <c r="AO44" s="242">
        <f t="shared" ref="AO44:AP44" si="22">AO42-AO43*3.412</f>
        <v>27990.467566998199</v>
      </c>
      <c r="AP44" s="243">
        <f t="shared" si="22"/>
        <v>29392.907228475578</v>
      </c>
      <c r="AQ44" s="241">
        <f>AQ42+AQ43*3.412</f>
        <v>24551.928339155009</v>
      </c>
      <c r="AR44" s="242">
        <f t="shared" ref="AR44:AS44" si="23">AR42+AR43*3.412</f>
        <v>19247.50116513668</v>
      </c>
      <c r="AS44" s="243">
        <f t="shared" si="23"/>
        <v>15595.888099079679</v>
      </c>
    </row>
    <row r="45" spans="1:49" ht="15.75" customHeight="1" x14ac:dyDescent="0.3">
      <c r="A45" s="297"/>
      <c r="B45" s="146" t="str">
        <f t="shared" si="17"/>
        <v>Heat Recovery Cooling Capacity Modifier Curve Name</v>
      </c>
      <c r="C45" s="140" t="str">
        <f t="shared" si="19"/>
        <v>EPDef-VRFSysHtRcvryClgQRatio_fTwbToadbSI</v>
      </c>
      <c r="D45" s="140" t="str">
        <f t="shared" si="19"/>
        <v>BiQuadratic</v>
      </c>
      <c r="E45" s="140" t="str">
        <f t="shared" si="19"/>
        <v>QRatio</v>
      </c>
      <c r="F45" s="140" t="str">
        <f t="shared" si="19"/>
        <v>Twb</v>
      </c>
      <c r="G45" s="140" t="str">
        <f t="shared" si="19"/>
        <v>Toadb</v>
      </c>
      <c r="H45" s="140">
        <f t="shared" si="19"/>
        <v>0</v>
      </c>
      <c r="I45" s="140">
        <f t="shared" si="19"/>
        <v>0</v>
      </c>
      <c r="J45" s="140">
        <f t="shared" si="19"/>
        <v>0</v>
      </c>
      <c r="K45" s="140">
        <f>K10-32*L45-1024*M45-32*N45-1024*O45-1024*P45</f>
        <v>0.9</v>
      </c>
      <c r="L45" s="140">
        <f>5/9*L10-64*25/81*M10-32*25/81*P10</f>
        <v>0</v>
      </c>
      <c r="M45" s="140">
        <f>M10*25/81</f>
        <v>0</v>
      </c>
      <c r="N45" s="140">
        <f>5/9*N10-64*25/81*O10-32*25/81*P10</f>
        <v>0</v>
      </c>
      <c r="O45" s="140">
        <f>O10*25/81</f>
        <v>0</v>
      </c>
      <c r="P45" s="147">
        <f>P10*25/81</f>
        <v>0</v>
      </c>
      <c r="AD45" s="146" t="s">
        <v>994</v>
      </c>
      <c r="AE45" s="171">
        <f>AE31</f>
        <v>1.2891588500000002</v>
      </c>
      <c r="AG45" s="141"/>
      <c r="AJ45" s="141"/>
      <c r="AM45" s="146" t="s">
        <v>1020</v>
      </c>
      <c r="AN45" s="151">
        <f>$K$65+$L$65*$AN$13+$M$65*$AN$13^2+$N$65*$AN$11+$O$65*$AN$11^2+$P$65*$AN$13*$AN$11+$AN$21*$AN$14</f>
        <v>0.97485451532710088</v>
      </c>
      <c r="AO45" s="204">
        <f>$K$65+$L$65*$AN$13+$M$65*$AN$13^2+$N$65*$AN$11+$O$65*$AN$11^2+$P$65*$AN$13*$AN$11+$AN$21*$AN$14</f>
        <v>0.97485451532710088</v>
      </c>
      <c r="AP45" s="152">
        <f>$K$65+$L$65*$AN$13+$M$65*$AN$13^2+$N$65*$AN$11+$O$65*$AN$11^2+$P$65*$AN$13*$AN$11+$AN$21*$AN$14</f>
        <v>0.97485451532710088</v>
      </c>
      <c r="AQ45" s="151">
        <f>$K$66+$L$66*$AN$13+$M$66*$AN$13^2+$N$66*$AN$12+$O$66*$AN$12^2+$P$66*$AN$13*$AN$12+$AN$22*$AN$14</f>
        <v>0.97485451532710088</v>
      </c>
      <c r="AR45" s="204">
        <f>$K$66+$L$66*$AN$13+$M$66*$AN$13^2+$N$66*$AN$12+$O$66*$AN$12^2+$P$66*$AN$13*$AN$12+$AN$22*$AN$14</f>
        <v>0.97485451532710088</v>
      </c>
      <c r="AS45" s="152">
        <f>$K$66+$L$66*$AN$13+$M$66*$AN$13^2+$N$66*$AN$12+$O$66*$AN$12^2+$P$66*$AN$13*$AN$12+$AN$22*$AN$14</f>
        <v>0.97485451532710088</v>
      </c>
      <c r="AT45" s="244"/>
    </row>
    <row r="46" spans="1:49" ht="15.75" customHeight="1" x14ac:dyDescent="0.3">
      <c r="A46" s="297"/>
      <c r="B46" s="146" t="str">
        <f t="shared" si="17"/>
        <v>Heating Capacity Ratio Modifier Function of Low Temperature Curve Name</v>
      </c>
      <c r="C46" s="140" t="str">
        <f t="shared" si="19"/>
        <v>EPDef-VRFSysHtgQRatio_fTwbToadbLowSI</v>
      </c>
      <c r="D46" s="140" t="str">
        <f t="shared" si="19"/>
        <v>BiQuadratic</v>
      </c>
      <c r="E46" s="140" t="str">
        <f t="shared" si="19"/>
        <v>QRatio</v>
      </c>
      <c r="F46" s="140" t="str">
        <f t="shared" si="19"/>
        <v>Twb</v>
      </c>
      <c r="G46" s="140" t="str">
        <f t="shared" si="19"/>
        <v>Toadb</v>
      </c>
      <c r="H46" s="140" t="str">
        <f t="shared" si="19"/>
        <v>Low</v>
      </c>
      <c r="I46" s="140">
        <f t="shared" si="19"/>
        <v>0</v>
      </c>
      <c r="J46" s="140">
        <f t="shared" si="19"/>
        <v>0</v>
      </c>
      <c r="K46" s="140">
        <f>K11-32*L46-1024*M46-32*N46-1024*O46-1024*P46</f>
        <v>0.42289535802469125</v>
      </c>
      <c r="L46" s="140">
        <f>5/9*L11-64*25/81*M11-32*25/81*P11</f>
        <v>4.9494148148148146E-3</v>
      </c>
      <c r="M46" s="140">
        <f>M11*25/81</f>
        <v>-4.3827160493827164E-5</v>
      </c>
      <c r="N46" s="140">
        <f>5/9*N11-64*25/81*O11-32*25/81*P11</f>
        <v>1.8462905864197531E-2</v>
      </c>
      <c r="O46" s="140">
        <f>O11*25/81</f>
        <v>5.6790123456790121E-7</v>
      </c>
      <c r="P46" s="147">
        <f>P11*25/81</f>
        <v>-1.1053919753086419E-4</v>
      </c>
      <c r="AD46" s="146" t="s">
        <v>995</v>
      </c>
      <c r="AE46" s="171">
        <f>AF31</f>
        <v>1.0007620475308643</v>
      </c>
      <c r="AG46" s="141"/>
      <c r="AJ46" s="141"/>
      <c r="AM46" s="146" t="s">
        <v>1043</v>
      </c>
      <c r="AN46" s="153">
        <f>AN42/AN45</f>
        <v>26407.389601262796</v>
      </c>
      <c r="AO46" s="205">
        <f t="shared" ref="AO46" si="24">AO42/AO45</f>
        <v>29406.438336750674</v>
      </c>
      <c r="AP46" s="154">
        <f t="shared" ref="AP46" si="25">AP42/AP45</f>
        <v>30879.824064500091</v>
      </c>
      <c r="AQ46" s="153">
        <f t="shared" ref="AQ46" si="26">AQ42/AQ45</f>
        <v>24604.563480891891</v>
      </c>
      <c r="AR46" s="205">
        <f t="shared" ref="AR46" si="27">AR42/AR45</f>
        <v>19288.764520825614</v>
      </c>
      <c r="AS46" s="154">
        <f t="shared" ref="AS46" si="28">AS42/AS45</f>
        <v>15629.32301992451</v>
      </c>
    </row>
    <row r="47" spans="1:49" ht="15.75" customHeight="1" x14ac:dyDescent="0.3">
      <c r="A47" s="297"/>
      <c r="B47" s="146" t="str">
        <f t="shared" si="17"/>
        <v>Heating Capacity Ratio Boundary Curve Name</v>
      </c>
      <c r="C47" s="140" t="str">
        <f t="shared" si="19"/>
        <v>EPDef-VRFSysHtgCapBdry_fToadbSI</v>
      </c>
      <c r="D47" s="140" t="str">
        <f t="shared" si="19"/>
        <v>Cubic</v>
      </c>
      <c r="E47" s="140" t="str">
        <f t="shared" si="19"/>
        <v>CapBdry</v>
      </c>
      <c r="F47" s="140" t="str">
        <f t="shared" si="19"/>
        <v>Toadb</v>
      </c>
      <c r="G47" s="140">
        <f t="shared" si="19"/>
        <v>0</v>
      </c>
      <c r="H47" s="140">
        <f t="shared" si="19"/>
        <v>0</v>
      </c>
      <c r="I47" s="140">
        <f t="shared" si="19"/>
        <v>0</v>
      </c>
      <c r="J47" s="140">
        <f t="shared" si="19"/>
        <v>0</v>
      </c>
      <c r="K47" s="140">
        <f>32+9/5*K12-32*L47-1024*M47</f>
        <v>-145.46163395555558</v>
      </c>
      <c r="L47" s="140">
        <f>L12-64*M47</f>
        <v>7.185442222222223</v>
      </c>
      <c r="M47" s="140">
        <f>5/9*M12</f>
        <v>-6.4602222222222228E-2</v>
      </c>
      <c r="P47" s="147"/>
      <c r="AD47" s="146" t="s">
        <v>996</v>
      </c>
      <c r="AE47" s="171">
        <f>AG31</f>
        <v>0.83492493148148172</v>
      </c>
      <c r="AG47" s="141"/>
      <c r="AJ47" s="141"/>
      <c r="AM47" s="146" t="s">
        <v>1037</v>
      </c>
      <c r="AN47" s="151">
        <f>AE33</f>
        <v>0.43290923361778261</v>
      </c>
      <c r="AO47" s="204">
        <f>AN47</f>
        <v>0.43290923361778261</v>
      </c>
      <c r="AP47" s="152">
        <f>AO47</f>
        <v>0.43290923361778261</v>
      </c>
      <c r="AQ47" s="151">
        <f>AH34</f>
        <v>0.52631562499999995</v>
      </c>
      <c r="AR47" s="204">
        <f>AQ47</f>
        <v>0.52631562499999995</v>
      </c>
      <c r="AS47" s="152">
        <f>AR47</f>
        <v>0.52631562499999995</v>
      </c>
    </row>
    <row r="48" spans="1:49" ht="15.75" customHeight="1" x14ac:dyDescent="0.3">
      <c r="A48" s="297"/>
      <c r="B48" s="146" t="str">
        <f t="shared" si="17"/>
        <v>Heating Capacity Ratio Modifier Function of High Temperature Curve Name</v>
      </c>
      <c r="C48" s="140" t="str">
        <f t="shared" si="19"/>
        <v>EPDef-VRFSysHtgQRatio_fTwbToadbHiSI</v>
      </c>
      <c r="D48" s="140" t="str">
        <f t="shared" si="19"/>
        <v>BiQuadratic</v>
      </c>
      <c r="E48" s="140" t="str">
        <f t="shared" si="19"/>
        <v>QRatio</v>
      </c>
      <c r="F48" s="140" t="str">
        <f t="shared" si="19"/>
        <v>Twb</v>
      </c>
      <c r="G48" s="140" t="str">
        <f t="shared" si="19"/>
        <v>Toadb</v>
      </c>
      <c r="H48" s="140" t="str">
        <f t="shared" si="19"/>
        <v>Hi</v>
      </c>
      <c r="I48" s="140">
        <f t="shared" si="19"/>
        <v>0</v>
      </c>
      <c r="J48" s="140">
        <f t="shared" si="19"/>
        <v>0</v>
      </c>
      <c r="K48" s="140">
        <f>K13-32*L48-1024*M48-32*N48-1024*O48-1024*P48</f>
        <v>8.625499999999986E-2</v>
      </c>
      <c r="L48" s="140">
        <f>5/9*L13-64*25/81*M13-32*25/81*P13</f>
        <v>4.9290802469135808E-2</v>
      </c>
      <c r="M48" s="140">
        <f>M13*25/81</f>
        <v>-5.2098765432098768E-4</v>
      </c>
      <c r="N48" s="140">
        <f>5/9*N13-64*25/81*O13-32*25/81*P13</f>
        <v>1.6325308641975309E-3</v>
      </c>
      <c r="O48" s="140">
        <f>O13*25/81</f>
        <v>6.1728395061728385E-7</v>
      </c>
      <c r="P48" s="147">
        <f>P13*25/81</f>
        <v>-2.1296296296296296E-5</v>
      </c>
      <c r="S48" s="141" t="s">
        <v>947</v>
      </c>
      <c r="AD48" s="146" t="s">
        <v>997</v>
      </c>
      <c r="AE48" s="171">
        <f>AH32</f>
        <v>0.99812153671288995</v>
      </c>
      <c r="AG48" s="141"/>
      <c r="AJ48" s="141"/>
      <c r="AM48" s="146" t="s">
        <v>1047</v>
      </c>
      <c r="AN48" s="153">
        <f t="shared" ref="AN48:AP48" si="29">AN38*$AN$7*AN39*AN47</f>
        <v>5625.6188691608395</v>
      </c>
      <c r="AO48" s="205">
        <f t="shared" si="29"/>
        <v>4863.0826667558485</v>
      </c>
      <c r="AP48" s="154">
        <f t="shared" si="29"/>
        <v>4260.5007436278129</v>
      </c>
      <c r="AQ48" s="153">
        <f>AQ38*$AN$8*AQ39*AQ47</f>
        <v>5949.7504430804456</v>
      </c>
      <c r="AR48" s="205">
        <f t="shared" ref="AR48:AS48" si="30">AR38*$AN$8*AR39*AR47</f>
        <v>6775.8016125824925</v>
      </c>
      <c r="AS48" s="154">
        <f t="shared" si="30"/>
        <v>6539.6217674710051</v>
      </c>
    </row>
    <row r="49" spans="1:45" ht="15.75" customHeight="1" thickBot="1" x14ac:dyDescent="0.35">
      <c r="A49" s="297"/>
      <c r="B49" s="146" t="str">
        <f t="shared" si="17"/>
        <v>Heating Combination Ratio Correction Factor Curve Name</v>
      </c>
      <c r="C49" s="140" t="str">
        <f t="shared" si="19"/>
        <v>EPDef-VRFSysHtgQRatio_fCombRat</v>
      </c>
      <c r="D49" s="140" t="str">
        <f t="shared" si="19"/>
        <v>Linear</v>
      </c>
      <c r="E49" s="140" t="str">
        <f t="shared" si="19"/>
        <v>QRatio</v>
      </c>
      <c r="F49" s="140" t="str">
        <f t="shared" si="19"/>
        <v>CombRat</v>
      </c>
      <c r="G49" s="140">
        <f t="shared" si="19"/>
        <v>0</v>
      </c>
      <c r="H49" s="140">
        <f t="shared" si="19"/>
        <v>0</v>
      </c>
      <c r="I49" s="140">
        <f t="shared" si="19"/>
        <v>0</v>
      </c>
      <c r="J49" s="140">
        <f t="shared" si="19"/>
        <v>0</v>
      </c>
      <c r="K49" s="170">
        <f>K14</f>
        <v>0.96033999999999997</v>
      </c>
      <c r="L49" s="170">
        <f>L14</f>
        <v>3.9660000000000001E-2</v>
      </c>
      <c r="M49" s="170">
        <f>M14</f>
        <v>0</v>
      </c>
      <c r="P49" s="147"/>
      <c r="S49" s="140" t="s">
        <v>948</v>
      </c>
      <c r="W49" s="140" t="s">
        <v>1095</v>
      </c>
      <c r="AD49" s="146" t="s">
        <v>998</v>
      </c>
      <c r="AE49" s="171">
        <f>AI32</f>
        <v>1.4499619702687747</v>
      </c>
      <c r="AG49" s="141"/>
      <c r="AJ49" s="141"/>
      <c r="AM49" s="148" t="s">
        <v>1126</v>
      </c>
      <c r="AN49" s="157">
        <f>AN44/(AN48+AN43*3.412)</f>
        <v>4.0326020499575401</v>
      </c>
      <c r="AO49" s="158">
        <f t="shared" ref="AO49:AS49" si="31">AO44/(AO48+AO43*3.412)</f>
        <v>5.0527827555221663</v>
      </c>
      <c r="AP49" s="159">
        <f t="shared" si="31"/>
        <v>5.9129600613661575</v>
      </c>
      <c r="AQ49" s="157">
        <f t="shared" si="31"/>
        <v>3.7680552687269135</v>
      </c>
      <c r="AR49" s="158">
        <f t="shared" si="31"/>
        <v>2.6660200338286644</v>
      </c>
      <c r="AS49" s="159">
        <f t="shared" si="31"/>
        <v>2.2605377767769812</v>
      </c>
    </row>
    <row r="50" spans="1:45" ht="15.75" customHeight="1" thickBot="1" x14ac:dyDescent="0.35">
      <c r="A50" s="297"/>
      <c r="B50" s="146" t="str">
        <f t="shared" si="17"/>
        <v>Heat Recovery Heating Capacity Modifier Curve Name</v>
      </c>
      <c r="C50" s="140" t="str">
        <f t="shared" si="19"/>
        <v>EPDef-VRFSysHtRcvryHtgQRatio_fTwbToadbSI</v>
      </c>
      <c r="D50" s="140" t="str">
        <f t="shared" si="19"/>
        <v>BiQuadratic</v>
      </c>
      <c r="E50" s="140" t="str">
        <f t="shared" si="19"/>
        <v>QRatio</v>
      </c>
      <c r="F50" s="140" t="str">
        <f t="shared" si="19"/>
        <v>Twb</v>
      </c>
      <c r="G50" s="140" t="str">
        <f t="shared" si="19"/>
        <v>Toadb</v>
      </c>
      <c r="H50" s="140">
        <f t="shared" si="19"/>
        <v>0</v>
      </c>
      <c r="I50" s="140">
        <f t="shared" si="19"/>
        <v>0</v>
      </c>
      <c r="J50" s="140">
        <f t="shared" si="19"/>
        <v>0</v>
      </c>
      <c r="K50" s="140">
        <f>K15-32*L50-1024*M50-32*N50-1024*O50-1024*P50</f>
        <v>0.9</v>
      </c>
      <c r="L50" s="140">
        <f>5/9*L15-64*25/81*M15-32*25/81*P15</f>
        <v>0</v>
      </c>
      <c r="M50" s="140">
        <f>M15*25/81</f>
        <v>0</v>
      </c>
      <c r="N50" s="140">
        <f>5/9*N15-64*25/81*O15-32*25/81*P15</f>
        <v>0</v>
      </c>
      <c r="O50" s="140">
        <f>O15*25/81</f>
        <v>0</v>
      </c>
      <c r="P50" s="147">
        <f>P15*25/81</f>
        <v>0</v>
      </c>
      <c r="S50" s="140" t="s">
        <v>1093</v>
      </c>
      <c r="T50" s="140">
        <v>0.25</v>
      </c>
      <c r="W50" s="140" t="s">
        <v>1083</v>
      </c>
      <c r="X50" s="138">
        <v>0.55000000000000004</v>
      </c>
      <c r="AD50" s="146" t="s">
        <v>999</v>
      </c>
      <c r="AE50" s="171">
        <f>AJ32</f>
        <v>1.7270813906239848</v>
      </c>
      <c r="AG50" s="141"/>
      <c r="AJ50" s="141"/>
      <c r="AM50" s="141" t="s">
        <v>1117</v>
      </c>
    </row>
    <row r="51" spans="1:45" ht="15.75" customHeight="1" x14ac:dyDescent="0.3">
      <c r="A51" s="297"/>
      <c r="B51" s="146" t="str">
        <f t="shared" si="17"/>
        <v>Cooling Energy Input Ratio Modifier Function of Low Temperature Curve Name</v>
      </c>
      <c r="C51" s="140" t="str">
        <f t="shared" ref="C51:J60" si="32">C16</f>
        <v>EPDef-VRFSysClgEIRRatio_fTwbToadbLowSI</v>
      </c>
      <c r="D51" s="140" t="str">
        <f t="shared" si="32"/>
        <v>BiQuadratic</v>
      </c>
      <c r="E51" s="140" t="str">
        <f t="shared" si="32"/>
        <v>EIRRatio</v>
      </c>
      <c r="F51" s="140" t="str">
        <f t="shared" si="32"/>
        <v>Twb</v>
      </c>
      <c r="G51" s="140" t="str">
        <f t="shared" si="32"/>
        <v>Toadb</v>
      </c>
      <c r="H51" s="140" t="str">
        <f t="shared" si="32"/>
        <v>Low</v>
      </c>
      <c r="I51" s="140">
        <f t="shared" si="32"/>
        <v>0</v>
      </c>
      <c r="J51" s="140">
        <f t="shared" si="32"/>
        <v>0</v>
      </c>
      <c r="K51" s="140">
        <f>K16-32*L51-1024*M51-32*N51-1024*O51-1024*P51</f>
        <v>1.3138336244567903</v>
      </c>
      <c r="L51" s="140">
        <f>5/9*L16-64*25/81*M16-32*25/81*P16</f>
        <v>-1.5439935185185187E-2</v>
      </c>
      <c r="M51" s="140">
        <f>M16*25/81</f>
        <v>6.1639197530864208E-5</v>
      </c>
      <c r="N51" s="140">
        <f>5/9*N16-64*25/81*O16-32*25/81*P16</f>
        <v>4.8670113580246916E-3</v>
      </c>
      <c r="O51" s="140">
        <f>O16*25/81</f>
        <v>-3.1790123456790123E-8</v>
      </c>
      <c r="P51" s="147">
        <f>P16*25/81</f>
        <v>-4.8413580246913586E-5</v>
      </c>
      <c r="S51" s="140" t="s">
        <v>1094</v>
      </c>
      <c r="T51" s="140">
        <v>0.15</v>
      </c>
      <c r="W51" s="186" t="s">
        <v>1086</v>
      </c>
      <c r="X51" s="138">
        <v>0.35</v>
      </c>
      <c r="AD51" s="146" t="str">
        <f>"VRFOutdoorClgEIR_fPLR"&amp;X8*100</f>
        <v>VRFOutdoorClgEIR_fPLR55</v>
      </c>
      <c r="AE51" s="171">
        <f>AE33</f>
        <v>0.43290923361778261</v>
      </c>
      <c r="AG51" s="141"/>
      <c r="AJ51" s="141"/>
      <c r="AM51" s="164"/>
      <c r="AN51" s="161" t="s">
        <v>946</v>
      </c>
      <c r="AO51" s="162"/>
      <c r="AP51" s="163"/>
      <c r="AQ51" s="161" t="s">
        <v>947</v>
      </c>
      <c r="AR51" s="162"/>
      <c r="AS51" s="163"/>
    </row>
    <row r="52" spans="1:45" ht="15.75" customHeight="1" x14ac:dyDescent="0.3">
      <c r="A52" s="297"/>
      <c r="B52" s="146" t="str">
        <f t="shared" si="17"/>
        <v>Cooling Energy Input Ratio Boundary Name</v>
      </c>
      <c r="C52" s="140" t="str">
        <f t="shared" si="32"/>
        <v>EPDef-VRFSysClgEIRBdry_fToadbSI</v>
      </c>
      <c r="D52" s="140" t="str">
        <f t="shared" si="32"/>
        <v>Cubic</v>
      </c>
      <c r="E52" s="140" t="str">
        <f t="shared" si="32"/>
        <v>EIRBdry</v>
      </c>
      <c r="F52" s="140" t="str">
        <f t="shared" si="32"/>
        <v>Toadb</v>
      </c>
      <c r="G52" s="140">
        <f t="shared" si="32"/>
        <v>0</v>
      </c>
      <c r="H52" s="140">
        <f t="shared" si="32"/>
        <v>0</v>
      </c>
      <c r="I52" s="140">
        <f t="shared" si="32"/>
        <v>0</v>
      </c>
      <c r="J52" s="140">
        <f t="shared" si="32"/>
        <v>0</v>
      </c>
      <c r="K52" s="140">
        <f>32+9/5*K17-32*L52-1024*M52</f>
        <v>71.271690154444428</v>
      </c>
      <c r="L52" s="140">
        <f>L17-64*M52</f>
        <v>0.47217779222222223</v>
      </c>
      <c r="M52" s="140">
        <f>5/9*M17</f>
        <v>-7.8699722222222226E-3</v>
      </c>
      <c r="P52" s="147"/>
      <c r="W52" s="140" t="s">
        <v>1091</v>
      </c>
      <c r="X52" s="138">
        <v>-0.1</v>
      </c>
      <c r="AD52" s="146" t="str">
        <f>"VRFOutdoorHtgEIR_fPLR"&amp;X50*100</f>
        <v>VRFOutdoorHtgEIR_fPLR55</v>
      </c>
      <c r="AE52" s="171">
        <f>AH34</f>
        <v>0.52631562499999995</v>
      </c>
      <c r="AG52" s="141"/>
      <c r="AJ52" s="141"/>
      <c r="AM52" s="165" t="s">
        <v>1006</v>
      </c>
      <c r="AN52" s="146">
        <v>115</v>
      </c>
      <c r="AO52" s="140">
        <v>95</v>
      </c>
      <c r="AP52" s="147">
        <v>82</v>
      </c>
      <c r="AQ52" s="146">
        <v>47</v>
      </c>
      <c r="AR52" s="140">
        <v>17</v>
      </c>
      <c r="AS52" s="147">
        <v>5</v>
      </c>
    </row>
    <row r="53" spans="1:45" ht="15.75" customHeight="1" x14ac:dyDescent="0.3">
      <c r="A53" s="297"/>
      <c r="B53" s="146" t="str">
        <f t="shared" si="17"/>
        <v>Cooling Energy Input Ratio Modifier Function of High Temperature Curve Name</v>
      </c>
      <c r="C53" s="140" t="str">
        <f t="shared" si="32"/>
        <v>EPDef-VRFSysClgEIRRatio_fTwbToadbHiSI</v>
      </c>
      <c r="D53" s="140" t="str">
        <f t="shared" si="32"/>
        <v>BiQuadratic</v>
      </c>
      <c r="E53" s="140" t="str">
        <f t="shared" si="32"/>
        <v>EIRRatio</v>
      </c>
      <c r="F53" s="140" t="str">
        <f t="shared" si="32"/>
        <v>Twb</v>
      </c>
      <c r="G53" s="140" t="str">
        <f t="shared" si="32"/>
        <v>Toadb</v>
      </c>
      <c r="H53" s="140" t="str">
        <f t="shared" si="32"/>
        <v>Hi</v>
      </c>
      <c r="I53" s="140">
        <f t="shared" si="32"/>
        <v>0</v>
      </c>
      <c r="J53" s="140">
        <f t="shared" si="32"/>
        <v>0</v>
      </c>
      <c r="K53" s="140">
        <f>K18-32*L53-1024*M53-32*N53-1024*O53-1024*P53</f>
        <v>-0.89954793703703706</v>
      </c>
      <c r="L53" s="140">
        <f>5/9*L18-64*25/81*M18-32*25/81*P18</f>
        <v>2.430291049382716E-2</v>
      </c>
      <c r="M53" s="140">
        <f>M18*25/81</f>
        <v>-1.2191358024691358E-4</v>
      </c>
      <c r="N53" s="140">
        <f>5/9*N18-64*25/81*O18-32*25/81*P18</f>
        <v>1.6748204320987656E-2</v>
      </c>
      <c r="O53" s="140">
        <f>O18*25/81</f>
        <v>5.0398148148148149E-5</v>
      </c>
      <c r="P53" s="147">
        <f>P18*25/81</f>
        <v>-1.9271604938271605E-4</v>
      </c>
      <c r="W53" s="140" t="s">
        <v>1090</v>
      </c>
      <c r="X53" s="193">
        <v>0</v>
      </c>
      <c r="Y53" s="193">
        <f>1/(1-$X$52)</f>
        <v>0.90909090909090906</v>
      </c>
      <c r="Z53" s="193">
        <f>-$X$52/(1-$X$52)^2</f>
        <v>8.2644628099173542E-2</v>
      </c>
      <c r="AD53" s="146" t="s">
        <v>1000</v>
      </c>
      <c r="AE53" s="171">
        <f>AE35</f>
        <v>0.89584680970363362</v>
      </c>
      <c r="AG53" s="141"/>
      <c r="AJ53" s="141"/>
      <c r="AM53" s="165" t="s">
        <v>1021</v>
      </c>
      <c r="AN53" s="257">
        <f>AE35</f>
        <v>0.89584680970363362</v>
      </c>
      <c r="AO53" s="258">
        <f>AF35</f>
        <v>0.99758682575217406</v>
      </c>
      <c r="AP53" s="259">
        <f>AG35</f>
        <v>1.0475701040540952</v>
      </c>
      <c r="AQ53" s="257">
        <f>AH36</f>
        <v>1.0009748480856033</v>
      </c>
      <c r="AR53" s="258">
        <f>AI36</f>
        <v>0.78471492294455092</v>
      </c>
      <c r="AS53" s="259">
        <f>AJ36</f>
        <v>0.63583973955479656</v>
      </c>
    </row>
    <row r="54" spans="1:45" ht="15.75" customHeight="1" x14ac:dyDescent="0.3">
      <c r="A54" s="297"/>
      <c r="B54" s="146" t="str">
        <f t="shared" si="17"/>
        <v>Cooling Energy Input Ratio Modifier Function of Low Part-Load Ratio Curve Name</v>
      </c>
      <c r="C54" s="140" t="str">
        <f t="shared" si="32"/>
        <v>EPDef-VRFSysClgEIRRatio_fPLRLowSI</v>
      </c>
      <c r="D54" s="140" t="str">
        <f t="shared" si="32"/>
        <v>Cubic</v>
      </c>
      <c r="E54" s="140" t="str">
        <f t="shared" si="32"/>
        <v>EIRRatio</v>
      </c>
      <c r="F54" s="140" t="str">
        <f t="shared" si="32"/>
        <v>PLR</v>
      </c>
      <c r="G54" s="140" t="str">
        <f t="shared" si="32"/>
        <v>Low</v>
      </c>
      <c r="H54" s="140">
        <f t="shared" si="32"/>
        <v>0</v>
      </c>
      <c r="I54" s="140">
        <f t="shared" si="32"/>
        <v>0</v>
      </c>
      <c r="J54" s="140">
        <f t="shared" si="32"/>
        <v>0</v>
      </c>
      <c r="K54" s="140">
        <f t="shared" ref="K54:P56" si="33">K19</f>
        <v>0.46281230000000001</v>
      </c>
      <c r="L54" s="140">
        <f t="shared" si="33"/>
        <v>-1.04</v>
      </c>
      <c r="M54" s="140">
        <f t="shared" si="33"/>
        <v>2.1749099699999999</v>
      </c>
      <c r="N54" s="140">
        <f t="shared" si="33"/>
        <v>-0.5974817</v>
      </c>
      <c r="O54" s="140">
        <f t="shared" si="33"/>
        <v>0</v>
      </c>
      <c r="P54" s="147">
        <f t="shared" si="33"/>
        <v>0</v>
      </c>
      <c r="X54" s="193">
        <f>$X$52^2/(1-$X$52)^3</f>
        <v>7.5131480090157767E-3</v>
      </c>
      <c r="Y54" s="193">
        <f>-$X$52^3/(1-$X$52)^4</f>
        <v>6.8301345536507063E-4</v>
      </c>
      <c r="Z54" s="194">
        <f>$X$52^4/(1-$X$52)^5</f>
        <v>6.2092132305915519E-5</v>
      </c>
      <c r="AD54" s="146" t="s">
        <v>1001</v>
      </c>
      <c r="AE54" s="171">
        <f>AF35</f>
        <v>0.99758682575217406</v>
      </c>
      <c r="AG54" s="141"/>
      <c r="AJ54" s="141"/>
      <c r="AM54" s="165" t="s">
        <v>1109</v>
      </c>
      <c r="AN54" s="146">
        <f>3.412/12000*$AN$24*$AN$25</f>
        <v>2.3599666666666665E-2</v>
      </c>
      <c r="AO54" s="140">
        <f t="shared" ref="AO54:AS54" si="34">3.412/12000*$AN$24*$AN$25</f>
        <v>2.3599666666666665E-2</v>
      </c>
      <c r="AP54" s="147">
        <f t="shared" si="34"/>
        <v>2.3599666666666665E-2</v>
      </c>
      <c r="AQ54" s="146">
        <f t="shared" si="34"/>
        <v>2.3599666666666665E-2</v>
      </c>
      <c r="AR54" s="140">
        <f t="shared" si="34"/>
        <v>2.3599666666666665E-2</v>
      </c>
      <c r="AS54" s="147">
        <f t="shared" si="34"/>
        <v>2.3599666666666665E-2</v>
      </c>
    </row>
    <row r="55" spans="1:45" ht="15.75" customHeight="1" x14ac:dyDescent="0.3">
      <c r="A55" s="297"/>
      <c r="B55" s="146" t="str">
        <f t="shared" si="17"/>
        <v>Cooling Energy Input Ratio Modifier Function of HIgh Part-Load Ratio Curve Name</v>
      </c>
      <c r="C55" s="140" t="str">
        <f t="shared" si="32"/>
        <v>EPDef-VRFSysClgEIRRatio_fPLRHiSI</v>
      </c>
      <c r="D55" s="140" t="str">
        <f t="shared" si="32"/>
        <v>Quadratic</v>
      </c>
      <c r="E55" s="140" t="str">
        <f t="shared" si="32"/>
        <v>EIRRatio</v>
      </c>
      <c r="F55" s="140" t="str">
        <f t="shared" si="32"/>
        <v>PLR</v>
      </c>
      <c r="G55" s="140" t="str">
        <f t="shared" si="32"/>
        <v>Hi</v>
      </c>
      <c r="H55" s="140">
        <f t="shared" si="32"/>
        <v>0</v>
      </c>
      <c r="I55" s="140">
        <f t="shared" si="32"/>
        <v>0</v>
      </c>
      <c r="J55" s="140">
        <f t="shared" si="32"/>
        <v>0</v>
      </c>
      <c r="K55" s="140">
        <f t="shared" si="33"/>
        <v>1</v>
      </c>
      <c r="L55" s="140">
        <f t="shared" si="33"/>
        <v>0</v>
      </c>
      <c r="M55" s="140">
        <f t="shared" si="33"/>
        <v>0</v>
      </c>
      <c r="N55" s="140">
        <f t="shared" si="33"/>
        <v>0</v>
      </c>
      <c r="O55" s="140">
        <f t="shared" si="33"/>
        <v>0</v>
      </c>
      <c r="P55" s="147">
        <f t="shared" si="33"/>
        <v>0</v>
      </c>
      <c r="S55" s="140" t="s">
        <v>28</v>
      </c>
      <c r="T55" s="140" t="s">
        <v>1087</v>
      </c>
      <c r="U55" t="s">
        <v>1084</v>
      </c>
      <c r="V55" s="140" t="s">
        <v>1085</v>
      </c>
      <c r="X55" s="140" t="s">
        <v>1087</v>
      </c>
      <c r="Y55" t="s">
        <v>1084</v>
      </c>
      <c r="Z55" s="140" t="s">
        <v>1085</v>
      </c>
      <c r="AD55" s="146" t="s">
        <v>1002</v>
      </c>
      <c r="AE55" s="171">
        <f>AG35</f>
        <v>1.0475701040540952</v>
      </c>
      <c r="AG55" s="141"/>
      <c r="AJ55" s="141"/>
      <c r="AM55" s="165" t="s">
        <v>1123</v>
      </c>
      <c r="AN55" s="146">
        <f>(1-AN54)*AN53</f>
        <v>0.87470512361023112</v>
      </c>
      <c r="AO55" s="140">
        <f t="shared" ref="AO55:AP55" si="35">(1-AO54)*AO53</f>
        <v>0.97404410919336459</v>
      </c>
      <c r="AP55" s="147">
        <f t="shared" si="35"/>
        <v>1.0228477987884532</v>
      </c>
      <c r="AQ55" s="146">
        <f>(1+AQ54)*AQ53</f>
        <v>1.024597520842141</v>
      </c>
      <c r="AR55" s="140">
        <f t="shared" ref="AR55:AS55" si="36">(1+AR54)*AR53</f>
        <v>0.80323393355440131</v>
      </c>
      <c r="AS55" s="147">
        <f t="shared" si="36"/>
        <v>0.65084534546170991</v>
      </c>
    </row>
    <row r="56" spans="1:45" ht="15.75" customHeight="1" x14ac:dyDescent="0.3">
      <c r="A56" s="297"/>
      <c r="B56" s="146" t="str">
        <f t="shared" si="17"/>
        <v>Cooling Part-Load Fraction Correlation Curve Name</v>
      </c>
      <c r="C56" s="140" t="str">
        <f t="shared" si="32"/>
        <v>EPDef-VRFSysClgEIRRatio_fCycRatSI</v>
      </c>
      <c r="D56" s="140" t="str">
        <f t="shared" si="32"/>
        <v>Quadratic</v>
      </c>
      <c r="E56" s="140" t="str">
        <f t="shared" si="32"/>
        <v>EIRRatio</v>
      </c>
      <c r="F56" s="140" t="str">
        <f t="shared" si="32"/>
        <v>CycRat</v>
      </c>
      <c r="G56" s="140">
        <f t="shared" si="32"/>
        <v>0</v>
      </c>
      <c r="H56" s="140">
        <f t="shared" si="32"/>
        <v>0</v>
      </c>
      <c r="I56" s="140">
        <f t="shared" si="32"/>
        <v>0</v>
      </c>
      <c r="J56" s="140">
        <f t="shared" si="32"/>
        <v>0</v>
      </c>
      <c r="K56" s="140">
        <f t="shared" si="33"/>
        <v>0.85</v>
      </c>
      <c r="L56" s="140">
        <f t="shared" si="33"/>
        <v>0.15</v>
      </c>
      <c r="M56" s="140">
        <f t="shared" si="33"/>
        <v>0</v>
      </c>
      <c r="N56" s="140">
        <f t="shared" si="33"/>
        <v>0</v>
      </c>
      <c r="O56" s="140">
        <f t="shared" si="33"/>
        <v>0</v>
      </c>
      <c r="P56" s="147">
        <f t="shared" si="33"/>
        <v>0</v>
      </c>
      <c r="S56" s="140">
        <v>1</v>
      </c>
      <c r="T56">
        <f>$K$61+$L$61*S56+$M$61*S56^2+$N$61*S56^3</f>
        <v>1.0000001000000001</v>
      </c>
      <c r="U56">
        <f>IF(S56&gt;$T$8-0.01,1,S56/$T$8/(1-$T$9+$T$9*S56/$T$8))</f>
        <v>1</v>
      </c>
      <c r="V56" s="140">
        <f>S56/T56/U56</f>
        <v>0.99999990000000993</v>
      </c>
      <c r="X56">
        <f>$X$53+$Y$53*S56+$Z$53*S56^2+$X$54*S56^3+$Y$54*S56^4+$Z$54*S56^5</f>
        <v>0.99999379078676931</v>
      </c>
      <c r="Y56">
        <f t="shared" ref="Y56:Y75" si="37">IF(S56&gt;$X$50-0.01,1,S56/$X$50/(1-$X$51+$X$51*S56/$X$50))</f>
        <v>1</v>
      </c>
      <c r="Z56" s="140">
        <f>S56/X56/Y56</f>
        <v>1.0000062092517852</v>
      </c>
      <c r="AD56" s="146" t="s">
        <v>1003</v>
      </c>
      <c r="AE56" s="171">
        <f>AH36</f>
        <v>1.0009748480856033</v>
      </c>
      <c r="AG56" s="141"/>
      <c r="AJ56" s="141"/>
      <c r="AM56" s="165" t="s">
        <v>1124</v>
      </c>
      <c r="AN56" s="178">
        <f>AN55/$AO$55</f>
        <v>0.898013873657735</v>
      </c>
      <c r="AO56" s="170">
        <f>AO55/$AO$55</f>
        <v>1</v>
      </c>
      <c r="AP56" s="171">
        <f>AP55/$AO$55</f>
        <v>1.0501041884391709</v>
      </c>
      <c r="AQ56" s="178">
        <f>AQ55/$AQ$55</f>
        <v>1</v>
      </c>
      <c r="AR56" s="170">
        <f>AR55/$AQ$55</f>
        <v>0.78395069011508478</v>
      </c>
      <c r="AS56" s="171">
        <f>AS55/$AQ$55</f>
        <v>0.63522049607026643</v>
      </c>
    </row>
    <row r="57" spans="1:45" ht="15.75" customHeight="1" x14ac:dyDescent="0.3">
      <c r="A57" s="297"/>
      <c r="B57" s="146" t="str">
        <f t="shared" si="17"/>
        <v>Heat Recovery Cooling Energy Modifier Function of Temperature Curve Name</v>
      </c>
      <c r="C57" s="140" t="str">
        <f t="shared" si="32"/>
        <v>EPDef-VRFSysHtRcvryClgEIRRatio_fTwbToadbSI</v>
      </c>
      <c r="D57" s="140" t="str">
        <f t="shared" si="32"/>
        <v>BiQuadratic</v>
      </c>
      <c r="E57" s="140" t="str">
        <f t="shared" si="32"/>
        <v>EIRRatio</v>
      </c>
      <c r="F57" s="140" t="str">
        <f t="shared" si="32"/>
        <v>Twb</v>
      </c>
      <c r="G57" s="140" t="str">
        <f t="shared" si="32"/>
        <v>Toadb</v>
      </c>
      <c r="H57" s="140">
        <f t="shared" si="32"/>
        <v>0</v>
      </c>
      <c r="I57" s="140">
        <f t="shared" si="32"/>
        <v>0</v>
      </c>
      <c r="J57" s="140">
        <f t="shared" si="32"/>
        <v>0</v>
      </c>
      <c r="K57" s="140">
        <f>K22-32*L57-1024*M57-32*N57-1024*O57-1024*P57</f>
        <v>1.1000000000000001</v>
      </c>
      <c r="L57" s="140">
        <f>5/9*L22-64*25/81*M22-32*25/81*P22</f>
        <v>0</v>
      </c>
      <c r="M57" s="140">
        <f>M22*25/81</f>
        <v>0</v>
      </c>
      <c r="N57" s="140">
        <f>5/9*N22-64*25/81*O22-32*25/81*P22</f>
        <v>0</v>
      </c>
      <c r="O57" s="140">
        <f>O22*25/81</f>
        <v>0</v>
      </c>
      <c r="P57" s="147">
        <f>P22*25/81</f>
        <v>0</v>
      </c>
      <c r="S57" s="140">
        <f t="shared" ref="S57:S74" si="38">S56-0.05</f>
        <v>0.95</v>
      </c>
      <c r="T57">
        <f t="shared" ref="T57:T75" si="39">IF(S57&lt;$T$8-0.001,T56,$K$61+$L$61*S57+$M$61*S57^2+$N$61*S57^3)</f>
        <v>0.94280531776249987</v>
      </c>
      <c r="U57">
        <f t="shared" ref="U57:U75" si="40">IF(S57&gt;$T$50-0.01,1,S57/$T$50/(1-$T$51+$T$51*S57/$T$50))</f>
        <v>1</v>
      </c>
      <c r="V57" s="140">
        <f t="shared" ref="V57:V75" si="41">S57/T57/U57</f>
        <v>1.0076311430387079</v>
      </c>
      <c r="X57">
        <f t="shared" ref="X57:X75" si="42">IF(S57&lt;$X$50-0.001,X56,$X$53+$Y$53*S57+$Z$53*S57^2+$X$54*S57^3+$Y$54*S57^4+$Z$54*S57^5)</f>
        <v>0.94526909020667349</v>
      </c>
      <c r="Y57">
        <f t="shared" si="37"/>
        <v>1</v>
      </c>
      <c r="Z57" s="140">
        <f t="shared" ref="Z57:Z75" si="43">S57/X57/Y57</f>
        <v>1.0050048286168884</v>
      </c>
      <c r="AD57" s="146" t="s">
        <v>1004</v>
      </c>
      <c r="AE57" s="171">
        <f>AI36</f>
        <v>0.78471492294455092</v>
      </c>
      <c r="AG57" s="141"/>
      <c r="AJ57" s="141"/>
      <c r="AM57" s="165" t="s">
        <v>1020</v>
      </c>
      <c r="AN57" s="151">
        <f>$K$65+$L$65*$AN$13+$M$65*$AN$13^2+$N$65*1+$O$65*1^2+$P$65*$AN$13*1+$AN$21*$AN$14</f>
        <v>0.97564680394358572</v>
      </c>
      <c r="AO57" s="204">
        <f t="shared" ref="AO57:AP57" si="44">$K$65+$L$65*$AN$13+$M$65*$AN$13^2+$N$65*1+$O$65*1^2+$P$65*$AN$13*1+$AN$21*$AN$14</f>
        <v>0.97564680394358572</v>
      </c>
      <c r="AP57" s="152">
        <f t="shared" si="44"/>
        <v>0.97564680394358572</v>
      </c>
      <c r="AQ57" s="151">
        <f>$K$66+$L$66*$AN$13+$M$66*$AN$13^2+$N$66*1+$O$66*1^2+$P$66*$AN$13*1+$AN$22*$AN$14</f>
        <v>0.97564680394358572</v>
      </c>
      <c r="AR57" s="204">
        <f t="shared" ref="AR57:AS57" si="45">$K$66+$L$66*$AN$13+$M$66*$AN$13^2+$N$66*1+$O$66*1^2+$P$66*$AN$13*1+$AN$22*$AN$14</f>
        <v>0.97564680394358572</v>
      </c>
      <c r="AS57" s="152">
        <f t="shared" si="45"/>
        <v>0.97564680394358572</v>
      </c>
    </row>
    <row r="58" spans="1:45" ht="15.75" customHeight="1" thickBot="1" x14ac:dyDescent="0.35">
      <c r="A58" s="297"/>
      <c r="B58" s="146" t="str">
        <f t="shared" si="17"/>
        <v>Heating Energy Input Ratio Modifier Function of Low Temperature Curve Name</v>
      </c>
      <c r="C58" s="140" t="str">
        <f>C23</f>
        <v>EPDef-VRFSysHtgEIRRatio_fTwbToadbLowSI</v>
      </c>
      <c r="D58" s="140" t="str">
        <f t="shared" si="32"/>
        <v>BiQuadratic</v>
      </c>
      <c r="E58" s="140" t="str">
        <f t="shared" si="32"/>
        <v>EIRRatio</v>
      </c>
      <c r="F58" s="140" t="str">
        <f t="shared" si="32"/>
        <v>Twb</v>
      </c>
      <c r="G58" s="140" t="str">
        <f t="shared" si="32"/>
        <v>Toadb</v>
      </c>
      <c r="H58" s="140" t="str">
        <f t="shared" si="32"/>
        <v>Low</v>
      </c>
      <c r="I58" s="140">
        <f t="shared" si="32"/>
        <v>0</v>
      </c>
      <c r="J58" s="140">
        <f t="shared" si="32"/>
        <v>0</v>
      </c>
      <c r="K58" s="140">
        <f>K23-32*L58-1024*M58-32*N58-1024*O58-1024*P58</f>
        <v>2.1876615277850626</v>
      </c>
      <c r="L58" s="140">
        <f>5/9*L23-64*25/81*M23-32*25/81*P23</f>
        <v>-3.1489078452053808E-2</v>
      </c>
      <c r="M58" s="140">
        <f>M23*25/81</f>
        <v>3.8479936116702176E-4</v>
      </c>
      <c r="N58" s="140">
        <f>5/9*N23-64*25/81*O23-32*25/81*P23</f>
        <v>-2.6807615570727264E-2</v>
      </c>
      <c r="O58" s="140">
        <f>O23*25/81</f>
        <v>3.1053047162015813E-4</v>
      </c>
      <c r="P58" s="147">
        <f>P23*25/81</f>
        <v>-4.453342620738666E-5</v>
      </c>
      <c r="S58" s="140">
        <f t="shared" si="38"/>
        <v>0.89999999999999991</v>
      </c>
      <c r="T58">
        <f t="shared" si="39"/>
        <v>0.88748540809999987</v>
      </c>
      <c r="U58">
        <f t="shared" si="40"/>
        <v>1</v>
      </c>
      <c r="V58" s="140">
        <f t="shared" si="41"/>
        <v>1.0141011804653692</v>
      </c>
      <c r="X58">
        <f t="shared" si="42"/>
        <v>0.89108584175199146</v>
      </c>
      <c r="Y58">
        <f t="shared" si="37"/>
        <v>1</v>
      </c>
      <c r="Z58" s="140">
        <f t="shared" si="43"/>
        <v>1.0100037031566813</v>
      </c>
      <c r="AD58" s="148" t="s">
        <v>1005</v>
      </c>
      <c r="AE58" s="173">
        <f>AJ36</f>
        <v>0.63583973955479656</v>
      </c>
      <c r="AG58" s="141"/>
      <c r="AJ58" s="141"/>
      <c r="AM58" s="165" t="s">
        <v>1030</v>
      </c>
      <c r="AN58" s="151">
        <f>AE31</f>
        <v>1.2891588500000002</v>
      </c>
      <c r="AO58" s="204">
        <f>AF31</f>
        <v>1.0007620475308643</v>
      </c>
      <c r="AP58" s="152">
        <f>AG31</f>
        <v>0.83492493148148172</v>
      </c>
      <c r="AQ58" s="151">
        <f>AH32</f>
        <v>0.99812153671288995</v>
      </c>
      <c r="AR58" s="204">
        <f>AI32</f>
        <v>1.4499619702687747</v>
      </c>
      <c r="AS58" s="152">
        <f>AJ32</f>
        <v>1.7270813906239848</v>
      </c>
    </row>
    <row r="59" spans="1:45" ht="15.75" customHeight="1" x14ac:dyDescent="0.3">
      <c r="A59" s="297"/>
      <c r="B59" s="146" t="str">
        <f t="shared" si="17"/>
        <v>Heating Energy Input Ratio Boundary Curve Name</v>
      </c>
      <c r="C59" s="140" t="str">
        <f t="shared" si="32"/>
        <v>EPDef-VRFSysHtgEIRBdry_fToadbSI</v>
      </c>
      <c r="D59" s="140" t="str">
        <f t="shared" si="32"/>
        <v>Cubic</v>
      </c>
      <c r="E59" s="140" t="str">
        <f t="shared" si="32"/>
        <v>EIRBdry</v>
      </c>
      <c r="F59" s="140" t="str">
        <f t="shared" si="32"/>
        <v>Toadb</v>
      </c>
      <c r="G59" s="140">
        <f t="shared" si="32"/>
        <v>0</v>
      </c>
      <c r="H59" s="140">
        <f t="shared" si="32"/>
        <v>0</v>
      </c>
      <c r="I59" s="140">
        <f t="shared" si="32"/>
        <v>0</v>
      </c>
      <c r="J59" s="140">
        <f t="shared" si="32"/>
        <v>0</v>
      </c>
      <c r="K59" s="140">
        <f>32+9/5*K24-32*L59-1024*M59</f>
        <v>-145.46186699111115</v>
      </c>
      <c r="L59" s="140">
        <f>L24-64*M59</f>
        <v>7.185456604444445</v>
      </c>
      <c r="M59" s="140">
        <f>5/9*M24</f>
        <v>-6.4602444444444448E-2</v>
      </c>
      <c r="P59" s="147"/>
      <c r="S59" s="140">
        <f t="shared" si="38"/>
        <v>0.84999999999999987</v>
      </c>
      <c r="T59">
        <f t="shared" si="39"/>
        <v>0.83397693158749986</v>
      </c>
      <c r="U59">
        <f t="shared" si="40"/>
        <v>1</v>
      </c>
      <c r="V59" s="140">
        <f t="shared" si="41"/>
        <v>1.0192128436718262</v>
      </c>
      <c r="X59">
        <f t="shared" si="42"/>
        <v>0.83743611645146565</v>
      </c>
      <c r="Y59">
        <f t="shared" si="37"/>
        <v>1</v>
      </c>
      <c r="Z59" s="140">
        <f t="shared" si="43"/>
        <v>1.0150027963945145</v>
      </c>
      <c r="AG59" s="141"/>
      <c r="AJ59" s="141"/>
      <c r="AM59" s="165" t="s">
        <v>1127</v>
      </c>
      <c r="AN59" s="245">
        <f>(1-AN54)/(1/AN57*$AN$7*AN58+AN54)</f>
        <v>3.2413509479403353</v>
      </c>
      <c r="AO59" s="246">
        <f t="shared" ref="AO59:AP59" si="46">(1-AO54)/(1/AO57*$AN$7*AO58+AO54)</f>
        <v>4.0832474579746414</v>
      </c>
      <c r="AP59" s="188">
        <f t="shared" si="46"/>
        <v>4.8001861688500833</v>
      </c>
      <c r="AQ59" s="245">
        <f>(1+AQ54)/(1/AQ57*$AN$8*AQ58+AQ54)</f>
        <v>3.6193334563582811</v>
      </c>
      <c r="AR59" s="246">
        <f t="shared" ref="AR59:AS59" si="47">(1+AR54)/(1/AR57*$AN$8*AR58+AR54)</f>
        <v>2.5579852905915588</v>
      </c>
      <c r="AS59" s="188">
        <f t="shared" si="47"/>
        <v>2.1680592093887223</v>
      </c>
    </row>
    <row r="60" spans="1:45" ht="15.75" customHeight="1" x14ac:dyDescent="0.3">
      <c r="A60" s="297"/>
      <c r="B60" s="146" t="str">
        <f t="shared" si="17"/>
        <v>Heating Energy Input Ratio Modifier Function of High Temperature Curve Name</v>
      </c>
      <c r="C60" s="140" t="str">
        <f t="shared" si="32"/>
        <v>EPDef-VRFSysHtgEIRRatio_fTwbToadbHiSI</v>
      </c>
      <c r="D60" s="140" t="str">
        <f t="shared" si="32"/>
        <v>BiQuadratic</v>
      </c>
      <c r="E60" s="140" t="str">
        <f t="shared" si="32"/>
        <v>EIRRatio</v>
      </c>
      <c r="F60" s="140" t="str">
        <f t="shared" si="32"/>
        <v>Twb</v>
      </c>
      <c r="G60" s="140" t="str">
        <f t="shared" si="32"/>
        <v>Toadb</v>
      </c>
      <c r="H60" s="140" t="str">
        <f t="shared" si="32"/>
        <v>Hi</v>
      </c>
      <c r="I60" s="140">
        <f t="shared" si="32"/>
        <v>0</v>
      </c>
      <c r="J60" s="140">
        <f t="shared" si="32"/>
        <v>0</v>
      </c>
      <c r="K60" s="140">
        <f>K25-32*L60-1024*M60-32*N60-1024*O60-1024*P60</f>
        <v>8.2190690366201444</v>
      </c>
      <c r="L60" s="140">
        <f>5/9*L25-64*25/81*M25-32*25/81*P25</f>
        <v>-7.2317667559178914E-2</v>
      </c>
      <c r="M60" s="140">
        <f>M25*25/81</f>
        <v>1.4197951172181081E-5</v>
      </c>
      <c r="N60" s="140">
        <f>5/9*N25-64*25/81*O25-32*25/81*P25</f>
        <v>-0.14709042599747488</v>
      </c>
      <c r="O60" s="140">
        <f>O25*25/81</f>
        <v>4.7386621358179508E-4</v>
      </c>
      <c r="P60" s="147">
        <f>P25*25/81</f>
        <v>1.1058355089880597E-3</v>
      </c>
      <c r="S60" s="140">
        <f t="shared" si="38"/>
        <v>0.79999999999999982</v>
      </c>
      <c r="T60">
        <f t="shared" si="39"/>
        <v>0.78221644879999985</v>
      </c>
      <c r="U60">
        <f t="shared" si="40"/>
        <v>1</v>
      </c>
      <c r="V60" s="140">
        <f t="shared" si="41"/>
        <v>1.0227348213237932</v>
      </c>
      <c r="X60">
        <f t="shared" si="42"/>
        <v>0.78431212969804576</v>
      </c>
      <c r="Y60">
        <f t="shared" si="37"/>
        <v>1</v>
      </c>
      <c r="Z60" s="140">
        <f t="shared" si="43"/>
        <v>1.0200020753319139</v>
      </c>
      <c r="AG60" s="141"/>
      <c r="AJ60" s="141"/>
      <c r="AM60" s="165" t="s">
        <v>1110</v>
      </c>
      <c r="AN60" s="178">
        <f>$AN$19</f>
        <v>0.55000000000000004</v>
      </c>
      <c r="AO60" s="170">
        <f t="shared" ref="AO60:AP60" si="48">$AN$19</f>
        <v>0.55000000000000004</v>
      </c>
      <c r="AP60" s="171">
        <f t="shared" si="48"/>
        <v>0.55000000000000004</v>
      </c>
      <c r="AQ60" s="178">
        <f>$AN$20</f>
        <v>0.55000000000000004</v>
      </c>
      <c r="AR60" s="170">
        <f t="shared" ref="AR60:AS60" si="49">$AN$20</f>
        <v>0.55000000000000004</v>
      </c>
      <c r="AS60" s="171">
        <f t="shared" si="49"/>
        <v>0.55000000000000004</v>
      </c>
    </row>
    <row r="61" spans="1:45" ht="15.75" customHeight="1" x14ac:dyDescent="0.3">
      <c r="A61" s="297"/>
      <c r="B61" s="146" t="str">
        <f t="shared" si="17"/>
        <v>Heating Energy Input Ratio Modifier Function of Low Part-Load Ratio Curve Name</v>
      </c>
      <c r="C61" s="140" t="str">
        <f t="shared" ref="C61:J65" si="50">C26</f>
        <v>EPDef-VRFSysHtgEIRRatio_fPLRLowSI</v>
      </c>
      <c r="D61" s="140" t="str">
        <f t="shared" si="50"/>
        <v>Cubic</v>
      </c>
      <c r="E61" s="140" t="str">
        <f t="shared" si="50"/>
        <v>EIRRatio</v>
      </c>
      <c r="F61" s="140" t="str">
        <f t="shared" si="50"/>
        <v>PLR</v>
      </c>
      <c r="G61" s="140" t="str">
        <f t="shared" si="50"/>
        <v>Low</v>
      </c>
      <c r="H61" s="140">
        <f t="shared" si="50"/>
        <v>0</v>
      </c>
      <c r="I61" s="140">
        <f t="shared" si="50"/>
        <v>0</v>
      </c>
      <c r="J61" s="140">
        <f t="shared" si="50"/>
        <v>0</v>
      </c>
      <c r="K61" s="140">
        <f t="shared" ref="K61:P63" si="51">K26</f>
        <v>0.1400093</v>
      </c>
      <c r="L61" s="140">
        <f t="shared" si="51"/>
        <v>0.64150019999999996</v>
      </c>
      <c r="M61" s="140">
        <f t="shared" si="51"/>
        <v>0.13390469999999999</v>
      </c>
      <c r="N61" s="140">
        <f t="shared" si="51"/>
        <v>8.4585900000000006E-2</v>
      </c>
      <c r="O61" s="140">
        <f t="shared" si="51"/>
        <v>0</v>
      </c>
      <c r="P61" s="147">
        <f t="shared" si="51"/>
        <v>0</v>
      </c>
      <c r="S61" s="140">
        <f t="shared" si="38"/>
        <v>0.74999999999999978</v>
      </c>
      <c r="T61">
        <f t="shared" si="39"/>
        <v>0.73214052031249965</v>
      </c>
      <c r="U61">
        <f t="shared" si="40"/>
        <v>1</v>
      </c>
      <c r="V61" s="140">
        <f t="shared" si="41"/>
        <v>1.0243935135291748</v>
      </c>
      <c r="X61">
        <f t="shared" si="42"/>
        <v>0.73170623892043485</v>
      </c>
      <c r="Y61">
        <f t="shared" si="37"/>
        <v>1</v>
      </c>
      <c r="Z61" s="140">
        <f t="shared" si="43"/>
        <v>1.025001510314516</v>
      </c>
      <c r="AG61" s="141"/>
      <c r="AJ61" s="141"/>
      <c r="AM61" s="165" t="s">
        <v>1037</v>
      </c>
      <c r="AN61" s="146">
        <f>AE33</f>
        <v>0.43290923361778261</v>
      </c>
      <c r="AO61" s="140">
        <f>AF33</f>
        <v>0.43290923361778261</v>
      </c>
      <c r="AP61" s="147">
        <f>AG33</f>
        <v>0.43290923361778261</v>
      </c>
      <c r="AQ61" s="146">
        <f>AH34</f>
        <v>0.52631562499999995</v>
      </c>
      <c r="AR61" s="140">
        <f>AI34</f>
        <v>0.52631562499999995</v>
      </c>
      <c r="AS61" s="147">
        <f>AJ34</f>
        <v>0.52631562499999995</v>
      </c>
    </row>
    <row r="62" spans="1:45" ht="15.75" customHeight="1" thickBot="1" x14ac:dyDescent="0.35">
      <c r="A62" s="297"/>
      <c r="B62" s="146" t="str">
        <f t="shared" si="17"/>
        <v>Heating Energy Input Ratio Modifier Function of High Part-Load Ratio Curve Name</v>
      </c>
      <c r="C62" s="140" t="str">
        <f t="shared" si="50"/>
        <v>EPDef-VRFSysHtgEIRRatio_fPLRHiSI</v>
      </c>
      <c r="D62" s="140" t="str">
        <f t="shared" si="50"/>
        <v>Quadratic</v>
      </c>
      <c r="E62" s="140" t="str">
        <f t="shared" si="50"/>
        <v>EIRRatio</v>
      </c>
      <c r="F62" s="140" t="str">
        <f t="shared" si="50"/>
        <v>PLR</v>
      </c>
      <c r="G62" s="140" t="str">
        <f t="shared" si="50"/>
        <v>Hi</v>
      </c>
      <c r="H62" s="140">
        <f t="shared" si="50"/>
        <v>0</v>
      </c>
      <c r="I62" s="140">
        <f t="shared" si="50"/>
        <v>0</v>
      </c>
      <c r="J62" s="140">
        <f t="shared" si="50"/>
        <v>0</v>
      </c>
      <c r="K62" s="140">
        <f t="shared" si="51"/>
        <v>2.4294359999999999</v>
      </c>
      <c r="L62" s="140">
        <f t="shared" si="51"/>
        <v>-2.235887</v>
      </c>
      <c r="M62" s="140">
        <f t="shared" si="51"/>
        <v>0.80645199999999995</v>
      </c>
      <c r="N62" s="140">
        <f t="shared" si="51"/>
        <v>0</v>
      </c>
      <c r="O62" s="140">
        <f t="shared" si="51"/>
        <v>0</v>
      </c>
      <c r="P62" s="147">
        <f t="shared" si="51"/>
        <v>0</v>
      </c>
      <c r="S62" s="140">
        <f t="shared" si="38"/>
        <v>0.69999999999999973</v>
      </c>
      <c r="T62">
        <f t="shared" si="39"/>
        <v>0.68368570669999962</v>
      </c>
      <c r="U62">
        <f t="shared" si="40"/>
        <v>1</v>
      </c>
      <c r="V62" s="140">
        <f t="shared" si="41"/>
        <v>1.023862270543501</v>
      </c>
      <c r="X62">
        <f t="shared" si="42"/>
        <v>0.67961094125463339</v>
      </c>
      <c r="Y62">
        <f t="shared" si="37"/>
        <v>1</v>
      </c>
      <c r="Z62" s="140">
        <f t="shared" si="43"/>
        <v>1.0300010748910633</v>
      </c>
      <c r="AG62" s="141"/>
      <c r="AJ62" s="141"/>
      <c r="AM62" s="166" t="s">
        <v>1126</v>
      </c>
      <c r="AN62" s="247">
        <f>(1-AN54)*$AN$19/(AN58/AN57*$AN$7*AN61+AN54*$AN$19)</f>
        <v>4.0326020499575392</v>
      </c>
      <c r="AO62" s="248">
        <f t="shared" ref="AO62:AP62" si="52">(1-AO54)*$AN$19/(AO58/AO57*$AN$7*AO61+AO54*$AN$19)</f>
        <v>5.0527827555221663</v>
      </c>
      <c r="AP62" s="249">
        <f t="shared" si="52"/>
        <v>5.9129600613661566</v>
      </c>
      <c r="AQ62" s="247">
        <f>(1+AQ54)*$AN$20/(AQ58/AQ57*$AN$8*AQ61+AQ54*$AN$20)</f>
        <v>3.7680552687269144</v>
      </c>
      <c r="AR62" s="248">
        <f t="shared" ref="AR62:AS62" si="53">(1+AR54)*$AN$20/(AR58/AR57*$AN$8*AR61+AR54*$AN$20)</f>
        <v>2.6660200338286644</v>
      </c>
      <c r="AS62" s="249">
        <f t="shared" si="53"/>
        <v>2.2605377767769812</v>
      </c>
    </row>
    <row r="63" spans="1:45" ht="15.75" customHeight="1" x14ac:dyDescent="0.3">
      <c r="A63" s="297"/>
      <c r="B63" s="146" t="str">
        <f t="shared" si="17"/>
        <v>Heating Part-Load Fraction Correlation Curve Name</v>
      </c>
      <c r="C63" s="140" t="str">
        <f t="shared" si="50"/>
        <v>EPDef-VRFSysHtgEIRRatio_fCycRatSI</v>
      </c>
      <c r="D63" s="140" t="str">
        <f t="shared" si="50"/>
        <v>Cubic</v>
      </c>
      <c r="E63" s="140" t="str">
        <f t="shared" si="50"/>
        <v>EIRRatio</v>
      </c>
      <c r="F63" s="140" t="str">
        <f t="shared" si="50"/>
        <v>CycRat</v>
      </c>
      <c r="G63" s="140">
        <f t="shared" si="50"/>
        <v>0</v>
      </c>
      <c r="H63" s="140">
        <f t="shared" si="50"/>
        <v>0</v>
      </c>
      <c r="I63" s="140">
        <f t="shared" si="50"/>
        <v>0</v>
      </c>
      <c r="J63" s="140">
        <f t="shared" si="50"/>
        <v>0</v>
      </c>
      <c r="K63" s="140">
        <f t="shared" si="51"/>
        <v>0.85</v>
      </c>
      <c r="L63" s="140">
        <f t="shared" si="51"/>
        <v>0.15</v>
      </c>
      <c r="M63" s="140">
        <f t="shared" si="51"/>
        <v>0</v>
      </c>
      <c r="N63" s="140">
        <f t="shared" si="51"/>
        <v>0</v>
      </c>
      <c r="O63" s="140">
        <f t="shared" si="51"/>
        <v>0</v>
      </c>
      <c r="P63" s="147">
        <f t="shared" si="51"/>
        <v>0</v>
      </c>
      <c r="S63" s="140">
        <f t="shared" si="38"/>
        <v>0.64999999999999969</v>
      </c>
      <c r="T63">
        <f t="shared" si="39"/>
        <v>0.63678856853749966</v>
      </c>
      <c r="U63">
        <f t="shared" si="40"/>
        <v>1</v>
      </c>
      <c r="V63" s="140">
        <f t="shared" si="41"/>
        <v>1.0207469670707854</v>
      </c>
      <c r="X63">
        <f t="shared" si="42"/>
        <v>0.62801887121548416</v>
      </c>
      <c r="Y63">
        <f t="shared" si="37"/>
        <v>1</v>
      </c>
      <c r="Z63" s="140">
        <f t="shared" si="43"/>
        <v>1.0350007456654491</v>
      </c>
      <c r="AG63" s="141"/>
      <c r="AJ63" s="141"/>
    </row>
    <row r="64" spans="1:45" ht="15.75" customHeight="1" thickBot="1" x14ac:dyDescent="0.35">
      <c r="A64" s="297"/>
      <c r="B64" s="146" t="str">
        <f t="shared" si="17"/>
        <v>Heat Recovery Heating Energy Modifier Function of Temperature Curve Name</v>
      </c>
      <c r="C64" s="140" t="str">
        <f t="shared" si="50"/>
        <v>EPDef-VRFSysHtRcvryHtgEIRRatio_fTwbToadbSI</v>
      </c>
      <c r="D64" s="140" t="str">
        <f t="shared" si="50"/>
        <v>BiQuadratic</v>
      </c>
      <c r="E64" s="140" t="str">
        <f t="shared" si="50"/>
        <v>EIRRatio</v>
      </c>
      <c r="F64" s="140" t="str">
        <f t="shared" si="50"/>
        <v>Twb</v>
      </c>
      <c r="G64" s="140" t="str">
        <f t="shared" si="50"/>
        <v>Toadb</v>
      </c>
      <c r="H64" s="140">
        <f t="shared" si="50"/>
        <v>0</v>
      </c>
      <c r="I64" s="140">
        <f t="shared" si="50"/>
        <v>0</v>
      </c>
      <c r="J64" s="140">
        <f t="shared" si="50"/>
        <v>0</v>
      </c>
      <c r="K64" s="140">
        <f>K29-32*L64-1024*M64-32*N64-1024*O64-1024*P64</f>
        <v>1.1000000000000001</v>
      </c>
      <c r="L64" s="140">
        <f>5/9*L29-64*25/81*M29-32*25/81*P29</f>
        <v>0</v>
      </c>
      <c r="M64" s="140">
        <f>M29*25/81</f>
        <v>0</v>
      </c>
      <c r="N64" s="140">
        <f>5/9*N29-64*25/81*O29-32*25/81*P29</f>
        <v>0</v>
      </c>
      <c r="O64" s="140">
        <f>O29*25/81</f>
        <v>0</v>
      </c>
      <c r="P64" s="147">
        <f>P29*25/81</f>
        <v>0</v>
      </c>
      <c r="S64" s="140">
        <f t="shared" si="38"/>
        <v>0.59999999999999964</v>
      </c>
      <c r="T64">
        <f t="shared" si="39"/>
        <v>0.59138566639999968</v>
      </c>
      <c r="U64">
        <f t="shared" si="40"/>
        <v>1</v>
      </c>
      <c r="V64" s="140">
        <f t="shared" si="41"/>
        <v>1.014566355069846</v>
      </c>
      <c r="X64">
        <f t="shared" si="42"/>
        <v>0.57692279836821836</v>
      </c>
      <c r="Y64">
        <f t="shared" si="37"/>
        <v>1</v>
      </c>
      <c r="Z64" s="140">
        <f t="shared" si="43"/>
        <v>1.0400005021418002</v>
      </c>
      <c r="AG64" s="141"/>
      <c r="AJ64" s="141"/>
      <c r="AM64" s="208" t="s">
        <v>1106</v>
      </c>
      <c r="AN64" s="209"/>
      <c r="AO64" s="209"/>
      <c r="AP64" s="209"/>
      <c r="AQ64" s="209"/>
      <c r="AR64" s="209"/>
      <c r="AS64" s="209"/>
    </row>
    <row r="65" spans="1:45" ht="15.75" customHeight="1" x14ac:dyDescent="0.3">
      <c r="A65" s="297"/>
      <c r="B65" s="146" t="str">
        <f t="shared" si="17"/>
        <v xml:space="preserve">Piping Correction Factor for Length in Cooling Mode Curve Name </v>
      </c>
      <c r="C65" s="140" t="str">
        <f t="shared" si="50"/>
        <v>EPDef-VRFSysClgPipeLoss_fLenCombRatSI</v>
      </c>
      <c r="D65" s="140" t="str">
        <f t="shared" si="50"/>
        <v>BiQuadratic</v>
      </c>
      <c r="E65" s="140" t="str">
        <f t="shared" si="50"/>
        <v>PipeLoss</v>
      </c>
      <c r="F65" s="140" t="str">
        <f t="shared" si="50"/>
        <v>Len</v>
      </c>
      <c r="G65" s="140" t="str">
        <f t="shared" si="50"/>
        <v>CombRat</v>
      </c>
      <c r="H65" s="140">
        <f t="shared" si="50"/>
        <v>0</v>
      </c>
      <c r="I65" s="140">
        <f t="shared" si="50"/>
        <v>0</v>
      </c>
      <c r="J65" s="140">
        <f t="shared" si="50"/>
        <v>0</v>
      </c>
      <c r="K65" s="170">
        <f>K30</f>
        <v>1.0693790000000001</v>
      </c>
      <c r="L65" s="170">
        <f>L30/3.28084</f>
        <v>-4.5567598541836849E-4</v>
      </c>
      <c r="M65" s="170">
        <f>M30/3.28084^2</f>
        <v>2.7870910216261721E-7</v>
      </c>
      <c r="N65" s="170">
        <f>N30</f>
        <v>-0.11511</v>
      </c>
      <c r="O65" s="170">
        <f>O30</f>
        <v>5.1117000000000003E-2</v>
      </c>
      <c r="P65" s="171">
        <f>P30/3.28084</f>
        <v>-1.3319759573767693E-4</v>
      </c>
      <c r="S65" s="140">
        <f t="shared" si="38"/>
        <v>0.5499999999999996</v>
      </c>
      <c r="T65">
        <f t="shared" si="39"/>
        <v>0.54741356086249959</v>
      </c>
      <c r="U65">
        <f t="shared" si="40"/>
        <v>1</v>
      </c>
      <c r="V65" s="140">
        <f t="shared" si="41"/>
        <v>1.0047248357045171</v>
      </c>
      <c r="X65">
        <f t="shared" si="42"/>
        <v>0.52631562499999951</v>
      </c>
      <c r="Y65">
        <f t="shared" si="37"/>
        <v>1</v>
      </c>
      <c r="Z65" s="140">
        <f t="shared" si="43"/>
        <v>1.0450003265626022</v>
      </c>
      <c r="AG65" s="141"/>
      <c r="AJ65" s="141"/>
      <c r="AM65" s="210"/>
      <c r="AN65" s="211" t="s">
        <v>946</v>
      </c>
      <c r="AO65" s="212"/>
      <c r="AP65" s="213"/>
      <c r="AQ65" s="212" t="s">
        <v>947</v>
      </c>
      <c r="AR65" s="212"/>
      <c r="AS65" s="213"/>
    </row>
    <row r="66" spans="1:45" ht="15.75" customHeight="1" x14ac:dyDescent="0.3">
      <c r="A66" s="299"/>
      <c r="B66" s="180" t="str">
        <f t="shared" ref="B66:J66" si="54">B31</f>
        <v xml:space="preserve">Piping Correction Factor for Length in Heating Mode Curve Name </v>
      </c>
      <c r="C66" s="181" t="str">
        <f t="shared" si="54"/>
        <v>EPDef-VRFSysHtgPipeLoss_fLenCombRatSI</v>
      </c>
      <c r="D66" s="181" t="str">
        <f t="shared" si="54"/>
        <v>BiQuadratic</v>
      </c>
      <c r="E66" s="181" t="str">
        <f t="shared" si="54"/>
        <v>PipeLoss</v>
      </c>
      <c r="F66" s="181" t="str">
        <f t="shared" si="54"/>
        <v>Len</v>
      </c>
      <c r="G66" s="181" t="str">
        <f t="shared" si="54"/>
        <v>CombRat</v>
      </c>
      <c r="H66" s="181">
        <f t="shared" si="54"/>
        <v>0</v>
      </c>
      <c r="I66" s="181">
        <f t="shared" si="54"/>
        <v>0</v>
      </c>
      <c r="J66" s="181">
        <f t="shared" si="54"/>
        <v>0</v>
      </c>
      <c r="K66" s="170">
        <f>K31</f>
        <v>1.0693790000000001</v>
      </c>
      <c r="L66" s="170">
        <f>L31/3.28084</f>
        <v>-4.5567598541836849E-4</v>
      </c>
      <c r="M66" s="170">
        <f>M31/3.28084^2</f>
        <v>2.7870910216261721E-7</v>
      </c>
      <c r="N66" s="170">
        <f>N31</f>
        <v>-0.11511</v>
      </c>
      <c r="O66" s="170">
        <f>O31</f>
        <v>5.1117000000000003E-2</v>
      </c>
      <c r="P66" s="171">
        <f>P31/3.28084</f>
        <v>-1.3319759573767693E-4</v>
      </c>
      <c r="S66" s="140">
        <f t="shared" si="38"/>
        <v>0.49999999999999961</v>
      </c>
      <c r="T66">
        <f t="shared" si="39"/>
        <v>0.50480881249999965</v>
      </c>
      <c r="U66">
        <f t="shared" si="40"/>
        <v>1</v>
      </c>
      <c r="V66" s="140">
        <f t="shared" si="41"/>
        <v>0.99047399256723545</v>
      </c>
      <c r="X66">
        <f t="shared" si="42"/>
        <v>0.52631562499999951</v>
      </c>
      <c r="Y66">
        <f t="shared" si="37"/>
        <v>0.93896713615023419</v>
      </c>
      <c r="Z66" s="140">
        <f t="shared" si="43"/>
        <v>1.0117503161719745</v>
      </c>
      <c r="AG66" s="141"/>
      <c r="AJ66" s="141"/>
      <c r="AM66" s="214" t="s">
        <v>1006</v>
      </c>
      <c r="AN66" s="214">
        <v>115</v>
      </c>
      <c r="AO66" s="209">
        <v>95</v>
      </c>
      <c r="AP66" s="215">
        <v>82</v>
      </c>
      <c r="AQ66" s="209">
        <v>47</v>
      </c>
      <c r="AR66" s="209">
        <v>17</v>
      </c>
      <c r="AS66" s="215">
        <v>5</v>
      </c>
    </row>
    <row r="67" spans="1:45" ht="15.75" customHeight="1" x14ac:dyDescent="0.3">
      <c r="A67" s="297" t="s">
        <v>1012</v>
      </c>
      <c r="B67" s="146" t="str">
        <f t="shared" ref="B67:J67" si="55">B32</f>
        <v>Cooling Capacity Ratio Modifier Function of Temperature Curve Name</v>
      </c>
      <c r="C67" s="140" t="str">
        <f t="shared" si="55"/>
        <v>CoilClgVRFClgQratio_fTwbTdbSI</v>
      </c>
      <c r="D67" s="140" t="str">
        <f t="shared" si="55"/>
        <v>BiQuadratic</v>
      </c>
      <c r="E67" s="140" t="str">
        <f t="shared" si="55"/>
        <v>Qratio</v>
      </c>
      <c r="F67" s="140" t="str">
        <f t="shared" si="55"/>
        <v>Twb</v>
      </c>
      <c r="G67" s="140" t="str">
        <f t="shared" si="55"/>
        <v>Tdb</v>
      </c>
      <c r="H67" s="140">
        <f t="shared" si="55"/>
        <v>0</v>
      </c>
      <c r="I67" s="140">
        <f t="shared" si="55"/>
        <v>0</v>
      </c>
      <c r="J67" s="140">
        <f t="shared" si="55"/>
        <v>0</v>
      </c>
      <c r="K67" s="140">
        <f>K32-32*L67-1024*M67-32*N67-1024*O67-1024*P67</f>
        <v>-1.4509284844839296</v>
      </c>
      <c r="L67" s="140">
        <f>5/9*L32-64*25/81*M32-32*25/81*P32</f>
        <v>4.1968562528990658E-2</v>
      </c>
      <c r="M67" s="140">
        <f>M32*25/81</f>
        <v>-6.489968511101759E-5</v>
      </c>
      <c r="N67" s="140">
        <f>5/9*N32-64*25/81*O32-32*25/81*P32</f>
        <v>1.3666965092634709E-2</v>
      </c>
      <c r="O67" s="140">
        <f>O32*25/81</f>
        <v>-3.7640401234567901E-5</v>
      </c>
      <c r="P67" s="147">
        <f>P32*25/81</f>
        <v>-1.6193256172839508E-4</v>
      </c>
      <c r="S67" s="140">
        <f t="shared" si="38"/>
        <v>0.44999999999999962</v>
      </c>
      <c r="T67">
        <f t="shared" si="39"/>
        <v>0.4635079818874997</v>
      </c>
      <c r="U67">
        <f t="shared" si="40"/>
        <v>1</v>
      </c>
      <c r="V67" s="140">
        <f t="shared" si="41"/>
        <v>0.97085706737456212</v>
      </c>
      <c r="X67">
        <f t="shared" si="42"/>
        <v>0.52631562499999951</v>
      </c>
      <c r="Y67">
        <f t="shared" si="37"/>
        <v>0.87378640776698979</v>
      </c>
      <c r="Z67" s="140">
        <f t="shared" si="43"/>
        <v>0.97850030578134628</v>
      </c>
      <c r="AG67" s="141"/>
      <c r="AJ67" s="141"/>
      <c r="AM67" s="214" t="s">
        <v>1107</v>
      </c>
      <c r="AN67" s="214">
        <v>67</v>
      </c>
      <c r="AO67" s="209">
        <f>AN67</f>
        <v>67</v>
      </c>
      <c r="AP67" s="215">
        <f>AO67</f>
        <v>67</v>
      </c>
      <c r="AQ67" s="209">
        <v>70</v>
      </c>
      <c r="AR67" s="209">
        <f>AQ67</f>
        <v>70</v>
      </c>
      <c r="AS67" s="215">
        <f>AR67</f>
        <v>70</v>
      </c>
    </row>
    <row r="68" spans="1:45" ht="15.75" customHeight="1" x14ac:dyDescent="0.3">
      <c r="A68" s="297"/>
      <c r="B68" s="146" t="str">
        <f t="shared" ref="B68:J68" si="56">B33</f>
        <v xml:space="preserve">Cooling Capacity Modifier Curve Function of Flow Fraction Name </v>
      </c>
      <c r="C68" s="140" t="str">
        <f t="shared" si="56"/>
        <v>CoilClgVRFClgQratio_fCFMRatioSI</v>
      </c>
      <c r="D68" s="140" t="str">
        <f t="shared" si="56"/>
        <v>Cubic</v>
      </c>
      <c r="E68" s="140" t="str">
        <f t="shared" si="56"/>
        <v>Qratio</v>
      </c>
      <c r="F68" s="140" t="str">
        <f t="shared" si="56"/>
        <v>CFMRatio</v>
      </c>
      <c r="G68" s="140">
        <f t="shared" si="56"/>
        <v>0</v>
      </c>
      <c r="H68" s="140">
        <f t="shared" si="56"/>
        <v>0</v>
      </c>
      <c r="I68" s="140">
        <f t="shared" si="56"/>
        <v>0</v>
      </c>
      <c r="J68" s="140">
        <f t="shared" si="56"/>
        <v>0</v>
      </c>
      <c r="K68" s="140">
        <f>K33</f>
        <v>0.8</v>
      </c>
      <c r="L68" s="140">
        <f t="shared" ref="L68:P70" si="57">L33</f>
        <v>0.2</v>
      </c>
      <c r="M68" s="140">
        <f t="shared" si="57"/>
        <v>0</v>
      </c>
      <c r="N68" s="140">
        <f t="shared" si="57"/>
        <v>0</v>
      </c>
      <c r="O68" s="140">
        <f t="shared" si="57"/>
        <v>0</v>
      </c>
      <c r="P68" s="147">
        <f t="shared" si="57"/>
        <v>0</v>
      </c>
      <c r="S68" s="140">
        <f t="shared" si="38"/>
        <v>0.39999999999999963</v>
      </c>
      <c r="T68">
        <f t="shared" si="39"/>
        <v>0.42344762959999965</v>
      </c>
      <c r="U68">
        <f t="shared" si="40"/>
        <v>1</v>
      </c>
      <c r="V68" s="140">
        <f t="shared" si="41"/>
        <v>0.94462684884515868</v>
      </c>
      <c r="X68">
        <f t="shared" si="42"/>
        <v>0.52631562499999951</v>
      </c>
      <c r="Y68">
        <f t="shared" si="37"/>
        <v>0.80402010050251194</v>
      </c>
      <c r="Z68" s="140">
        <f t="shared" si="43"/>
        <v>0.94525029539071814</v>
      </c>
      <c r="AG68" s="141"/>
      <c r="AJ68" s="141"/>
      <c r="AM68" s="214" t="s">
        <v>1018</v>
      </c>
      <c r="AN68" s="216">
        <f>AE29</f>
        <v>0.91777680246913573</v>
      </c>
      <c r="AO68" s="217">
        <f>AF29</f>
        <v>1.0090397654320986</v>
      </c>
      <c r="AP68" s="218">
        <f>AG29</f>
        <v>1.0683606913580248</v>
      </c>
      <c r="AQ68" s="217">
        <f>AH30</f>
        <v>0.99179938271604939</v>
      </c>
      <c r="AR68" s="217">
        <f>AI30</f>
        <v>0.73709318672839497</v>
      </c>
      <c r="AS68" s="218">
        <f>AJ30</f>
        <v>0.6082413163580247</v>
      </c>
    </row>
    <row r="69" spans="1:45" ht="15.75" customHeight="1" x14ac:dyDescent="0.3">
      <c r="A69" s="297"/>
      <c r="B69" s="146" t="str">
        <f t="shared" ref="B69:J69" si="58">B34</f>
        <v>Heating Capacity Ratio Modifier Function of Temperature Curve Name</v>
      </c>
      <c r="C69" s="140" t="str">
        <f t="shared" si="58"/>
        <v>CoilHtgVRFHtgQratio_fTwbTdbSI</v>
      </c>
      <c r="D69" s="140" t="str">
        <f t="shared" si="58"/>
        <v>BiQuadratic</v>
      </c>
      <c r="E69" s="140" t="str">
        <f t="shared" si="58"/>
        <v>Qratio</v>
      </c>
      <c r="F69" s="140" t="str">
        <f t="shared" si="58"/>
        <v>Twb</v>
      </c>
      <c r="G69" s="140" t="str">
        <f t="shared" si="58"/>
        <v>Tdb</v>
      </c>
      <c r="H69" s="140">
        <f t="shared" si="58"/>
        <v>0</v>
      </c>
      <c r="I69" s="140">
        <f t="shared" si="58"/>
        <v>0</v>
      </c>
      <c r="J69" s="140">
        <f t="shared" si="58"/>
        <v>0</v>
      </c>
      <c r="K69" s="140">
        <f>K34-32*L69-1024*M69-32*N69-1024*O69-1024*P69</f>
        <v>-2.8081053691533229</v>
      </c>
      <c r="L69" s="140">
        <f>5/9*L34-64*25/81*M34-32*25/81*P34</f>
        <v>9.011331366515074E-2</v>
      </c>
      <c r="M69" s="140">
        <f>M34*25/81</f>
        <v>-5.9929329161111415E-4</v>
      </c>
      <c r="N69" s="140">
        <f>5/9*N34-64*25/81*O34-32*25/81*P34</f>
        <v>4.7146906825689401E-2</v>
      </c>
      <c r="O69" s="140">
        <f>O34*25/81</f>
        <v>-1.2375240740740743E-4</v>
      </c>
      <c r="P69" s="147">
        <f>P34*25/81</f>
        <v>-4.5740126543209874E-4</v>
      </c>
      <c r="S69" s="140">
        <f t="shared" si="38"/>
        <v>0.34999999999999964</v>
      </c>
      <c r="T69">
        <f t="shared" si="39"/>
        <v>0.38456431621249976</v>
      </c>
      <c r="U69">
        <f t="shared" si="40"/>
        <v>1</v>
      </c>
      <c r="V69" s="140">
        <f t="shared" si="41"/>
        <v>0.91012084388661585</v>
      </c>
      <c r="X69">
        <f t="shared" si="42"/>
        <v>0.52631562499999951</v>
      </c>
      <c r="Y69">
        <f t="shared" si="37"/>
        <v>0.72916666666666607</v>
      </c>
      <c r="Z69" s="140">
        <f t="shared" si="43"/>
        <v>0.91200028500008967</v>
      </c>
      <c r="AG69" s="141"/>
      <c r="AJ69" s="141"/>
      <c r="AM69" s="214" t="s">
        <v>1019</v>
      </c>
      <c r="AN69" s="214">
        <f>MAX(1,$K$44+$L$44*$AN$11+$M$44*$AN$11^2)</f>
        <v>1.12604185</v>
      </c>
      <c r="AO69" s="209">
        <f>MAX(1,$K$44+$L$44*$AN$11+$M$44*$AN$11^2)</f>
        <v>1.12604185</v>
      </c>
      <c r="AP69" s="215">
        <f>MAX(1,$K$44+$L$44*$AN$11+$M$44*$AN$11^2)</f>
        <v>1.12604185</v>
      </c>
      <c r="AQ69" s="209">
        <f>MAX(1,$K$49+$L$49*$AN$12+$M$49*$AN$12^2)</f>
        <v>1.0130877999999999</v>
      </c>
      <c r="AR69" s="209">
        <f>MAX(1,$K$49+$L$49*$AN$12+$M$49*$AN$12^2)</f>
        <v>1.0130877999999999</v>
      </c>
      <c r="AS69" s="215">
        <f>MAX(1,$K$49+$L$49*$AN$12+$M$49*$AN$12^2)</f>
        <v>1.0130877999999999</v>
      </c>
    </row>
    <row r="70" spans="1:45" ht="15.75" customHeight="1" thickBot="1" x14ac:dyDescent="0.35">
      <c r="A70" s="298"/>
      <c r="B70" s="148" t="str">
        <f t="shared" ref="B70:J70" si="59">B35</f>
        <v xml:space="preserve">Heating Capacity Modifier Curve Function of Flow Fraction Name </v>
      </c>
      <c r="C70" s="149" t="str">
        <f t="shared" si="59"/>
        <v>CoilHtgVRFHtgQratio_fCFMRatioSI</v>
      </c>
      <c r="D70" s="149" t="str">
        <f t="shared" si="59"/>
        <v>Cubic</v>
      </c>
      <c r="E70" s="149" t="str">
        <f t="shared" si="59"/>
        <v>Qratio</v>
      </c>
      <c r="F70" s="149" t="str">
        <f t="shared" si="59"/>
        <v>CFMRatio</v>
      </c>
      <c r="G70" s="149">
        <f t="shared" si="59"/>
        <v>0</v>
      </c>
      <c r="H70" s="149">
        <f t="shared" si="59"/>
        <v>0</v>
      </c>
      <c r="I70" s="149">
        <f t="shared" si="59"/>
        <v>0</v>
      </c>
      <c r="J70" s="149">
        <f t="shared" si="59"/>
        <v>0</v>
      </c>
      <c r="K70" s="149">
        <f>K35</f>
        <v>0.8</v>
      </c>
      <c r="L70" s="149">
        <f t="shared" si="57"/>
        <v>0.2</v>
      </c>
      <c r="M70" s="149">
        <f t="shared" si="57"/>
        <v>0</v>
      </c>
      <c r="N70" s="149">
        <f t="shared" si="57"/>
        <v>0</v>
      </c>
      <c r="O70" s="149">
        <f t="shared" si="57"/>
        <v>0</v>
      </c>
      <c r="P70" s="160">
        <f t="shared" si="57"/>
        <v>0</v>
      </c>
      <c r="S70" s="140">
        <f t="shared" si="38"/>
        <v>0.29999999999999966</v>
      </c>
      <c r="T70">
        <f t="shared" si="39"/>
        <v>0.3467946022999997</v>
      </c>
      <c r="U70">
        <f t="shared" si="40"/>
        <v>1</v>
      </c>
      <c r="V70" s="140">
        <f t="shared" si="41"/>
        <v>0.86506536725297789</v>
      </c>
      <c r="X70">
        <f t="shared" si="42"/>
        <v>0.52631562499999951</v>
      </c>
      <c r="Y70">
        <f t="shared" si="37"/>
        <v>0.64864864864864791</v>
      </c>
      <c r="Z70" s="140">
        <f t="shared" si="43"/>
        <v>0.87875027460946165</v>
      </c>
      <c r="AG70" s="141"/>
      <c r="AM70" s="214" t="s">
        <v>1033</v>
      </c>
      <c r="AN70" s="219">
        <f>$AN$9*AN68*AN69</f>
        <v>40598.389564285178</v>
      </c>
      <c r="AO70" s="220">
        <f>$AN$9*AO68*AO69</f>
        <v>44635.459702899738</v>
      </c>
      <c r="AP70" s="221">
        <f>$AN$9*AP68*AP69</f>
        <v>47259.555292999212</v>
      </c>
      <c r="AQ70" s="220">
        <f>$AN$10*AQ68*AQ69</f>
        <v>32914.623807928911</v>
      </c>
      <c r="AR70" s="220">
        <f>$AN$10*AR68*AR69</f>
        <v>24461.746372651804</v>
      </c>
      <c r="AS70" s="221">
        <f>$AN$10*AS68*AS69</f>
        <v>20185.568232094338</v>
      </c>
    </row>
    <row r="71" spans="1:45" ht="15.75" customHeight="1" x14ac:dyDescent="0.3">
      <c r="S71" s="140">
        <f t="shared" si="38"/>
        <v>0.24999999999999967</v>
      </c>
      <c r="T71">
        <f t="shared" si="39"/>
        <v>0.31007504843749972</v>
      </c>
      <c r="U71">
        <f t="shared" si="40"/>
        <v>1</v>
      </c>
      <c r="V71" s="140">
        <f t="shared" si="41"/>
        <v>0.80625642488737981</v>
      </c>
      <c r="X71">
        <f t="shared" si="42"/>
        <v>0.52631562499999951</v>
      </c>
      <c r="Y71">
        <f t="shared" si="37"/>
        <v>0.56179775280898814</v>
      </c>
      <c r="Z71" s="140">
        <f t="shared" si="43"/>
        <v>0.84550026421883318</v>
      </c>
      <c r="AG71" s="141"/>
      <c r="AM71" s="214" t="s">
        <v>1020</v>
      </c>
      <c r="AN71" s="222">
        <f>$K$65+$L$65*$AN$13+$M$65*$AN$13^2+$N$65*$AN$11+$O$65*$AN$11^2+$P$65*$AN$13*$AN$11+$AN$21*$AN$14</f>
        <v>0.97485451532710088</v>
      </c>
      <c r="AO71" s="223">
        <f>$K$65+$L$65*$AN$13+$M$65*$AN$13^2+$N$65*$AN$11+$O$65*$AN$11^2+$P$65*$AN$13*$AN$11+$AN$21*$AN$14</f>
        <v>0.97485451532710088</v>
      </c>
      <c r="AP71" s="224">
        <f>$K$65+$L$65*$AN$13+$M$65*$AN$13^2+$N$65*$AN$11+$O$65*$AN$11^2+$P$65*$AN$13*$AN$11+$AN$21*$AN$14</f>
        <v>0.97485451532710088</v>
      </c>
      <c r="AQ71" s="223">
        <f>$K$66+$L$66*$AN$13+$M$66*$AN$13^2+$N$66*$AN$12+$O$66*$AN$12^2+$P$66*$AN$13*$AN$12+$AN$22*$AN$14</f>
        <v>0.97485451532710088</v>
      </c>
      <c r="AR71" s="223">
        <f>$K$66+$L$66*$AN$13+$M$66*$AN$13^2+$N$66*$AN$12+$O$66*$AN$12^2+$P$66*$AN$13*$AN$12+$AN$22*$AN$14</f>
        <v>0.97485451532710088</v>
      </c>
      <c r="AS71" s="224">
        <f>$K$66+$L$66*$AN$13+$M$66*$AN$13^2+$N$66*$AN$12+$O$66*$AN$12^2+$P$66*$AN$13*$AN$12+$AN$22*$AN$14</f>
        <v>0.97485451532710088</v>
      </c>
    </row>
    <row r="72" spans="1:45" ht="15.75" customHeight="1" x14ac:dyDescent="0.3">
      <c r="S72" s="140">
        <f t="shared" si="38"/>
        <v>0.19999999999999968</v>
      </c>
      <c r="T72">
        <f t="shared" si="39"/>
        <v>0.31007504843749972</v>
      </c>
      <c r="U72">
        <f t="shared" si="40"/>
        <v>0.82474226804123596</v>
      </c>
      <c r="V72" s="140">
        <f t="shared" si="41"/>
        <v>0.78206873214075934</v>
      </c>
      <c r="X72">
        <f t="shared" si="42"/>
        <v>0.52631562499999951</v>
      </c>
      <c r="Y72">
        <f t="shared" si="37"/>
        <v>0.46783625730994083</v>
      </c>
      <c r="Z72" s="140">
        <f t="shared" si="43"/>
        <v>0.81225025382820504</v>
      </c>
      <c r="AG72" s="141"/>
      <c r="AM72" s="214" t="s">
        <v>1034</v>
      </c>
      <c r="AN72" s="225">
        <f>AN70*AN71</f>
        <v>39577.523381752057</v>
      </c>
      <c r="AO72" s="226">
        <f t="shared" ref="AO72:AP72" si="60">AO70*AO71</f>
        <v>43513.079435072665</v>
      </c>
      <c r="AP72" s="227">
        <f t="shared" si="60"/>
        <v>46071.190869731072</v>
      </c>
      <c r="AQ72" s="226">
        <f>AQ70*AQ71</f>
        <v>32086.969639452393</v>
      </c>
      <c r="AR72" s="226">
        <f t="shared" ref="AR72:AS72" si="61">AR70*AR71</f>
        <v>23846.643904165943</v>
      </c>
      <c r="AS72" s="227">
        <f t="shared" si="61"/>
        <v>19677.99233550045</v>
      </c>
    </row>
    <row r="73" spans="1:45" ht="15.75" customHeight="1" x14ac:dyDescent="0.3">
      <c r="N73" s="141"/>
      <c r="S73" s="140">
        <f t="shared" si="38"/>
        <v>0.14999999999999969</v>
      </c>
      <c r="T73">
        <f t="shared" si="39"/>
        <v>0.31007504843749972</v>
      </c>
      <c r="U73">
        <f t="shared" si="40"/>
        <v>0.63829787234042434</v>
      </c>
      <c r="V73" s="140">
        <f t="shared" si="41"/>
        <v>0.75788103939413798</v>
      </c>
      <c r="X73">
        <f t="shared" si="42"/>
        <v>0.52631562499999951</v>
      </c>
      <c r="Y73">
        <f t="shared" si="37"/>
        <v>0.36585365853658469</v>
      </c>
      <c r="Z73" s="140">
        <f t="shared" si="43"/>
        <v>0.77900024343757657</v>
      </c>
      <c r="AG73" s="141"/>
      <c r="AJ73" s="141"/>
      <c r="AM73" s="214" t="s">
        <v>1021</v>
      </c>
      <c r="AN73" s="222">
        <f>AE35</f>
        <v>0.89584680970363362</v>
      </c>
      <c r="AO73" s="223">
        <f>AF35</f>
        <v>0.99758682575217406</v>
      </c>
      <c r="AP73" s="224">
        <f>AG35</f>
        <v>1.0475701040540952</v>
      </c>
      <c r="AQ73" s="223">
        <f>AH36</f>
        <v>1.0009748480856033</v>
      </c>
      <c r="AR73" s="223">
        <f>AI36</f>
        <v>0.78471492294455092</v>
      </c>
      <c r="AS73" s="224">
        <f>AJ36</f>
        <v>0.63583973955479656</v>
      </c>
    </row>
    <row r="74" spans="1:45" ht="15.75" customHeight="1" x14ac:dyDescent="0.3">
      <c r="S74" s="140">
        <f t="shared" si="38"/>
        <v>9.9999999999999686E-2</v>
      </c>
      <c r="T74">
        <f t="shared" si="39"/>
        <v>0.31007504843749972</v>
      </c>
      <c r="U74">
        <f t="shared" si="40"/>
        <v>0.43956043956043828</v>
      </c>
      <c r="V74" s="140">
        <f t="shared" si="41"/>
        <v>0.73369334664751651</v>
      </c>
      <c r="X74">
        <f t="shared" si="42"/>
        <v>0.52631562499999951</v>
      </c>
      <c r="Y74">
        <f t="shared" si="37"/>
        <v>0.25477707006369354</v>
      </c>
      <c r="Z74" s="140">
        <f t="shared" si="43"/>
        <v>0.74575023304694821</v>
      </c>
      <c r="AG74" s="141"/>
      <c r="AJ74" s="141"/>
      <c r="AM74" s="214" t="s">
        <v>1022</v>
      </c>
      <c r="AN74" s="222">
        <f>$K$68+$L$68*$AN$26+$M$68*$AN$26^2</f>
        <v>1</v>
      </c>
      <c r="AO74" s="223">
        <f>$K$68+$L$68*$AN$26+$M$68*$AN$26^2</f>
        <v>1</v>
      </c>
      <c r="AP74" s="224">
        <f>$K$68+$L$68*$AN$26+$M$68*$AN$26^2</f>
        <v>1</v>
      </c>
      <c r="AQ74" s="223">
        <f>$K$70+$L$70*$AN$26+$M$70*$AN$26^2</f>
        <v>1</v>
      </c>
      <c r="AR74" s="223">
        <f>$K$70+$L$70*$AN$26+$M$70*$AN$26^2</f>
        <v>1</v>
      </c>
      <c r="AS74" s="224">
        <f>$K$70+$L$70*$AN$26+$M$70*$AN$26^2</f>
        <v>1</v>
      </c>
    </row>
    <row r="75" spans="1:45" ht="15.75" customHeight="1" x14ac:dyDescent="0.3">
      <c r="S75" s="140">
        <f t="shared" ref="S75" si="62">S74-0.05</f>
        <v>4.9999999999999684E-2</v>
      </c>
      <c r="T75">
        <f t="shared" si="39"/>
        <v>0.31007504843749972</v>
      </c>
      <c r="U75">
        <f t="shared" si="40"/>
        <v>0.22727272727272588</v>
      </c>
      <c r="V75" s="140">
        <f t="shared" si="41"/>
        <v>0.70950565390089515</v>
      </c>
      <c r="X75">
        <f t="shared" si="42"/>
        <v>0.52631562499999951</v>
      </c>
      <c r="Y75">
        <f t="shared" si="37"/>
        <v>0.13333333333333253</v>
      </c>
      <c r="Z75" s="140">
        <f t="shared" si="43"/>
        <v>0.71250022265631996</v>
      </c>
      <c r="AG75" s="141"/>
      <c r="AJ75" s="141"/>
      <c r="AM75" s="214" t="s">
        <v>1023</v>
      </c>
      <c r="AN75" s="219">
        <f>$AN$15*AN73*AN74</f>
        <v>46806.114528714483</v>
      </c>
      <c r="AO75" s="220">
        <f>$AN$15*AO73*AO74</f>
        <v>52121.816713217013</v>
      </c>
      <c r="AP75" s="221">
        <f>$AN$15*AP73*AP74</f>
        <v>54733.338039607966</v>
      </c>
      <c r="AQ75" s="220">
        <f>$AN$16*AQ73*AQ74</f>
        <v>43610.672376363182</v>
      </c>
      <c r="AR75" s="220">
        <f>$AN$16*AR73*AR74</f>
        <v>34188.616705832785</v>
      </c>
      <c r="AS75" s="221">
        <f>$AN$16*AS73*AS74</f>
        <v>27702.392940871287</v>
      </c>
    </row>
    <row r="76" spans="1:45" ht="15.75" customHeight="1" x14ac:dyDescent="0.3">
      <c r="AG76" s="141"/>
      <c r="AJ76" s="141"/>
      <c r="AM76" s="214" t="s">
        <v>1024</v>
      </c>
      <c r="AN76" s="225">
        <f>MIN(AN72,AN75)</f>
        <v>39577.523381752057</v>
      </c>
      <c r="AO76" s="226">
        <f t="shared" ref="AO76:AP76" si="63">MIN(AO72,AO75)</f>
        <v>43513.079435072665</v>
      </c>
      <c r="AP76" s="227">
        <f t="shared" si="63"/>
        <v>46071.190869731072</v>
      </c>
      <c r="AQ76" s="226">
        <f>MIN(AQ72,AQ75)</f>
        <v>32086.969639452393</v>
      </c>
      <c r="AR76" s="226">
        <f t="shared" ref="AR76:AS76" si="64">MIN(AR72,AR75)</f>
        <v>23846.643904165943</v>
      </c>
      <c r="AS76" s="227">
        <f t="shared" si="64"/>
        <v>19677.99233550045</v>
      </c>
    </row>
    <row r="77" spans="1:45" ht="15.75" customHeight="1" x14ac:dyDescent="0.3">
      <c r="AG77" s="141"/>
      <c r="AJ77" s="141"/>
      <c r="AM77" s="214" t="s">
        <v>1041</v>
      </c>
      <c r="AN77" s="225">
        <f>AN76/12000*$AN$24*$AN$17</f>
        <v>329.81269484793381</v>
      </c>
      <c r="AO77" s="226">
        <f>AO76/12000*$AN$24*$AN$17</f>
        <v>362.6089952922722</v>
      </c>
      <c r="AP77" s="227">
        <f>AP76/12000*$AN$24*$AN$17</f>
        <v>383.92659058109228</v>
      </c>
      <c r="AQ77" s="226">
        <f>AQ76/12000*$AN$25*$AN$17</f>
        <v>0.13870929583721606</v>
      </c>
      <c r="AR77" s="226">
        <f>AR76/12000*$AN$25*$AN$17</f>
        <v>0.10308705437738401</v>
      </c>
      <c r="AS77" s="227">
        <f>AS76/12000*$AN$25*$AN$17</f>
        <v>8.5066321033673814E-2</v>
      </c>
    </row>
    <row r="78" spans="1:45" ht="15.75" customHeight="1" x14ac:dyDescent="0.3">
      <c r="AG78" s="141"/>
      <c r="AJ78" s="141"/>
      <c r="AM78" s="214" t="s">
        <v>1025</v>
      </c>
      <c r="AN78" s="228">
        <f>AN76-AN77*3.412</f>
        <v>38452.202466930903</v>
      </c>
      <c r="AO78" s="229">
        <f t="shared" ref="AO78:AP78" si="65">AO76-AO77*3.412</f>
        <v>42275.857543135433</v>
      </c>
      <c r="AP78" s="230">
        <f t="shared" si="65"/>
        <v>44761.233342668384</v>
      </c>
      <c r="AQ78" s="231">
        <f>AQ76+AQ77*3.412</f>
        <v>32087.442915569791</v>
      </c>
      <c r="AR78" s="229">
        <f t="shared" ref="AR78:AS78" si="66">AR76+AR77*3.412</f>
        <v>23846.99563719548</v>
      </c>
      <c r="AS78" s="230">
        <f t="shared" si="66"/>
        <v>19678.282581787818</v>
      </c>
    </row>
    <row r="79" spans="1:45" ht="15.75" customHeight="1" x14ac:dyDescent="0.3">
      <c r="AG79" s="141"/>
      <c r="AJ79" s="141"/>
      <c r="AM79" s="214" t="s">
        <v>1026</v>
      </c>
      <c r="AN79" s="225">
        <f>AN76/AN71</f>
        <v>40598.389564285178</v>
      </c>
      <c r="AO79" s="226">
        <f t="shared" ref="AO79:AP79" si="67">AO76/AO71</f>
        <v>44635.459702899738</v>
      </c>
      <c r="AP79" s="227">
        <f t="shared" si="67"/>
        <v>47259.555292999212</v>
      </c>
      <c r="AQ79" s="226">
        <f>AQ76/AQ71</f>
        <v>32914.623807928911</v>
      </c>
      <c r="AR79" s="226">
        <f t="shared" ref="AR79:AS79" si="68">AR76/AR71</f>
        <v>24461.746372651804</v>
      </c>
      <c r="AS79" s="227">
        <f t="shared" si="68"/>
        <v>20185.568232094338</v>
      </c>
    </row>
    <row r="80" spans="1:45" ht="15.75" customHeight="1" x14ac:dyDescent="0.3">
      <c r="AG80" s="141"/>
      <c r="AJ80" s="141"/>
      <c r="AM80" s="214" t="s">
        <v>1028</v>
      </c>
      <c r="AN80" s="225">
        <f>MIN(AN70,AN79)</f>
        <v>40598.389564285178</v>
      </c>
      <c r="AO80" s="226">
        <f t="shared" ref="AO80:AP80" si="69">MIN(AO70,AO79)</f>
        <v>44635.459702899738</v>
      </c>
      <c r="AP80" s="227">
        <f t="shared" si="69"/>
        <v>47259.555292999212</v>
      </c>
      <c r="AQ80" s="226">
        <f>MIN(AQ70,AQ79)</f>
        <v>32914.623807928911</v>
      </c>
      <c r="AR80" s="226">
        <f t="shared" ref="AR80:AS80" si="70">MIN(AR70,AR79)</f>
        <v>24461.746372651804</v>
      </c>
      <c r="AS80" s="227">
        <f t="shared" si="70"/>
        <v>20185.568232094338</v>
      </c>
    </row>
    <row r="81" spans="33:45" ht="15.75" customHeight="1" x14ac:dyDescent="0.3">
      <c r="AG81" s="141"/>
      <c r="AJ81" s="141"/>
      <c r="AM81" s="214" t="s">
        <v>1029</v>
      </c>
      <c r="AN81" s="214">
        <f>AN80/AN70</f>
        <v>1</v>
      </c>
      <c r="AO81" s="209">
        <f t="shared" ref="AO81:AP81" si="71">AO80/AO70</f>
        <v>1</v>
      </c>
      <c r="AP81" s="215">
        <f t="shared" si="71"/>
        <v>1</v>
      </c>
      <c r="AQ81" s="209">
        <f>AQ80/AQ70</f>
        <v>1</v>
      </c>
      <c r="AR81" s="209">
        <f t="shared" ref="AR81:AS81" si="72">AR80/AR70</f>
        <v>1</v>
      </c>
      <c r="AS81" s="215">
        <f t="shared" si="72"/>
        <v>1</v>
      </c>
    </row>
    <row r="82" spans="33:45" ht="15.75" customHeight="1" x14ac:dyDescent="0.3">
      <c r="AG82" s="141"/>
      <c r="AJ82" s="141"/>
      <c r="AM82" s="214" t="s">
        <v>1030</v>
      </c>
      <c r="AN82" s="222">
        <f>AE31</f>
        <v>1.2891588500000002</v>
      </c>
      <c r="AO82" s="223">
        <f>AF31</f>
        <v>1.0007620475308643</v>
      </c>
      <c r="AP82" s="224">
        <f>AG31</f>
        <v>0.83492493148148172</v>
      </c>
      <c r="AQ82" s="223">
        <f>AH32</f>
        <v>0.99812153671288995</v>
      </c>
      <c r="AR82" s="223">
        <f>AI32</f>
        <v>1.4499619702687747</v>
      </c>
      <c r="AS82" s="224">
        <f>AJ32</f>
        <v>1.7270813906239848</v>
      </c>
    </row>
    <row r="83" spans="33:45" ht="15.75" customHeight="1" x14ac:dyDescent="0.3">
      <c r="AG83" s="141"/>
      <c r="AJ83" s="141"/>
      <c r="AM83" s="214" t="s">
        <v>1037</v>
      </c>
      <c r="AN83" s="222">
        <f>$X$11+$Y$11*AN81+$Z$11*AN81^2+$X$12*AN81^3+$Y$12*AN81^4+$Z$12*AN81^5</f>
        <v>0.992584228515625</v>
      </c>
      <c r="AO83" s="223">
        <f>$X$11+$Y$11*AO81+$Z$11*AO81^2+$X$12*AO81^3+$Y$12*AO81^4+$Z$12*AO81^5</f>
        <v>0.992584228515625</v>
      </c>
      <c r="AP83" s="224">
        <f>$X$11+$Y$11*AP81+$Z$11*AP81^2+$X$12*AP81^3+$Y$12*AP81^4+$Z$12*AP81^5</f>
        <v>0.992584228515625</v>
      </c>
      <c r="AQ83" s="223">
        <f>$X$53+$Y$53*AQ81+$Z$53*AQ81^2+$X$54*AQ81^3+$Y$54*AQ81^4+$Z$54*AQ81^5</f>
        <v>0.99999379078676931</v>
      </c>
      <c r="AR83" s="223">
        <f>$X$53+$Y$53*AR81+$Z$53*AR81^2+$X$54*AR81^3+$Y$54*AR81^4+$Z$54*AR81^5</f>
        <v>0.99999379078676931</v>
      </c>
      <c r="AS83" s="224">
        <f>$X$53+$Y$53*AS81+$Z$53*AS81^2+$X$54*AS81^3+$Y$54*AS81^4+$Z$54*AS81^5</f>
        <v>0.99999379078676931</v>
      </c>
    </row>
    <row r="84" spans="33:45" ht="15.75" customHeight="1" x14ac:dyDescent="0.3">
      <c r="AG84" s="141"/>
      <c r="AM84" s="214" t="s">
        <v>1027</v>
      </c>
      <c r="AN84" s="225">
        <f>AN70*$AN$7*AN82*AN83</f>
        <v>10915.400339206895</v>
      </c>
      <c r="AO84" s="226">
        <f>AO70*$AN$7*AO82*AO83</f>
        <v>9316.1241356863466</v>
      </c>
      <c r="AP84" s="227">
        <f>AP70*$AN$7*AP82*AP83</f>
        <v>8229.2733437747593</v>
      </c>
      <c r="AQ84" s="226">
        <f>AQ70*$AN$8*AQ82*AQ83</f>
        <v>8324.123778450723</v>
      </c>
      <c r="AR84" s="226">
        <f>AR70*$AN$8*AR82*AR83</f>
        <v>8986.9076271476169</v>
      </c>
      <c r="AS84" s="227">
        <f>AS70*$AN$8*AS82*AS83</f>
        <v>8833.2392042349347</v>
      </c>
    </row>
    <row r="85" spans="33:45" ht="15.75" customHeight="1" x14ac:dyDescent="0.3">
      <c r="AG85" s="141"/>
      <c r="AJ85" s="141"/>
      <c r="AM85" s="214" t="s">
        <v>1031</v>
      </c>
      <c r="AN85" s="232">
        <f>AN78/(AN84+AN77*3.412)</f>
        <v>3.1935132169982996</v>
      </c>
      <c r="AO85" s="233">
        <f t="shared" ref="AO85:AP85" si="73">AO78/(AO84+AO77*3.412)</f>
        <v>4.0059197748730684</v>
      </c>
      <c r="AP85" s="234">
        <f t="shared" si="73"/>
        <v>4.6923314834017438</v>
      </c>
      <c r="AQ85" s="235">
        <f>AQ78/(AQ84+AQ77*3.412)</f>
        <v>3.8545340639595067</v>
      </c>
      <c r="AR85" s="233">
        <f t="shared" ref="AR85:AS85" si="74">AR78/(AR84+AR77*3.412)</f>
        <v>2.6534224374187212</v>
      </c>
      <c r="AS85" s="234">
        <f t="shared" si="74"/>
        <v>2.2276806447534172</v>
      </c>
    </row>
    <row r="86" spans="33:45" ht="15.75" customHeight="1" x14ac:dyDescent="0.3">
      <c r="AG86" s="141"/>
      <c r="AJ86" s="141"/>
      <c r="AM86" s="214" t="s">
        <v>1032</v>
      </c>
      <c r="AN86" s="225">
        <f>AN70*$AN$19</f>
        <v>22329.114260356851</v>
      </c>
      <c r="AO86" s="226">
        <f>AO70*$AN$19</f>
        <v>24549.502836594856</v>
      </c>
      <c r="AP86" s="227">
        <f>AP70*$AN$19</f>
        <v>25992.75541114957</v>
      </c>
      <c r="AQ86" s="226">
        <f>AQ70*$AN$20</f>
        <v>18103.043094360903</v>
      </c>
      <c r="AR86" s="226">
        <f>AR70*$AN$20</f>
        <v>13453.960504958493</v>
      </c>
      <c r="AS86" s="227">
        <f>AS70*$AN$20</f>
        <v>11102.062527651886</v>
      </c>
    </row>
    <row r="87" spans="33:45" ht="15.75" customHeight="1" x14ac:dyDescent="0.3">
      <c r="AG87" s="141"/>
      <c r="AJ87" s="141"/>
      <c r="AM87" s="214" t="s">
        <v>1035</v>
      </c>
      <c r="AN87" s="225">
        <f>AN86*AN71</f>
        <v>21767.637859963634</v>
      </c>
      <c r="AO87" s="226">
        <f t="shared" ref="AO87:AP87" si="75">AO86*AO71</f>
        <v>23932.193689289968</v>
      </c>
      <c r="AP87" s="227">
        <f t="shared" si="75"/>
        <v>25339.154978352093</v>
      </c>
      <c r="AQ87" s="226">
        <f>AQ86*AQ71</f>
        <v>17647.833301698818</v>
      </c>
      <c r="AR87" s="226">
        <f t="shared" ref="AR87:AS87" si="76">AR86*AR71</f>
        <v>13115.654147291269</v>
      </c>
      <c r="AS87" s="227">
        <f t="shared" si="76"/>
        <v>10822.895784525248</v>
      </c>
    </row>
    <row r="88" spans="33:45" ht="15.75" customHeight="1" x14ac:dyDescent="0.3">
      <c r="AG88" s="141"/>
      <c r="AJ88" s="141"/>
      <c r="AM88" s="214" t="s">
        <v>1036</v>
      </c>
      <c r="AN88" s="214">
        <f>$K$68+$L$68*$AN$27+$M$68*$AN$27^2</f>
        <v>0.91</v>
      </c>
      <c r="AO88" s="209">
        <f>$K$68+$L$68*$AN$27+$M$68*$AN$27^2</f>
        <v>0.91</v>
      </c>
      <c r="AP88" s="215">
        <f>$K$68+$L$68*$AN$27+$M$68*$AN$27^2</f>
        <v>0.91</v>
      </c>
      <c r="AQ88" s="209">
        <f>$K$70+$L$70*$AN$27+$M$70*$AN$27^2</f>
        <v>0.91</v>
      </c>
      <c r="AR88" s="209">
        <f>$K$70+$L$70*$AN$27+$M$70*$AN$27^2</f>
        <v>0.91</v>
      </c>
      <c r="AS88" s="215">
        <f>$K$70+$L$70*$AN$27+$M$70*$AN$27^2</f>
        <v>0.91</v>
      </c>
    </row>
    <row r="89" spans="33:45" ht="15.75" customHeight="1" x14ac:dyDescent="0.3">
      <c r="AG89" s="141"/>
      <c r="AJ89" s="141"/>
      <c r="AM89" s="214" t="s">
        <v>1038</v>
      </c>
      <c r="AN89" s="219">
        <f>$AN$15*AN73*AN88</f>
        <v>42593.564221130182</v>
      </c>
      <c r="AO89" s="220">
        <f>$AN$15*AO73*AO88</f>
        <v>47430.853209027482</v>
      </c>
      <c r="AP89" s="221">
        <f>$AN$15*AP73*AP88</f>
        <v>49807.337616043253</v>
      </c>
      <c r="AQ89" s="220">
        <f>$AN$16*AQ73*AQ88</f>
        <v>39685.711862490498</v>
      </c>
      <c r="AR89" s="220">
        <f>$AN$16*AR73*AR88</f>
        <v>31111.641202307834</v>
      </c>
      <c r="AS89" s="221">
        <f>$AN$16*AS73*AS88</f>
        <v>25209.177576192873</v>
      </c>
    </row>
    <row r="90" spans="33:45" ht="15.75" customHeight="1" x14ac:dyDescent="0.3">
      <c r="AG90" s="141"/>
      <c r="AJ90" s="141"/>
      <c r="AM90" s="214" t="s">
        <v>1039</v>
      </c>
      <c r="AN90" s="225">
        <f>MIN(AN87,AN89)</f>
        <v>21767.637859963634</v>
      </c>
      <c r="AO90" s="226">
        <f t="shared" ref="AO90:AP90" si="77">MIN(AO87,AO89)</f>
        <v>23932.193689289968</v>
      </c>
      <c r="AP90" s="227">
        <f t="shared" si="77"/>
        <v>25339.154978352093</v>
      </c>
      <c r="AQ90" s="226">
        <f>MIN(AQ87,AQ89)</f>
        <v>17647.833301698818</v>
      </c>
      <c r="AR90" s="226">
        <f t="shared" ref="AR90:AS90" si="78">MIN(AR87,AR89)</f>
        <v>13115.654147291269</v>
      </c>
      <c r="AS90" s="227">
        <f t="shared" si="78"/>
        <v>10822.895784525248</v>
      </c>
    </row>
    <row r="91" spans="33:45" ht="15.75" customHeight="1" x14ac:dyDescent="0.3">
      <c r="AG91" s="141"/>
      <c r="AJ91" s="141"/>
      <c r="AM91" s="214" t="s">
        <v>1040</v>
      </c>
      <c r="AN91" s="225">
        <f>MAX($AN$15*$AN$27,AN90)/12000*$AN$24*$AN$17</f>
        <v>239.46954166666669</v>
      </c>
      <c r="AO91" s="226">
        <f>MAX($AN$15*$AN$27,AO90)/12000*$AN$24*$AN$17</f>
        <v>239.46954166666669</v>
      </c>
      <c r="AP91" s="227">
        <f>MAX($AN$15*$AN$27,AP90)/12000*$AN$24*$AN$17</f>
        <v>239.46954166666669</v>
      </c>
      <c r="AQ91" s="226">
        <f>MAX($AN$16*$AN$27,AQ90)/12000*$AN$25*$AN$17</f>
        <v>0.10358793385416666</v>
      </c>
      <c r="AR91" s="226">
        <f>MAX($AN$16*$AN$27,AR90)/12000*$AN$25*$AN$17</f>
        <v>0.10358793385416666</v>
      </c>
      <c r="AS91" s="227">
        <f>MAX($AN$16*$AN$27,AS90)/12000*$AN$25*$AN$17</f>
        <v>0.10358793385416666</v>
      </c>
    </row>
    <row r="92" spans="33:45" ht="15.75" customHeight="1" x14ac:dyDescent="0.3">
      <c r="AG92" s="141"/>
      <c r="AJ92" s="141"/>
      <c r="AM92" s="214" t="s">
        <v>1042</v>
      </c>
      <c r="AN92" s="228">
        <f>AN90-AN91*3.412</f>
        <v>20950.567783796967</v>
      </c>
      <c r="AO92" s="229">
        <f t="shared" ref="AO92:AP92" si="79">AO90-AO91*3.412</f>
        <v>23115.123613123302</v>
      </c>
      <c r="AP92" s="230">
        <f t="shared" si="79"/>
        <v>24522.084902185426</v>
      </c>
      <c r="AQ92" s="231">
        <f>AQ90+AQ91*3.412</f>
        <v>17648.186743729129</v>
      </c>
      <c r="AR92" s="229">
        <f t="shared" ref="AR92:AS92" si="80">AR90+AR91*3.412</f>
        <v>13116.00758932158</v>
      </c>
      <c r="AS92" s="230">
        <f t="shared" si="80"/>
        <v>10823.249226555559</v>
      </c>
    </row>
    <row r="93" spans="33:45" ht="15.75" customHeight="1" x14ac:dyDescent="0.3">
      <c r="AG93" s="141"/>
      <c r="AJ93" s="141"/>
      <c r="AM93" s="214" t="s">
        <v>1043</v>
      </c>
      <c r="AN93" s="225">
        <f>AN90/AN71</f>
        <v>22329.114260356851</v>
      </c>
      <c r="AO93" s="226">
        <f t="shared" ref="AO93:AP93" si="81">AO90/AO71</f>
        <v>24549.502836594856</v>
      </c>
      <c r="AP93" s="227">
        <f t="shared" si="81"/>
        <v>25992.75541114957</v>
      </c>
      <c r="AQ93" s="226">
        <f>AQ90/AQ71</f>
        <v>18103.043094360903</v>
      </c>
      <c r="AR93" s="226">
        <f t="shared" ref="AR93:AS93" si="82">AR90/AR71</f>
        <v>13453.960504958492</v>
      </c>
      <c r="AS93" s="227">
        <f t="shared" si="82"/>
        <v>11102.062527651886</v>
      </c>
    </row>
    <row r="94" spans="33:45" ht="15.75" customHeight="1" x14ac:dyDescent="0.3">
      <c r="AG94" s="141"/>
      <c r="AJ94" s="141"/>
      <c r="AM94" s="214" t="s">
        <v>1044</v>
      </c>
      <c r="AN94" s="225">
        <f>MAX(AN86,AN93)</f>
        <v>22329.114260356851</v>
      </c>
      <c r="AO94" s="226">
        <f t="shared" ref="AO94:AP94" si="83">MAX(AO86,AO93)</f>
        <v>24549.502836594856</v>
      </c>
      <c r="AP94" s="227">
        <f t="shared" si="83"/>
        <v>25992.75541114957</v>
      </c>
      <c r="AQ94" s="226">
        <f>MAX(AQ86,AQ93)</f>
        <v>18103.043094360903</v>
      </c>
      <c r="AR94" s="226">
        <f t="shared" ref="AR94:AS94" si="84">MAX(AR86,AR93)</f>
        <v>13453.960504958493</v>
      </c>
      <c r="AS94" s="227">
        <f t="shared" si="84"/>
        <v>11102.062527651886</v>
      </c>
    </row>
    <row r="95" spans="33:45" ht="15.75" customHeight="1" x14ac:dyDescent="0.3">
      <c r="AG95" s="141"/>
      <c r="AJ95" s="141"/>
      <c r="AM95" s="214" t="s">
        <v>1045</v>
      </c>
      <c r="AN95" s="214">
        <f>AN94/AN70</f>
        <v>0.55000000000000004</v>
      </c>
      <c r="AO95" s="209">
        <f t="shared" ref="AO95:AP95" si="85">AO94/AO70</f>
        <v>0.55000000000000004</v>
      </c>
      <c r="AP95" s="215">
        <f t="shared" si="85"/>
        <v>0.55000000000000004</v>
      </c>
      <c r="AQ95" s="209">
        <f>AQ94/AQ70</f>
        <v>0.55000000000000004</v>
      </c>
      <c r="AR95" s="209">
        <f t="shared" ref="AR95:AS95" si="86">AR94/AR70</f>
        <v>0.55000000000000004</v>
      </c>
      <c r="AS95" s="215">
        <f t="shared" si="86"/>
        <v>0.55000000000000004</v>
      </c>
    </row>
    <row r="96" spans="33:45" ht="15.75" customHeight="1" x14ac:dyDescent="0.3">
      <c r="AG96" s="141"/>
      <c r="AJ96" s="141"/>
      <c r="AM96" s="214" t="s">
        <v>1046</v>
      </c>
      <c r="AN96" s="222">
        <f>$X$11+$Y$11*AN95+$Z$11*AN95^2+$X$12*AN95^3+$Y$12*AN95^4+$Z$12*AN95^5</f>
        <v>0.43290923361778261</v>
      </c>
      <c r="AO96" s="223">
        <f>$X$11+$Y$11*AO95+$Z$11*AO95^2+$X$12*AO95^3+$Y$12*AO95^4+$Z$12*AO95^5</f>
        <v>0.43290923361778261</v>
      </c>
      <c r="AP96" s="224">
        <f>$X$11+$Y$11*AP95+$Z$11*AP95^2+$X$12*AP95^3+$Y$12*AP95^4+$Z$12*AP95^5</f>
        <v>0.43290923361778261</v>
      </c>
      <c r="AQ96" s="223">
        <f>$X$53+$Y$53*AQ95+$Z$53*AQ95^2+$X$54*AQ95^3+$Y$54*AQ95^4+$Z$54*AQ95^5</f>
        <v>0.52631562499999995</v>
      </c>
      <c r="AR96" s="223">
        <f>$X$53+$Y$53*AR95+$Z$53*AR95^2+$X$54*AR95^3+$Y$54*AR95^4+$Z$54*AR95^5</f>
        <v>0.52631562499999995</v>
      </c>
      <c r="AS96" s="224">
        <f>$X$53+$Y$53*AS95+$Z$53*AS95^2+$X$54*AS95^3+$Y$54*AS95^4+$Z$54*AS95^5</f>
        <v>0.52631562499999995</v>
      </c>
    </row>
    <row r="97" spans="33:45" ht="15.75" customHeight="1" x14ac:dyDescent="0.3">
      <c r="AG97" s="141"/>
      <c r="AJ97" s="141"/>
      <c r="AM97" s="214" t="s">
        <v>1047</v>
      </c>
      <c r="AN97" s="219">
        <f>AN70*$AN$7*AN82*AN96</f>
        <v>4760.6817232467802</v>
      </c>
      <c r="AO97" s="220">
        <f t="shared" ref="AO97:AP97" si="87">AO70*$AN$7*AO82*AO96</f>
        <v>4063.1676829072412</v>
      </c>
      <c r="AP97" s="221">
        <f t="shared" si="87"/>
        <v>3589.1446933550565</v>
      </c>
      <c r="AQ97" s="220">
        <f>AQ70*$AN$8*AQ82*AQ96</f>
        <v>4381.1436124875381</v>
      </c>
      <c r="AR97" s="220">
        <f t="shared" ref="AR97:AS97" si="88">AR70*$AN$8*AR82*AR96</f>
        <v>4729.979274049354</v>
      </c>
      <c r="AS97" s="221">
        <f t="shared" si="88"/>
        <v>4649.1006798088638</v>
      </c>
    </row>
    <row r="98" spans="33:45" ht="15.75" customHeight="1" thickBot="1" x14ac:dyDescent="0.35">
      <c r="AG98" s="141"/>
      <c r="AJ98" s="141"/>
      <c r="AM98" s="236" t="s">
        <v>1048</v>
      </c>
      <c r="AN98" s="237">
        <f>AN92/(AN97+AN91*3.412)</f>
        <v>3.7560953834482409</v>
      </c>
      <c r="AO98" s="238">
        <f t="shared" ref="AO98:AS98" si="89">AO92/(AO97+AO91*3.412)</f>
        <v>4.7364748920572497</v>
      </c>
      <c r="AP98" s="239">
        <f t="shared" si="89"/>
        <v>5.5653403623916411</v>
      </c>
      <c r="AQ98" s="240">
        <f t="shared" si="89"/>
        <v>4.0278896742682351</v>
      </c>
      <c r="AR98" s="238">
        <f t="shared" si="89"/>
        <v>2.7727452542052204</v>
      </c>
      <c r="AS98" s="239">
        <f t="shared" si="89"/>
        <v>2.3278537529206185</v>
      </c>
    </row>
    <row r="99" spans="33:45" ht="15.75" customHeight="1" x14ac:dyDescent="0.3">
      <c r="AG99" s="141"/>
      <c r="AJ99" s="141"/>
    </row>
    <row r="100" spans="33:45" ht="15.75" customHeight="1" x14ac:dyDescent="0.3">
      <c r="AG100" s="141"/>
      <c r="AJ100" s="141"/>
    </row>
    <row r="101" spans="33:45" ht="15.75" customHeight="1" x14ac:dyDescent="0.3">
      <c r="AG101" s="141"/>
      <c r="AJ101" s="141"/>
    </row>
    <row r="102" spans="33:45" ht="15.75" customHeight="1" x14ac:dyDescent="0.3">
      <c r="AG102" s="141"/>
      <c r="AJ102" s="141"/>
    </row>
    <row r="103" spans="33:45" ht="15.75" customHeight="1" x14ac:dyDescent="0.3">
      <c r="AG103" s="141"/>
      <c r="AJ103" s="141"/>
    </row>
    <row r="104" spans="33:45" ht="15.75" customHeight="1" x14ac:dyDescent="0.3">
      <c r="AG104" s="141"/>
      <c r="AJ104" s="141"/>
    </row>
    <row r="105" spans="33:45" ht="15.75" customHeight="1" x14ac:dyDescent="0.3">
      <c r="AG105" s="141"/>
      <c r="AJ105" s="141"/>
    </row>
    <row r="106" spans="33:45" ht="15.75" customHeight="1" x14ac:dyDescent="0.3">
      <c r="AG106" s="141"/>
      <c r="AJ106" s="141"/>
    </row>
    <row r="107" spans="33:45" ht="15.75" customHeight="1" x14ac:dyDescent="0.3">
      <c r="AG107" s="141"/>
      <c r="AJ107" s="141"/>
    </row>
    <row r="108" spans="33:45" ht="15.75" customHeight="1" x14ac:dyDescent="0.3">
      <c r="AG108" s="141"/>
      <c r="AJ108" s="141"/>
    </row>
    <row r="109" spans="33:45" ht="15.75" customHeight="1" x14ac:dyDescent="0.3">
      <c r="AG109" s="141"/>
      <c r="AJ109" s="141"/>
    </row>
    <row r="110" spans="33:45" ht="15.75" customHeight="1" x14ac:dyDescent="0.3"/>
    <row r="111" spans="33:45" ht="15.75" customHeight="1" x14ac:dyDescent="0.3"/>
    <row r="112" spans="33:45"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4.4" x14ac:dyDescent="0.3"/>
  <sheetData>
    <row r="2" spans="2:3" x14ac:dyDescent="0.3">
      <c r="B2" t="s">
        <v>441</v>
      </c>
    </row>
    <row r="3" spans="2:3" x14ac:dyDescent="0.3">
      <c r="B3" t="s">
        <v>489</v>
      </c>
    </row>
    <row r="6" spans="2:3" x14ac:dyDescent="0.3">
      <c r="B6" t="s">
        <v>442</v>
      </c>
    </row>
    <row r="7" spans="2:3" x14ac:dyDescent="0.3">
      <c r="B7" t="s">
        <v>443</v>
      </c>
    </row>
    <row r="9" spans="2:3" x14ac:dyDescent="0.3">
      <c r="B9" t="s">
        <v>444</v>
      </c>
    </row>
    <row r="10" spans="2:3" x14ac:dyDescent="0.3">
      <c r="B10" t="s">
        <v>445</v>
      </c>
    </row>
    <row r="11" spans="2:3" x14ac:dyDescent="0.3">
      <c r="B11" t="s">
        <v>446</v>
      </c>
    </row>
    <row r="14" spans="2:3" x14ac:dyDescent="0.3">
      <c r="B14" t="s">
        <v>490</v>
      </c>
    </row>
    <row r="16" spans="2:3" x14ac:dyDescent="0.3">
      <c r="B16" t="s">
        <v>27</v>
      </c>
      <c r="C16" t="s">
        <v>416</v>
      </c>
    </row>
    <row r="17" spans="2:4" x14ac:dyDescent="0.3">
      <c r="B17" t="s">
        <v>120</v>
      </c>
      <c r="C17" t="s">
        <v>471</v>
      </c>
    </row>
    <row r="18" spans="2:4" x14ac:dyDescent="0.3">
      <c r="B18" t="s">
        <v>160</v>
      </c>
      <c r="D18" t="s">
        <v>473</v>
      </c>
    </row>
    <row r="19" spans="2:4" x14ac:dyDescent="0.3">
      <c r="B19" t="s">
        <v>274</v>
      </c>
      <c r="D19" t="s">
        <v>472</v>
      </c>
    </row>
    <row r="20" spans="2:4" x14ac:dyDescent="0.3">
      <c r="B20" t="s">
        <v>288</v>
      </c>
      <c r="C20" t="s">
        <v>468</v>
      </c>
    </row>
    <row r="21" spans="2:4" x14ac:dyDescent="0.3">
      <c r="B21" t="s">
        <v>391</v>
      </c>
      <c r="C21" t="s">
        <v>469</v>
      </c>
    </row>
    <row r="22" spans="2:4" x14ac:dyDescent="0.3">
      <c r="B22" t="s">
        <v>148</v>
      </c>
      <c r="C22" t="s">
        <v>470</v>
      </c>
    </row>
    <row r="23" spans="2:4" x14ac:dyDescent="0.3">
      <c r="B23" t="s">
        <v>275</v>
      </c>
      <c r="C23" t="s">
        <v>474</v>
      </c>
    </row>
    <row r="24" spans="2:4" x14ac:dyDescent="0.3">
      <c r="B24" t="s">
        <v>117</v>
      </c>
      <c r="D24" t="s">
        <v>481</v>
      </c>
    </row>
    <row r="25" spans="2:4" x14ac:dyDescent="0.3">
      <c r="B25" t="s">
        <v>116</v>
      </c>
      <c r="D25" t="s">
        <v>482</v>
      </c>
    </row>
    <row r="26" spans="2:4" x14ac:dyDescent="0.3">
      <c r="B26" t="s">
        <v>460</v>
      </c>
      <c r="D26" t="s">
        <v>459</v>
      </c>
    </row>
    <row r="27" spans="2:4" x14ac:dyDescent="0.3">
      <c r="B27" t="s">
        <v>462</v>
      </c>
      <c r="D27" t="s">
        <v>400</v>
      </c>
    </row>
    <row r="28" spans="2:4" x14ac:dyDescent="0.3">
      <c r="B28" t="s">
        <v>454</v>
      </c>
      <c r="D28" t="s">
        <v>476</v>
      </c>
    </row>
    <row r="29" spans="2:4" x14ac:dyDescent="0.3">
      <c r="B29" t="s">
        <v>455</v>
      </c>
      <c r="C29" t="s">
        <v>475</v>
      </c>
    </row>
    <row r="30" spans="2:4" x14ac:dyDescent="0.3">
      <c r="B30" t="s">
        <v>365</v>
      </c>
      <c r="C30" t="s">
        <v>477</v>
      </c>
    </row>
    <row r="31" spans="2:4" x14ac:dyDescent="0.3">
      <c r="B31" t="s">
        <v>394</v>
      </c>
      <c r="D31" t="s">
        <v>478</v>
      </c>
    </row>
    <row r="32" spans="2:4" x14ac:dyDescent="0.3">
      <c r="B32" t="s">
        <v>395</v>
      </c>
      <c r="D32" t="s">
        <v>479</v>
      </c>
    </row>
    <row r="33" spans="2:4" x14ac:dyDescent="0.3">
      <c r="B33" t="s">
        <v>457</v>
      </c>
      <c r="D33" t="s">
        <v>480</v>
      </c>
    </row>
    <row r="34" spans="2:4" x14ac:dyDescent="0.3">
      <c r="B34" t="s">
        <v>458</v>
      </c>
      <c r="D34" t="s">
        <v>398</v>
      </c>
    </row>
    <row r="35" spans="2:4" x14ac:dyDescent="0.3">
      <c r="B35" t="s">
        <v>139</v>
      </c>
      <c r="D35" t="s">
        <v>399</v>
      </c>
    </row>
    <row r="36" spans="2:4" x14ac:dyDescent="0.3">
      <c r="B36" t="s">
        <v>140</v>
      </c>
      <c r="D36" t="s">
        <v>440</v>
      </c>
    </row>
    <row r="37" spans="2:4" x14ac:dyDescent="0.3">
      <c r="B37" t="s">
        <v>439</v>
      </c>
      <c r="D37" t="s">
        <v>467</v>
      </c>
    </row>
    <row r="39" spans="2:4" x14ac:dyDescent="0.3">
      <c r="B39" t="s">
        <v>491</v>
      </c>
    </row>
    <row r="41" spans="2:4" x14ac:dyDescent="0.3">
      <c r="B41" t="s">
        <v>493</v>
      </c>
    </row>
    <row r="42" spans="2:4" x14ac:dyDescent="0.3">
      <c r="B42" t="s">
        <v>492</v>
      </c>
    </row>
    <row r="43" spans="2:4" x14ac:dyDescent="0.3">
      <c r="B43" t="s">
        <v>494</v>
      </c>
    </row>
    <row r="44" spans="2:4" x14ac:dyDescent="0.3">
      <c r="B44" t="s">
        <v>495</v>
      </c>
    </row>
    <row r="45" spans="2:4" x14ac:dyDescent="0.3">
      <c r="B45" t="s">
        <v>496</v>
      </c>
    </row>
    <row r="47" spans="2:4" x14ac:dyDescent="0.3">
      <c r="B47" t="s">
        <v>497</v>
      </c>
    </row>
    <row r="49" spans="2:2" x14ac:dyDescent="0.3">
      <c r="B49" t="s">
        <v>564</v>
      </c>
    </row>
    <row r="50" spans="2:2" x14ac:dyDescent="0.3">
      <c r="B50" t="s">
        <v>565</v>
      </c>
    </row>
    <row r="51" spans="2:2" x14ac:dyDescent="0.3">
      <c r="B51" t="s">
        <v>566</v>
      </c>
    </row>
    <row r="52" spans="2:2" x14ac:dyDescent="0.3">
      <c r="B52" t="s">
        <v>567</v>
      </c>
    </row>
    <row r="54" spans="2:2" x14ac:dyDescent="0.3">
      <c r="B54" t="s">
        <v>498</v>
      </c>
    </row>
  </sheetData>
  <sortState xmlns:xlrd2="http://schemas.microsoft.com/office/spreadsheetml/2017/richdata2" ref="A1:A105">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4.4" x14ac:dyDescent="0.3"/>
  <cols>
    <col min="2" max="2" width="10.6640625" bestFit="1" customWidth="1"/>
    <col min="3" max="3" width="92.109375" customWidth="1"/>
  </cols>
  <sheetData>
    <row r="2" spans="1:3" x14ac:dyDescent="0.3">
      <c r="A2" t="s">
        <v>634</v>
      </c>
    </row>
    <row r="4" spans="1:3" x14ac:dyDescent="0.3">
      <c r="C4" s="16" t="s">
        <v>435</v>
      </c>
    </row>
    <row r="5" spans="1:3" x14ac:dyDescent="0.3">
      <c r="A5" t="s">
        <v>635</v>
      </c>
      <c r="B5" s="84">
        <v>41266</v>
      </c>
      <c r="C5" s="13" t="s">
        <v>499</v>
      </c>
    </row>
    <row r="6" spans="1:3" x14ac:dyDescent="0.3">
      <c r="A6" t="s">
        <v>635</v>
      </c>
      <c r="B6" s="84">
        <v>41266</v>
      </c>
      <c r="C6" s="13" t="s">
        <v>645</v>
      </c>
    </row>
    <row r="7" spans="1:3" x14ac:dyDescent="0.3">
      <c r="A7" t="s">
        <v>635</v>
      </c>
      <c r="B7" s="84">
        <v>41266</v>
      </c>
      <c r="C7" s="13" t="s">
        <v>644</v>
      </c>
    </row>
    <row r="8" spans="1:3" x14ac:dyDescent="0.3">
      <c r="A8" t="s">
        <v>636</v>
      </c>
      <c r="B8" s="84">
        <v>41407</v>
      </c>
      <c r="C8" s="13" t="s">
        <v>637</v>
      </c>
    </row>
    <row r="9" spans="1:3" x14ac:dyDescent="0.3">
      <c r="B9" s="84"/>
      <c r="C9" s="13"/>
    </row>
    <row r="10" spans="1:3" x14ac:dyDescent="0.3">
      <c r="B10" s="84"/>
    </row>
    <row r="11" spans="1:3" x14ac:dyDescent="0.3">
      <c r="B11" s="84"/>
    </row>
    <row r="12" spans="1:3" x14ac:dyDescent="0.3">
      <c r="B12" s="84"/>
    </row>
    <row r="13" spans="1:3" x14ac:dyDescent="0.3">
      <c r="B13" s="84"/>
    </row>
    <row r="14" spans="1:3" x14ac:dyDescent="0.3">
      <c r="B14" s="84"/>
    </row>
    <row r="15" spans="1:3" x14ac:dyDescent="0.3">
      <c r="B15" s="84"/>
    </row>
    <row r="16" spans="1:3" x14ac:dyDescent="0.3">
      <c r="B16" s="84"/>
    </row>
    <row r="17" spans="2:2" x14ac:dyDescent="0.3">
      <c r="B17" s="84"/>
    </row>
    <row r="18" spans="2:2" x14ac:dyDescent="0.3">
      <c r="B18" s="84"/>
    </row>
    <row r="19" spans="2:2" x14ac:dyDescent="0.3">
      <c r="B19" s="84"/>
    </row>
    <row r="20" spans="2:2" x14ac:dyDescent="0.3">
      <c r="B20" s="8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4.4" x14ac:dyDescent="0.3"/>
  <cols>
    <col min="5" max="5" width="12" bestFit="1" customWidth="1"/>
  </cols>
  <sheetData>
    <row r="2" spans="2:14" x14ac:dyDescent="0.3">
      <c r="B2" s="1" t="s">
        <v>84</v>
      </c>
    </row>
    <row r="4" spans="2:14" x14ac:dyDescent="0.3">
      <c r="B4" t="s">
        <v>85</v>
      </c>
    </row>
    <row r="5" spans="2:14" x14ac:dyDescent="0.3">
      <c r="B5" t="s">
        <v>86</v>
      </c>
    </row>
    <row r="6" spans="2:14" x14ac:dyDescent="0.3">
      <c r="B6" t="s">
        <v>87</v>
      </c>
    </row>
    <row r="9" spans="2:14" x14ac:dyDescent="0.3">
      <c r="C9" s="1" t="s">
        <v>94</v>
      </c>
    </row>
    <row r="11" spans="2:14" x14ac:dyDescent="0.3">
      <c r="C11" s="1" t="s">
        <v>49</v>
      </c>
      <c r="J11" s="1" t="s">
        <v>48</v>
      </c>
    </row>
    <row r="12" spans="2:14" x14ac:dyDescent="0.3">
      <c r="C12" s="7" t="s">
        <v>28</v>
      </c>
      <c r="D12" s="8" t="s">
        <v>39</v>
      </c>
      <c r="E12" s="8" t="s">
        <v>40</v>
      </c>
      <c r="F12" s="8" t="s">
        <v>41</v>
      </c>
      <c r="G12" s="9" t="s">
        <v>57</v>
      </c>
      <c r="H12" s="10" t="s">
        <v>42</v>
      </c>
      <c r="J12" s="7" t="s">
        <v>43</v>
      </c>
      <c r="K12" s="8" t="s">
        <v>44</v>
      </c>
      <c r="L12" s="8" t="s">
        <v>45</v>
      </c>
      <c r="M12" s="9" t="s">
        <v>46</v>
      </c>
      <c r="N12" s="10" t="s">
        <v>47</v>
      </c>
    </row>
    <row r="13" spans="2:14" x14ac:dyDescent="0.3">
      <c r="C13" s="2">
        <v>0</v>
      </c>
      <c r="D13">
        <v>0.125</v>
      </c>
      <c r="E13">
        <v>0.2012301</v>
      </c>
      <c r="F13">
        <v>0.125</v>
      </c>
      <c r="G13" s="3">
        <v>0.2012301</v>
      </c>
      <c r="H13" s="10">
        <v>0</v>
      </c>
      <c r="J13" s="2">
        <v>0</v>
      </c>
      <c r="K13">
        <v>0</v>
      </c>
      <c r="L13">
        <v>0</v>
      </c>
      <c r="M13" s="3">
        <v>0</v>
      </c>
      <c r="N13" s="10">
        <v>0.85</v>
      </c>
    </row>
    <row r="14" spans="2:14" x14ac:dyDescent="0.3">
      <c r="C14" s="2">
        <v>0.1</v>
      </c>
      <c r="D14">
        <v>0.21250000000000002</v>
      </c>
      <c r="E14">
        <v>0.21649281849999999</v>
      </c>
      <c r="F14">
        <v>0.21250000000000002</v>
      </c>
      <c r="G14" s="3">
        <v>0.21649281849999999</v>
      </c>
      <c r="H14" s="10">
        <v>0.11560693641618498</v>
      </c>
      <c r="J14" s="2">
        <v>0.47058823529411764</v>
      </c>
      <c r="K14">
        <v>0.46190908637461342</v>
      </c>
      <c r="L14">
        <v>0.47058823529411764</v>
      </c>
      <c r="M14" s="3">
        <v>0.46190908637461342</v>
      </c>
      <c r="N14" s="10">
        <v>0.86499999999999999</v>
      </c>
    </row>
    <row r="15" spans="2:14" x14ac:dyDescent="0.3">
      <c r="C15" s="2">
        <v>0.2</v>
      </c>
      <c r="D15">
        <v>0.30000000000000004</v>
      </c>
      <c r="E15">
        <v>0.26404243199999999</v>
      </c>
      <c r="F15">
        <v>0.30000000000000004</v>
      </c>
      <c r="G15" s="3">
        <v>0.26404243199999999</v>
      </c>
      <c r="H15" s="10">
        <v>0.22727272727272729</v>
      </c>
      <c r="J15" s="2">
        <v>0.66666666666666663</v>
      </c>
      <c r="K15">
        <v>0.75745401405786184</v>
      </c>
      <c r="L15">
        <v>0.66666666666666663</v>
      </c>
      <c r="M15" s="3">
        <v>0.75745401405786195</v>
      </c>
      <c r="N15" s="10">
        <v>0.88</v>
      </c>
    </row>
    <row r="16" spans="2:14" x14ac:dyDescent="0.3">
      <c r="C16" s="2">
        <v>0.30000000000000004</v>
      </c>
      <c r="D16">
        <v>0.38750000000000007</v>
      </c>
      <c r="E16">
        <v>0.33715587750000003</v>
      </c>
      <c r="F16">
        <v>0.38750000000000007</v>
      </c>
      <c r="G16" s="3">
        <v>0.33715587750000003</v>
      </c>
      <c r="H16" s="10">
        <v>0.33519553072625702</v>
      </c>
      <c r="J16" s="2">
        <v>0.77419354838709675</v>
      </c>
      <c r="K16">
        <v>0.88979614481138625</v>
      </c>
      <c r="L16">
        <v>0.77419354838709697</v>
      </c>
      <c r="M16" s="3">
        <v>0.88979614481138625</v>
      </c>
      <c r="N16" s="10">
        <v>0.89500000000000002</v>
      </c>
    </row>
    <row r="17" spans="3:14" x14ac:dyDescent="0.3">
      <c r="C17" s="2">
        <v>0.4</v>
      </c>
      <c r="D17">
        <v>0.47500000000000003</v>
      </c>
      <c r="E17">
        <v>0.429110092</v>
      </c>
      <c r="F17">
        <v>0.47500000000000003</v>
      </c>
      <c r="G17" s="3">
        <v>0.429110092</v>
      </c>
      <c r="H17" s="10">
        <v>0.43956043956043961</v>
      </c>
      <c r="J17" s="2">
        <v>0.84210526315789469</v>
      </c>
      <c r="K17">
        <v>0.93216171667200043</v>
      </c>
      <c r="L17">
        <v>0.84210526315789502</v>
      </c>
      <c r="M17" s="3">
        <v>0.93216171667200043</v>
      </c>
      <c r="N17" s="10">
        <v>0.90999999999999992</v>
      </c>
    </row>
    <row r="18" spans="3:14" x14ac:dyDescent="0.3">
      <c r="C18" s="2">
        <v>0.5</v>
      </c>
      <c r="D18">
        <v>0.5625</v>
      </c>
      <c r="E18">
        <v>0.53318201249999997</v>
      </c>
      <c r="F18">
        <v>0.5625</v>
      </c>
      <c r="G18" s="3">
        <v>0.53318201249999997</v>
      </c>
      <c r="H18" s="10">
        <v>0.54054054054054057</v>
      </c>
      <c r="J18" s="2">
        <v>0.88888888888888884</v>
      </c>
      <c r="K18">
        <v>0.93776606914322724</v>
      </c>
      <c r="L18">
        <v>0.88888888888888884</v>
      </c>
      <c r="M18" s="3">
        <v>0.93776606914322724</v>
      </c>
      <c r="N18" s="10">
        <v>0.92499999999999993</v>
      </c>
    </row>
    <row r="19" spans="3:14" x14ac:dyDescent="0.3">
      <c r="C19" s="2">
        <v>0.6</v>
      </c>
      <c r="D19">
        <v>0.65</v>
      </c>
      <c r="E19">
        <v>0.64264857600000003</v>
      </c>
      <c r="F19">
        <v>0.65</v>
      </c>
      <c r="G19" s="3">
        <v>0.64264857600000003</v>
      </c>
      <c r="H19" s="10">
        <v>0.63829787234042556</v>
      </c>
      <c r="J19" s="2">
        <v>0.92307692307692302</v>
      </c>
      <c r="K19">
        <v>0.93363623978527255</v>
      </c>
      <c r="L19">
        <v>0.92307692307692302</v>
      </c>
      <c r="M19" s="3">
        <v>0.93363623978527255</v>
      </c>
      <c r="N19" s="10">
        <v>0.94</v>
      </c>
    </row>
    <row r="20" spans="3:14" x14ac:dyDescent="0.3">
      <c r="C20" s="2">
        <v>0.7</v>
      </c>
      <c r="D20">
        <v>0.73749999999999993</v>
      </c>
      <c r="E20">
        <v>0.75078671949999998</v>
      </c>
      <c r="F20">
        <v>0.73749999999999993</v>
      </c>
      <c r="G20" s="3">
        <v>0.75078671949999998</v>
      </c>
      <c r="H20" s="10">
        <v>0.73298429319371727</v>
      </c>
      <c r="J20" s="2">
        <v>0.94915254237288138</v>
      </c>
      <c r="K20">
        <v>0.93235533050741448</v>
      </c>
      <c r="L20">
        <v>0.94915254237288138</v>
      </c>
      <c r="M20" s="3">
        <v>0.93235533050741448</v>
      </c>
      <c r="N20" s="10">
        <v>0.95499999999999996</v>
      </c>
    </row>
    <row r="21" spans="3:14" x14ac:dyDescent="0.3">
      <c r="C21" s="2">
        <v>0.79999999999999993</v>
      </c>
      <c r="D21">
        <v>0.82499999999999996</v>
      </c>
      <c r="E21">
        <v>0.85087338000000012</v>
      </c>
      <c r="F21">
        <v>0.82499999999999996</v>
      </c>
      <c r="G21" s="3">
        <v>0.85087338000000012</v>
      </c>
      <c r="H21" s="10">
        <v>0.82474226804123707</v>
      </c>
      <c r="J21" s="2">
        <v>0.96969696969696972</v>
      </c>
      <c r="K21">
        <v>0.94021039887274394</v>
      </c>
      <c r="L21">
        <v>0.96969696969696972</v>
      </c>
      <c r="M21" s="3">
        <v>0.94021039887274394</v>
      </c>
      <c r="N21" s="10">
        <v>0.97</v>
      </c>
    </row>
    <row r="22" spans="3:14" x14ac:dyDescent="0.3">
      <c r="C22" s="2">
        <v>0.89999999999999991</v>
      </c>
      <c r="D22">
        <v>0.91249999999999987</v>
      </c>
      <c r="E22">
        <v>0.93618549449999999</v>
      </c>
      <c r="F22">
        <v>0.91249999999999987</v>
      </c>
      <c r="G22" s="3">
        <v>0.93618549449999999</v>
      </c>
      <c r="H22" s="10">
        <v>0.91370558375634514</v>
      </c>
      <c r="J22" s="2">
        <v>0.98630136986301375</v>
      </c>
      <c r="K22">
        <v>0.96134794363661225</v>
      </c>
      <c r="L22">
        <v>0.98630136986301375</v>
      </c>
      <c r="M22" s="3">
        <v>0.96134794363661225</v>
      </c>
      <c r="N22" s="10">
        <v>0.98499999999999999</v>
      </c>
    </row>
    <row r="23" spans="3:14" x14ac:dyDescent="0.3">
      <c r="C23" s="4">
        <v>0.99999999999999989</v>
      </c>
      <c r="D23" s="5">
        <v>0.99999999999999989</v>
      </c>
      <c r="E23" s="5">
        <v>1</v>
      </c>
      <c r="F23" s="5">
        <v>0.99999999999999989</v>
      </c>
      <c r="G23" s="6">
        <v>1</v>
      </c>
      <c r="H23" s="10">
        <v>0.99999999999999989</v>
      </c>
      <c r="J23" s="4">
        <v>1</v>
      </c>
      <c r="K23" s="5">
        <v>0.99999999999999989</v>
      </c>
      <c r="L23" s="5">
        <v>1</v>
      </c>
      <c r="M23" s="6">
        <v>0.99999999999999989</v>
      </c>
      <c r="N23" s="10">
        <v>1</v>
      </c>
    </row>
    <row r="25" spans="3:14" x14ac:dyDescent="0.3">
      <c r="C25" t="s">
        <v>50</v>
      </c>
      <c r="J25" t="s">
        <v>52</v>
      </c>
    </row>
    <row r="26" spans="3:14" x14ac:dyDescent="0.3">
      <c r="C26" t="s">
        <v>51</v>
      </c>
      <c r="J26" t="s">
        <v>51</v>
      </c>
    </row>
    <row r="28" spans="3:14" x14ac:dyDescent="0.3">
      <c r="C28" t="s">
        <v>53</v>
      </c>
    </row>
    <row r="29" spans="3:14" x14ac:dyDescent="0.3">
      <c r="C29" t="s">
        <v>54</v>
      </c>
    </row>
    <row r="30" spans="3:14" x14ac:dyDescent="0.3">
      <c r="C30" t="s">
        <v>55</v>
      </c>
    </row>
    <row r="31" spans="3:14" x14ac:dyDescent="0.3">
      <c r="C31" t="s">
        <v>56</v>
      </c>
    </row>
    <row r="32" spans="3:14" x14ac:dyDescent="0.3">
      <c r="C32" t="s">
        <v>547</v>
      </c>
    </row>
    <row r="35" spans="3:6" x14ac:dyDescent="0.3">
      <c r="C35" s="1" t="s">
        <v>88</v>
      </c>
    </row>
    <row r="37" spans="3:6" x14ac:dyDescent="0.3">
      <c r="C37" t="s">
        <v>92</v>
      </c>
    </row>
    <row r="39" spans="3:6" x14ac:dyDescent="0.3">
      <c r="C39" t="s">
        <v>89</v>
      </c>
      <c r="D39" t="s">
        <v>90</v>
      </c>
      <c r="E39" t="s">
        <v>91</v>
      </c>
    </row>
    <row r="40" spans="3:6" x14ac:dyDescent="0.3">
      <c r="C40">
        <v>67</v>
      </c>
      <c r="D40">
        <v>95</v>
      </c>
      <c r="E40">
        <v>1</v>
      </c>
    </row>
    <row r="41" spans="3:6" x14ac:dyDescent="0.3">
      <c r="C41">
        <v>57</v>
      </c>
      <c r="D41">
        <v>82</v>
      </c>
      <c r="E41" s="11" t="s">
        <v>100</v>
      </c>
    </row>
    <row r="42" spans="3:6" x14ac:dyDescent="0.3">
      <c r="C42">
        <v>57</v>
      </c>
      <c r="D42">
        <v>95</v>
      </c>
      <c r="E42" s="11" t="s">
        <v>100</v>
      </c>
    </row>
    <row r="43" spans="3:6" x14ac:dyDescent="0.3">
      <c r="C43">
        <v>57</v>
      </c>
      <c r="D43">
        <v>110</v>
      </c>
      <c r="E43" s="11" t="s">
        <v>100</v>
      </c>
    </row>
    <row r="44" spans="3:6" x14ac:dyDescent="0.3">
      <c r="C44">
        <v>67</v>
      </c>
      <c r="D44">
        <v>82</v>
      </c>
      <c r="E44" t="s">
        <v>93</v>
      </c>
    </row>
    <row r="45" spans="3:6" x14ac:dyDescent="0.3">
      <c r="C45">
        <v>67</v>
      </c>
      <c r="D45">
        <v>110</v>
      </c>
      <c r="E45" s="11" t="s">
        <v>100</v>
      </c>
    </row>
    <row r="46" spans="3:6" x14ac:dyDescent="0.3">
      <c r="C46">
        <v>77</v>
      </c>
      <c r="D46">
        <v>82</v>
      </c>
      <c r="E46" s="11" t="s">
        <v>100</v>
      </c>
      <c r="F46" t="s">
        <v>32</v>
      </c>
    </row>
    <row r="47" spans="3:6" x14ac:dyDescent="0.3">
      <c r="C47">
        <v>77</v>
      </c>
      <c r="D47">
        <v>95</v>
      </c>
      <c r="E47" s="11" t="s">
        <v>100</v>
      </c>
    </row>
    <row r="48" spans="3:6" x14ac:dyDescent="0.3">
      <c r="C48">
        <v>77</v>
      </c>
      <c r="D48">
        <v>110</v>
      </c>
      <c r="E48" s="11" t="s">
        <v>100</v>
      </c>
    </row>
    <row r="51" spans="3:18" x14ac:dyDescent="0.3">
      <c r="C51" s="1" t="s">
        <v>99</v>
      </c>
      <c r="H51" s="1" t="s">
        <v>63</v>
      </c>
    </row>
    <row r="52" spans="3:18" x14ac:dyDescent="0.3">
      <c r="C52" s="11" t="s">
        <v>98</v>
      </c>
      <c r="H52" s="11" t="s">
        <v>101</v>
      </c>
    </row>
    <row r="53" spans="3:18" x14ac:dyDescent="0.3">
      <c r="C53" s="11" t="s">
        <v>107</v>
      </c>
      <c r="H53" s="11"/>
    </row>
    <row r="54" spans="3:18" x14ac:dyDescent="0.3">
      <c r="C54" s="11"/>
      <c r="H54" s="11"/>
    </row>
    <row r="55" spans="3:18" x14ac:dyDescent="0.3">
      <c r="C55" t="s">
        <v>95</v>
      </c>
      <c r="D55" t="s">
        <v>65</v>
      </c>
      <c r="E55" t="s">
        <v>32</v>
      </c>
      <c r="H55" t="s">
        <v>95</v>
      </c>
      <c r="I55" t="s">
        <v>104</v>
      </c>
    </row>
    <row r="56" spans="3:18" x14ac:dyDescent="0.3">
      <c r="C56">
        <v>67</v>
      </c>
      <c r="D56">
        <v>0.85599999999999998</v>
      </c>
      <c r="H56">
        <v>67</v>
      </c>
      <c r="I56">
        <v>1.337</v>
      </c>
      <c r="O56" s="12" t="s">
        <v>102</v>
      </c>
      <c r="P56" s="12" t="s">
        <v>103</v>
      </c>
      <c r="Q56" t="s">
        <v>32</v>
      </c>
      <c r="R56" t="s">
        <v>32</v>
      </c>
    </row>
    <row r="57" spans="3:18" x14ac:dyDescent="0.3">
      <c r="C57">
        <v>57</v>
      </c>
      <c r="D57">
        <v>0.91900000000000004</v>
      </c>
      <c r="H57">
        <v>57</v>
      </c>
      <c r="I57">
        <v>1.175</v>
      </c>
    </row>
    <row r="58" spans="3:18" x14ac:dyDescent="0.3">
      <c r="C58">
        <v>47</v>
      </c>
      <c r="D58">
        <v>1</v>
      </c>
      <c r="H58">
        <v>47</v>
      </c>
      <c r="I58">
        <v>1</v>
      </c>
    </row>
    <row r="59" spans="3:18" x14ac:dyDescent="0.3">
      <c r="C59">
        <v>17</v>
      </c>
      <c r="D59" t="s">
        <v>96</v>
      </c>
      <c r="H59">
        <v>17</v>
      </c>
      <c r="I59" t="s">
        <v>105</v>
      </c>
    </row>
    <row r="60" spans="3:18" x14ac:dyDescent="0.3">
      <c r="C60">
        <v>7</v>
      </c>
      <c r="D60" t="s">
        <v>97</v>
      </c>
      <c r="H60">
        <v>7</v>
      </c>
      <c r="I60" t="s">
        <v>106</v>
      </c>
    </row>
    <row r="61" spans="3:18" x14ac:dyDescent="0.3">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4.4" x14ac:dyDescent="0.3"/>
  <cols>
    <col min="2" max="2" width="12" customWidth="1"/>
    <col min="3" max="3" width="89.109375" customWidth="1"/>
    <col min="15" max="15" width="68.6640625" bestFit="1" customWidth="1"/>
  </cols>
  <sheetData>
    <row r="1" spans="1:14" x14ac:dyDescent="0.3">
      <c r="A1" s="1" t="s">
        <v>417</v>
      </c>
    </row>
    <row r="4" spans="1:14" x14ac:dyDescent="0.3">
      <c r="B4" s="1" t="s">
        <v>27</v>
      </c>
      <c r="C4" s="1" t="s">
        <v>416</v>
      </c>
      <c r="I4" s="1"/>
      <c r="N4" s="1"/>
    </row>
    <row r="5" spans="1:14" x14ac:dyDescent="0.3">
      <c r="B5" t="s">
        <v>120</v>
      </c>
      <c r="C5" t="s">
        <v>471</v>
      </c>
    </row>
    <row r="6" spans="1:14" x14ac:dyDescent="0.3">
      <c r="B6" t="s">
        <v>160</v>
      </c>
      <c r="C6" t="s">
        <v>473</v>
      </c>
    </row>
    <row r="7" spans="1:14" x14ac:dyDescent="0.3">
      <c r="B7" t="s">
        <v>274</v>
      </c>
      <c r="C7" t="s">
        <v>472</v>
      </c>
    </row>
    <row r="8" spans="1:14" x14ac:dyDescent="0.3">
      <c r="B8" t="s">
        <v>288</v>
      </c>
      <c r="C8" t="s">
        <v>468</v>
      </c>
    </row>
    <row r="9" spans="1:14" x14ac:dyDescent="0.3">
      <c r="B9" t="s">
        <v>391</v>
      </c>
      <c r="C9" t="s">
        <v>469</v>
      </c>
    </row>
    <row r="10" spans="1:14" x14ac:dyDescent="0.3">
      <c r="B10" t="s">
        <v>148</v>
      </c>
      <c r="C10" t="s">
        <v>470</v>
      </c>
    </row>
    <row r="11" spans="1:14" x14ac:dyDescent="0.3">
      <c r="B11" s="31" t="s">
        <v>275</v>
      </c>
      <c r="C11" s="31" t="s">
        <v>474</v>
      </c>
    </row>
    <row r="12" spans="1:14" x14ac:dyDescent="0.3">
      <c r="B12" t="s">
        <v>117</v>
      </c>
      <c r="C12" t="s">
        <v>481</v>
      </c>
    </row>
    <row r="13" spans="1:14" x14ac:dyDescent="0.3">
      <c r="B13" t="s">
        <v>116</v>
      </c>
      <c r="C13" t="s">
        <v>482</v>
      </c>
    </row>
    <row r="14" spans="1:14" x14ac:dyDescent="0.3">
      <c r="B14" t="s">
        <v>460</v>
      </c>
      <c r="C14" t="s">
        <v>459</v>
      </c>
    </row>
    <row r="15" spans="1:14" x14ac:dyDescent="0.3">
      <c r="B15" t="s">
        <v>462</v>
      </c>
      <c r="C15" t="s">
        <v>400</v>
      </c>
    </row>
    <row r="16" spans="1:14" x14ac:dyDescent="0.3">
      <c r="B16" s="31" t="s">
        <v>454</v>
      </c>
      <c r="C16" s="31" t="s">
        <v>476</v>
      </c>
    </row>
    <row r="17" spans="2:3" x14ac:dyDescent="0.3">
      <c r="B17" s="31" t="s">
        <v>455</v>
      </c>
      <c r="C17" s="31" t="s">
        <v>475</v>
      </c>
    </row>
    <row r="18" spans="2:3" x14ac:dyDescent="0.3">
      <c r="B18" s="31" t="s">
        <v>365</v>
      </c>
      <c r="C18" s="31" t="s">
        <v>477</v>
      </c>
    </row>
    <row r="19" spans="2:3" x14ac:dyDescent="0.3">
      <c r="B19" t="s">
        <v>394</v>
      </c>
      <c r="C19" t="s">
        <v>478</v>
      </c>
    </row>
    <row r="20" spans="2:3" s="17" customFormat="1" x14ac:dyDescent="0.3">
      <c r="B20" t="s">
        <v>395</v>
      </c>
      <c r="C20" t="s">
        <v>479</v>
      </c>
    </row>
    <row r="21" spans="2:3" x14ac:dyDescent="0.3">
      <c r="B21" s="31" t="s">
        <v>457</v>
      </c>
      <c r="C21" t="s">
        <v>480</v>
      </c>
    </row>
    <row r="22" spans="2:3" x14ac:dyDescent="0.3">
      <c r="B22" t="s">
        <v>458</v>
      </c>
      <c r="C22" t="s">
        <v>398</v>
      </c>
    </row>
    <row r="23" spans="2:3" x14ac:dyDescent="0.3">
      <c r="B23" t="s">
        <v>139</v>
      </c>
      <c r="C23" t="s">
        <v>399</v>
      </c>
    </row>
    <row r="24" spans="2:3" x14ac:dyDescent="0.3">
      <c r="B24" t="s">
        <v>140</v>
      </c>
      <c r="C24" t="s">
        <v>440</v>
      </c>
    </row>
    <row r="25" spans="2:3" x14ac:dyDescent="0.3">
      <c r="B25" s="17" t="s">
        <v>439</v>
      </c>
      <c r="C25" s="17" t="s">
        <v>467</v>
      </c>
    </row>
    <row r="26" spans="2:3" x14ac:dyDescent="0.3">
      <c r="B26" s="34" t="s">
        <v>507</v>
      </c>
      <c r="C26" s="14" t="s">
        <v>519</v>
      </c>
    </row>
    <row r="27" spans="2:3" x14ac:dyDescent="0.3">
      <c r="B27" s="34" t="s">
        <v>323</v>
      </c>
      <c r="C27" s="14" t="s">
        <v>519</v>
      </c>
    </row>
    <row r="28" spans="2:3" x14ac:dyDescent="0.3">
      <c r="B28" s="34" t="s">
        <v>324</v>
      </c>
      <c r="C28" s="14" t="s">
        <v>519</v>
      </c>
    </row>
    <row r="29" spans="2:3" x14ac:dyDescent="0.3">
      <c r="B29" s="34" t="s">
        <v>120</v>
      </c>
      <c r="C29" s="14" t="s">
        <v>519</v>
      </c>
    </row>
    <row r="30" spans="2:3" x14ac:dyDescent="0.3">
      <c r="B30" s="34" t="s">
        <v>148</v>
      </c>
      <c r="C30" s="14" t="s">
        <v>519</v>
      </c>
    </row>
    <row r="31" spans="2:3" x14ac:dyDescent="0.3">
      <c r="B31" s="34"/>
    </row>
    <row r="32" spans="2:3" x14ac:dyDescent="0.3">
      <c r="B32" s="34"/>
    </row>
    <row r="33" spans="2:3" x14ac:dyDescent="0.3">
      <c r="B33" s="34"/>
    </row>
    <row r="34" spans="2:3" x14ac:dyDescent="0.3">
      <c r="B34" s="34"/>
    </row>
    <row r="38" spans="2:3" x14ac:dyDescent="0.3">
      <c r="B38" t="s">
        <v>463</v>
      </c>
    </row>
    <row r="39" spans="2:3" x14ac:dyDescent="0.3">
      <c r="B39" t="s">
        <v>448</v>
      </c>
      <c r="C39" t="s">
        <v>464</v>
      </c>
    </row>
    <row r="40" spans="2:3" x14ac:dyDescent="0.3">
      <c r="B40" t="s">
        <v>447</v>
      </c>
      <c r="C40" t="s">
        <v>465</v>
      </c>
    </row>
    <row r="41" spans="2:3" x14ac:dyDescent="0.3">
      <c r="B41"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4.4" x14ac:dyDescent="0.3"/>
  <cols>
    <col min="3" max="3" width="52.6640625" customWidth="1"/>
    <col min="4" max="5" width="18.6640625" customWidth="1"/>
    <col min="6" max="6" width="11.44140625" customWidth="1"/>
    <col min="7" max="7" width="10.6640625" customWidth="1"/>
    <col min="8" max="10" width="15.6640625" customWidth="1"/>
    <col min="11" max="11" width="10" customWidth="1"/>
    <col min="12" max="14" width="18.6640625" customWidth="1"/>
  </cols>
  <sheetData>
    <row r="1" spans="1:18" x14ac:dyDescent="0.3">
      <c r="A1" s="1" t="s">
        <v>582</v>
      </c>
    </row>
    <row r="3" spans="1:18" x14ac:dyDescent="0.3">
      <c r="B3" s="1" t="s">
        <v>158</v>
      </c>
      <c r="K3" s="1" t="s">
        <v>159</v>
      </c>
    </row>
    <row r="4" spans="1:18" x14ac:dyDescent="0.3">
      <c r="B4" s="293" t="s">
        <v>583</v>
      </c>
      <c r="C4" s="294"/>
      <c r="D4" s="295"/>
      <c r="E4" s="62" t="s">
        <v>584</v>
      </c>
      <c r="F4" s="63">
        <v>0.78</v>
      </c>
      <c r="G4" s="63">
        <v>0.63</v>
      </c>
      <c r="H4" s="64"/>
      <c r="I4" s="68"/>
      <c r="K4" s="62" t="s">
        <v>583</v>
      </c>
      <c r="L4" s="65"/>
      <c r="M4" s="65"/>
      <c r="N4" s="62" t="s">
        <v>584</v>
      </c>
      <c r="O4" s="63">
        <v>0.8</v>
      </c>
      <c r="P4" s="65" t="s">
        <v>585</v>
      </c>
      <c r="Q4" s="63">
        <v>0.6</v>
      </c>
      <c r="R4" s="68"/>
    </row>
    <row r="5" spans="1:18" x14ac:dyDescent="0.3">
      <c r="B5" s="66"/>
      <c r="C5" s="66" t="s">
        <v>156</v>
      </c>
      <c r="D5" s="66" t="s">
        <v>157</v>
      </c>
      <c r="E5" s="67" t="s">
        <v>586</v>
      </c>
      <c r="F5" s="68"/>
      <c r="G5" s="68"/>
      <c r="H5" s="68"/>
      <c r="I5" s="68"/>
      <c r="K5" s="66"/>
      <c r="L5" s="66" t="s">
        <v>156</v>
      </c>
      <c r="M5" s="66" t="s">
        <v>157</v>
      </c>
      <c r="N5" s="67" t="s">
        <v>586</v>
      </c>
      <c r="O5" s="68"/>
      <c r="P5" s="68"/>
      <c r="Q5" s="68"/>
      <c r="R5" s="68"/>
    </row>
    <row r="6" spans="1:18" x14ac:dyDescent="0.3">
      <c r="B6" s="69" t="s">
        <v>17</v>
      </c>
      <c r="C6" s="70">
        <v>0.44679690988242099</v>
      </c>
      <c r="D6" s="70">
        <v>0.71399200212462999</v>
      </c>
      <c r="E6" s="70">
        <v>0.27680422622696699</v>
      </c>
      <c r="F6" s="68"/>
      <c r="G6" s="68"/>
      <c r="H6" s="68"/>
      <c r="I6" s="68"/>
      <c r="K6" s="69" t="s">
        <v>17</v>
      </c>
      <c r="L6" s="70">
        <v>0.33412772176434502</v>
      </c>
      <c r="M6" s="70">
        <v>0.76680894421781154</v>
      </c>
      <c r="N6" s="70">
        <v>-0.20120632905317576</v>
      </c>
      <c r="O6" s="68"/>
      <c r="P6" s="68"/>
      <c r="Q6" s="68"/>
      <c r="R6" s="68"/>
    </row>
    <row r="7" spans="1:18" x14ac:dyDescent="0.3">
      <c r="B7" s="69" t="s">
        <v>18</v>
      </c>
      <c r="C7" s="70">
        <v>1.47419271662777E-2</v>
      </c>
      <c r="D7" s="70">
        <v>-6.1932559098847101E-3</v>
      </c>
      <c r="E7" s="70">
        <v>0.27037332727331598</v>
      </c>
      <c r="F7" s="68"/>
      <c r="G7" s="68"/>
      <c r="H7" s="68"/>
      <c r="I7" s="68"/>
      <c r="K7" s="69" t="s">
        <v>18</v>
      </c>
      <c r="L7" s="70">
        <v>2.1014608424837773E-2</v>
      </c>
      <c r="M7" s="70">
        <v>-2.4316835339511771E-2</v>
      </c>
      <c r="N7" s="70">
        <v>1.0939141395105423</v>
      </c>
      <c r="O7" s="68"/>
      <c r="P7" s="68"/>
      <c r="Q7" s="68"/>
      <c r="R7" s="68"/>
    </row>
    <row r="8" spans="1:18" x14ac:dyDescent="0.3">
      <c r="B8" s="69" t="s">
        <v>19</v>
      </c>
      <c r="C8" s="70">
        <v>1.3391357374503501E-4</v>
      </c>
      <c r="D8" s="70">
        <v>1.4909517640353701E-4</v>
      </c>
      <c r="E8" s="70">
        <v>0.37274466425643099</v>
      </c>
      <c r="F8" s="68"/>
      <c r="G8" s="68"/>
      <c r="H8" s="68"/>
      <c r="I8" s="68"/>
      <c r="K8" s="69" t="s">
        <v>19</v>
      </c>
      <c r="L8" s="70">
        <v>-1.023994952908939E-4</v>
      </c>
      <c r="M8" s="70">
        <v>2.61965669323118E-4</v>
      </c>
      <c r="N8" s="70">
        <v>0.1112859854753714</v>
      </c>
      <c r="O8" s="68"/>
      <c r="P8" s="68"/>
      <c r="Q8" s="68"/>
      <c r="R8" s="68"/>
    </row>
    <row r="9" spans="1:18" x14ac:dyDescent="0.3">
      <c r="B9" s="69" t="s">
        <v>20</v>
      </c>
      <c r="C9" s="70">
        <v>4.4024253465903702E-4</v>
      </c>
      <c r="D9" s="70">
        <v>3.0655298715052399E-3</v>
      </c>
      <c r="E9" s="70">
        <v>4.81928948948648E-3</v>
      </c>
      <c r="F9" s="68"/>
      <c r="G9" s="68"/>
      <c r="H9" s="68"/>
      <c r="I9" s="68"/>
      <c r="K9" s="69" t="s">
        <v>20</v>
      </c>
      <c r="L9" s="70">
        <v>-1.4070405108950496E-3</v>
      </c>
      <c r="M9" s="70">
        <v>7.4108876001356336E-3</v>
      </c>
      <c r="N9" s="70">
        <v>4.3863187303915668E-3</v>
      </c>
      <c r="O9" s="68"/>
      <c r="P9" s="68"/>
      <c r="Q9" s="68"/>
      <c r="R9" s="68"/>
    </row>
    <row r="10" spans="1:18" x14ac:dyDescent="0.3">
      <c r="B10" s="69" t="s">
        <v>21</v>
      </c>
      <c r="C10" s="70">
        <v>-1.52139492098685E-5</v>
      </c>
      <c r="D10" s="70">
        <v>1.67869430612176E-4</v>
      </c>
      <c r="E10" s="71">
        <v>-1.5556368261007101E-4</v>
      </c>
      <c r="F10" s="68"/>
      <c r="G10" s="68"/>
      <c r="H10" s="68"/>
      <c r="I10" s="68"/>
      <c r="K10" s="69" t="s">
        <v>21</v>
      </c>
      <c r="L10" s="70">
        <v>-2.8515679949124031E-5</v>
      </c>
      <c r="M10" s="70">
        <v>1.1771518494669272E-4</v>
      </c>
      <c r="N10" s="71">
        <v>5.4295132741123726E-8</v>
      </c>
      <c r="O10" s="68"/>
      <c r="P10" s="68"/>
      <c r="Q10" s="68"/>
      <c r="R10" s="68"/>
    </row>
    <row r="11" spans="1:18" x14ac:dyDescent="0.3">
      <c r="B11" s="69" t="s">
        <v>22</v>
      </c>
      <c r="C11" s="70">
        <v>-8.4706546324958497E-5</v>
      </c>
      <c r="D11" s="70">
        <v>-2.66796461498629E-4</v>
      </c>
      <c r="E11" s="71">
        <v>2.6072674467899899E-3</v>
      </c>
      <c r="F11" s="68"/>
      <c r="G11" s="68"/>
      <c r="H11" s="68"/>
      <c r="I11" s="68"/>
      <c r="K11" s="69" t="s">
        <v>22</v>
      </c>
      <c r="L11" s="70">
        <v>7.0706471984457265E-5</v>
      </c>
      <c r="M11" s="70">
        <v>-1.8202995620027876E-4</v>
      </c>
      <c r="N11" s="71">
        <v>-4.4602921532097975E-3</v>
      </c>
      <c r="O11" s="68"/>
      <c r="P11" s="68"/>
      <c r="Q11" s="68"/>
      <c r="R11" s="68"/>
    </row>
    <row r="12" spans="1:18" x14ac:dyDescent="0.3">
      <c r="B12" s="71"/>
      <c r="C12" s="71"/>
      <c r="D12" s="71"/>
      <c r="E12" s="68"/>
      <c r="F12" s="68"/>
      <c r="G12" s="68"/>
      <c r="H12" s="68"/>
      <c r="I12" s="68"/>
      <c r="K12" s="71"/>
      <c r="L12" s="71"/>
      <c r="M12" s="71"/>
      <c r="N12" s="68"/>
      <c r="O12" s="68"/>
      <c r="P12" s="68"/>
      <c r="Q12" s="68"/>
      <c r="R12" s="68"/>
    </row>
    <row r="13" spans="1:18" x14ac:dyDescent="0.3">
      <c r="B13" s="293" t="s">
        <v>587</v>
      </c>
      <c r="C13" s="294"/>
      <c r="D13" s="295"/>
      <c r="E13" s="62" t="s">
        <v>584</v>
      </c>
      <c r="F13" s="63">
        <v>0.77500000000000002</v>
      </c>
      <c r="G13" s="65" t="s">
        <v>585</v>
      </c>
      <c r="H13" s="65">
        <v>0.61499999999999999</v>
      </c>
      <c r="I13" s="68" t="s">
        <v>608</v>
      </c>
      <c r="K13" s="62" t="s">
        <v>587</v>
      </c>
      <c r="L13" s="65"/>
      <c r="M13" s="65"/>
      <c r="N13" s="62" t="s">
        <v>584</v>
      </c>
      <c r="O13" s="63">
        <v>0.79</v>
      </c>
      <c r="P13" s="65" t="s">
        <v>585</v>
      </c>
      <c r="Q13" s="65">
        <v>0.58599999999999997</v>
      </c>
      <c r="R13" s="68" t="s">
        <v>608</v>
      </c>
    </row>
    <row r="14" spans="1:18" x14ac:dyDescent="0.3">
      <c r="B14" s="66"/>
      <c r="C14" s="66" t="s">
        <v>156</v>
      </c>
      <c r="D14" s="66" t="s">
        <v>157</v>
      </c>
      <c r="E14" s="67" t="s">
        <v>586</v>
      </c>
      <c r="F14" s="68"/>
      <c r="G14" s="68"/>
      <c r="H14" s="68"/>
      <c r="I14" s="68"/>
      <c r="K14" s="66"/>
      <c r="L14" s="66" t="s">
        <v>156</v>
      </c>
      <c r="M14" s="66" t="s">
        <v>157</v>
      </c>
      <c r="N14" s="67" t="s">
        <v>586</v>
      </c>
      <c r="O14" s="68"/>
      <c r="P14" s="68"/>
      <c r="Q14" s="68"/>
      <c r="R14" s="68"/>
    </row>
    <row r="15" spans="1:18" x14ac:dyDescent="0.3">
      <c r="B15" s="69" t="s">
        <v>17</v>
      </c>
      <c r="C15" s="70">
        <v>0.44679690988242099</v>
      </c>
      <c r="D15" s="70">
        <v>0.71399200212462999</v>
      </c>
      <c r="E15" s="70">
        <v>0.27680422622696699</v>
      </c>
      <c r="F15" s="68"/>
      <c r="G15" s="68"/>
      <c r="H15" s="68"/>
      <c r="I15" s="68"/>
      <c r="K15" s="69" t="s">
        <v>17</v>
      </c>
      <c r="L15" s="70">
        <v>0.33412772176434502</v>
      </c>
      <c r="M15" s="70">
        <v>0.76680894421781154</v>
      </c>
      <c r="N15" s="70">
        <v>-0.20120632905317576</v>
      </c>
      <c r="O15" s="68"/>
      <c r="P15" s="68"/>
      <c r="Q15" s="68"/>
      <c r="R15" s="68"/>
    </row>
    <row r="16" spans="1:18" x14ac:dyDescent="0.3">
      <c r="B16" s="69" t="s">
        <v>18</v>
      </c>
      <c r="C16" s="70">
        <v>1.47419271662777E-2</v>
      </c>
      <c r="D16" s="70">
        <v>-6.1932559098847101E-3</v>
      </c>
      <c r="E16" s="70">
        <v>0.27037332727331598</v>
      </c>
      <c r="F16" s="68"/>
      <c r="G16" s="68"/>
      <c r="H16" s="68"/>
      <c r="I16" s="68"/>
      <c r="K16" s="69" t="s">
        <v>18</v>
      </c>
      <c r="L16" s="70">
        <v>2.1014608424837773E-2</v>
      </c>
      <c r="M16" s="70">
        <v>-2.4316835339511771E-2</v>
      </c>
      <c r="N16" s="70">
        <v>1.0939141395105423</v>
      </c>
      <c r="O16" s="68"/>
      <c r="P16" s="68"/>
      <c r="Q16" s="68"/>
      <c r="R16" s="68"/>
    </row>
    <row r="17" spans="2:18" x14ac:dyDescent="0.3">
      <c r="B17" s="69" t="s">
        <v>19</v>
      </c>
      <c r="C17" s="70">
        <v>1.3391357374503501E-4</v>
      </c>
      <c r="D17" s="70">
        <v>1.4909517640353701E-4</v>
      </c>
      <c r="E17" s="70">
        <v>0.37274466425643099</v>
      </c>
      <c r="F17" s="68"/>
      <c r="G17" s="68"/>
      <c r="H17" s="68"/>
      <c r="I17" s="68"/>
      <c r="K17" s="69" t="s">
        <v>19</v>
      </c>
      <c r="L17" s="70">
        <v>-1.023994952908939E-4</v>
      </c>
      <c r="M17" s="70">
        <v>2.61965669323118E-4</v>
      </c>
      <c r="N17" s="70">
        <v>0.1112859854753714</v>
      </c>
      <c r="O17" s="68"/>
      <c r="P17" s="68"/>
      <c r="Q17" s="68"/>
      <c r="R17" s="68"/>
    </row>
    <row r="18" spans="2:18" x14ac:dyDescent="0.3">
      <c r="B18" s="69" t="s">
        <v>20</v>
      </c>
      <c r="C18" s="70">
        <v>4.4024253465903702E-4</v>
      </c>
      <c r="D18" s="70">
        <v>3.0655298715052399E-3</v>
      </c>
      <c r="E18" s="70">
        <v>4.81928948948648E-3</v>
      </c>
      <c r="F18" s="68"/>
      <c r="G18" s="68"/>
      <c r="H18" s="68"/>
      <c r="I18" s="68"/>
      <c r="K18" s="69" t="s">
        <v>20</v>
      </c>
      <c r="L18" s="70">
        <v>-1.4070405108950496E-3</v>
      </c>
      <c r="M18" s="70">
        <v>7.4108876001356336E-3</v>
      </c>
      <c r="N18" s="70">
        <v>4.3863187303915668E-3</v>
      </c>
      <c r="O18" s="68"/>
      <c r="P18" s="68"/>
      <c r="Q18" s="68"/>
      <c r="R18" s="68"/>
    </row>
    <row r="19" spans="2:18" x14ac:dyDescent="0.3">
      <c r="B19" s="69" t="s">
        <v>21</v>
      </c>
      <c r="C19" s="70">
        <v>-1.52139492098685E-5</v>
      </c>
      <c r="D19" s="70">
        <v>1.67869430612176E-4</v>
      </c>
      <c r="E19" s="71">
        <v>-1.5556368261007101E-4</v>
      </c>
      <c r="F19" s="68"/>
      <c r="G19" s="68"/>
      <c r="H19" s="68"/>
      <c r="I19" s="68"/>
      <c r="K19" s="69" t="s">
        <v>21</v>
      </c>
      <c r="L19" s="70">
        <v>-2.8515679949124031E-5</v>
      </c>
      <c r="M19" s="70">
        <v>1.1771518494669272E-4</v>
      </c>
      <c r="N19" s="71">
        <v>5.4295132741123726E-8</v>
      </c>
      <c r="O19" s="68"/>
      <c r="P19" s="68"/>
      <c r="Q19" s="68"/>
      <c r="R19" s="68"/>
    </row>
    <row r="20" spans="2:18" x14ac:dyDescent="0.3">
      <c r="B20" s="69" t="s">
        <v>22</v>
      </c>
      <c r="C20" s="70">
        <v>-8.4706546324958497E-5</v>
      </c>
      <c r="D20" s="70">
        <v>-2.66796461498629E-4</v>
      </c>
      <c r="E20" s="71">
        <v>2.6072674467899899E-3</v>
      </c>
      <c r="F20" s="68"/>
      <c r="G20" s="68"/>
      <c r="H20" s="68"/>
      <c r="I20" s="68"/>
      <c r="K20" s="69" t="s">
        <v>22</v>
      </c>
      <c r="L20" s="70">
        <v>7.0706471984457265E-5</v>
      </c>
      <c r="M20" s="70">
        <v>-1.8202995620027876E-4</v>
      </c>
      <c r="N20" s="71">
        <v>-4.4602921532097975E-3</v>
      </c>
      <c r="O20" s="68"/>
      <c r="P20" s="68"/>
      <c r="Q20" s="68"/>
      <c r="R20" s="68"/>
    </row>
    <row r="21" spans="2:18" x14ac:dyDescent="0.3">
      <c r="B21" s="71"/>
      <c r="C21" s="71"/>
      <c r="D21" s="71"/>
      <c r="E21" s="68"/>
      <c r="F21" s="68"/>
      <c r="G21" s="68"/>
      <c r="H21" s="68"/>
      <c r="I21" s="68"/>
      <c r="K21" s="71"/>
      <c r="L21" s="71"/>
      <c r="M21" s="71"/>
      <c r="N21" s="68"/>
      <c r="O21" s="68"/>
      <c r="P21" s="68"/>
      <c r="Q21" s="68"/>
      <c r="R21" s="68"/>
    </row>
    <row r="22" spans="2:18" x14ac:dyDescent="0.3">
      <c r="B22" s="293" t="s">
        <v>588</v>
      </c>
      <c r="C22" s="294"/>
      <c r="D22" s="295"/>
      <c r="E22" s="62" t="s">
        <v>584</v>
      </c>
      <c r="F22" s="63">
        <v>0.68</v>
      </c>
      <c r="G22" s="65" t="s">
        <v>585</v>
      </c>
      <c r="H22" s="63">
        <v>0.57999999999999996</v>
      </c>
      <c r="I22" s="68" t="s">
        <v>608</v>
      </c>
      <c r="K22" s="62" t="s">
        <v>588</v>
      </c>
      <c r="L22" s="65"/>
      <c r="M22" s="65"/>
      <c r="N22" s="62" t="s">
        <v>584</v>
      </c>
      <c r="O22" s="63">
        <v>0.71799999999999997</v>
      </c>
      <c r="P22" s="65" t="s">
        <v>585</v>
      </c>
      <c r="Q22" s="63">
        <v>0.54</v>
      </c>
      <c r="R22" s="68" t="s">
        <v>608</v>
      </c>
    </row>
    <row r="23" spans="2:18" x14ac:dyDescent="0.3">
      <c r="B23" s="66"/>
      <c r="C23" s="66" t="s">
        <v>156</v>
      </c>
      <c r="D23" s="66" t="s">
        <v>157</v>
      </c>
      <c r="E23" s="67" t="s">
        <v>586</v>
      </c>
      <c r="F23" s="68"/>
      <c r="G23" s="68"/>
      <c r="H23" s="68"/>
      <c r="I23" s="68"/>
      <c r="K23" s="66"/>
      <c r="L23" s="66" t="s">
        <v>156</v>
      </c>
      <c r="M23" s="66" t="s">
        <v>157</v>
      </c>
      <c r="N23" s="67" t="s">
        <v>586</v>
      </c>
      <c r="O23" s="68"/>
      <c r="P23" s="68"/>
      <c r="Q23" s="68"/>
      <c r="R23" s="68"/>
    </row>
    <row r="24" spans="2:18" x14ac:dyDescent="0.3">
      <c r="B24" s="69" t="s">
        <v>17</v>
      </c>
      <c r="C24" s="70">
        <v>0.44679690988242099</v>
      </c>
      <c r="D24" s="70">
        <v>0.71399200212462999</v>
      </c>
      <c r="E24" s="70">
        <v>0.27680422622696699</v>
      </c>
      <c r="F24" s="68"/>
      <c r="G24" s="68"/>
      <c r="H24" s="68"/>
      <c r="I24" s="68"/>
      <c r="K24" s="69" t="s">
        <v>17</v>
      </c>
      <c r="L24" s="70">
        <v>0.33412772176434502</v>
      </c>
      <c r="M24" s="70">
        <v>0.76680894421781154</v>
      </c>
      <c r="N24" s="70">
        <v>-0.20120632905317576</v>
      </c>
      <c r="O24" s="68"/>
      <c r="P24" s="68"/>
      <c r="Q24" s="68"/>
      <c r="R24" s="68"/>
    </row>
    <row r="25" spans="2:18" x14ac:dyDescent="0.3">
      <c r="B25" s="69" t="s">
        <v>18</v>
      </c>
      <c r="C25" s="70">
        <v>1.47419271662777E-2</v>
      </c>
      <c r="D25" s="70">
        <v>-6.1932559098847101E-3</v>
      </c>
      <c r="E25" s="70">
        <v>0.27037332727331598</v>
      </c>
      <c r="F25" s="68"/>
      <c r="G25" s="68"/>
      <c r="H25" s="68"/>
      <c r="I25" s="68"/>
      <c r="K25" s="69" t="s">
        <v>18</v>
      </c>
      <c r="L25" s="70">
        <v>2.1014608424837773E-2</v>
      </c>
      <c r="M25" s="70">
        <v>-2.4316835339511771E-2</v>
      </c>
      <c r="N25" s="70">
        <v>1.0939141395105423</v>
      </c>
      <c r="O25" s="68"/>
      <c r="P25" s="68"/>
      <c r="Q25" s="68"/>
      <c r="R25" s="68"/>
    </row>
    <row r="26" spans="2:18" x14ac:dyDescent="0.3">
      <c r="B26" s="69" t="s">
        <v>19</v>
      </c>
      <c r="C26" s="70">
        <v>1.3391357374503501E-4</v>
      </c>
      <c r="D26" s="70">
        <v>1.4909517640353701E-4</v>
      </c>
      <c r="E26" s="70">
        <v>0.37274466425643099</v>
      </c>
      <c r="F26" s="68"/>
      <c r="G26" s="68"/>
      <c r="H26" s="68"/>
      <c r="I26" s="68"/>
      <c r="K26" s="69" t="s">
        <v>19</v>
      </c>
      <c r="L26" s="70">
        <v>-1.023994952908939E-4</v>
      </c>
      <c r="M26" s="70">
        <v>2.61965669323118E-4</v>
      </c>
      <c r="N26" s="70">
        <v>0.1112859854753714</v>
      </c>
      <c r="O26" s="68"/>
      <c r="P26" s="68"/>
      <c r="Q26" s="68"/>
      <c r="R26" s="68"/>
    </row>
    <row r="27" spans="2:18" x14ac:dyDescent="0.3">
      <c r="B27" s="69" t="s">
        <v>20</v>
      </c>
      <c r="C27" s="70">
        <v>4.4024253465903702E-4</v>
      </c>
      <c r="D27" s="70">
        <v>3.0655298715052399E-3</v>
      </c>
      <c r="E27" s="70">
        <v>4.81928948948648E-3</v>
      </c>
      <c r="F27" s="68"/>
      <c r="G27" s="68"/>
      <c r="H27" s="68"/>
      <c r="I27" s="68"/>
      <c r="K27" s="69" t="s">
        <v>20</v>
      </c>
      <c r="L27" s="70">
        <v>-1.4070405108950496E-3</v>
      </c>
      <c r="M27" s="70">
        <v>7.4108876001356336E-3</v>
      </c>
      <c r="N27" s="70">
        <v>4.3863187303915668E-3</v>
      </c>
      <c r="O27" s="68"/>
      <c r="P27" s="68"/>
      <c r="Q27" s="68"/>
      <c r="R27" s="68"/>
    </row>
    <row r="28" spans="2:18" x14ac:dyDescent="0.3">
      <c r="B28" s="69" t="s">
        <v>21</v>
      </c>
      <c r="C28" s="70">
        <v>-1.52139492098685E-5</v>
      </c>
      <c r="D28" s="70">
        <v>1.67869430612176E-4</v>
      </c>
      <c r="E28" s="71">
        <v>-1.5556368261007101E-4</v>
      </c>
      <c r="F28" s="68"/>
      <c r="G28" s="68"/>
      <c r="H28" s="68"/>
      <c r="I28" s="68"/>
      <c r="K28" s="69" t="s">
        <v>21</v>
      </c>
      <c r="L28" s="70">
        <v>-2.8515679949124031E-5</v>
      </c>
      <c r="M28" s="70">
        <v>1.1771518494669272E-4</v>
      </c>
      <c r="N28" s="71">
        <v>5.4295132741123726E-8</v>
      </c>
      <c r="O28" s="68"/>
      <c r="P28" s="68"/>
      <c r="Q28" s="68"/>
      <c r="R28" s="68"/>
    </row>
    <row r="29" spans="2:18" x14ac:dyDescent="0.3">
      <c r="B29" s="69" t="s">
        <v>22</v>
      </c>
      <c r="C29" s="70">
        <v>-8.4706546324958497E-5</v>
      </c>
      <c r="D29" s="70">
        <v>-2.66796461498629E-4</v>
      </c>
      <c r="E29" s="71">
        <v>2.6072674467899899E-3</v>
      </c>
      <c r="F29" s="68"/>
      <c r="G29" s="68"/>
      <c r="H29" s="68"/>
      <c r="I29" s="68"/>
      <c r="K29" s="69" t="s">
        <v>22</v>
      </c>
      <c r="L29" s="70">
        <v>7.0706471984457265E-5</v>
      </c>
      <c r="M29" s="70">
        <v>-1.8202995620027876E-4</v>
      </c>
      <c r="N29" s="71">
        <v>-4.4602921532097975E-3</v>
      </c>
      <c r="O29" s="68"/>
      <c r="P29" s="68"/>
      <c r="Q29" s="68"/>
      <c r="R29" s="68"/>
    </row>
    <row r="30" spans="2:18" x14ac:dyDescent="0.3">
      <c r="B30" s="71"/>
      <c r="C30" s="71"/>
      <c r="D30" s="71"/>
      <c r="E30" s="68"/>
      <c r="F30" s="68"/>
      <c r="G30" s="68"/>
      <c r="H30" s="68"/>
      <c r="I30" s="68"/>
      <c r="K30" s="71"/>
      <c r="L30" s="71"/>
      <c r="M30" s="71"/>
      <c r="N30" s="68"/>
      <c r="O30" s="68"/>
      <c r="P30" s="68"/>
      <c r="Q30" s="68"/>
      <c r="R30" s="68"/>
    </row>
    <row r="31" spans="2:18" x14ac:dyDescent="0.3">
      <c r="B31" s="293" t="s">
        <v>589</v>
      </c>
      <c r="C31" s="294"/>
      <c r="D31" s="295"/>
      <c r="E31" s="62" t="s">
        <v>584</v>
      </c>
      <c r="F31" s="63">
        <v>0.62</v>
      </c>
      <c r="G31" s="65" t="s">
        <v>585</v>
      </c>
      <c r="H31" s="63">
        <v>0.54</v>
      </c>
      <c r="I31" s="68" t="s">
        <v>608</v>
      </c>
      <c r="K31" s="62" t="s">
        <v>589</v>
      </c>
      <c r="L31" s="65"/>
      <c r="M31" s="65"/>
      <c r="N31" s="62" t="s">
        <v>584</v>
      </c>
      <c r="O31" s="63">
        <v>0.63900000000000001</v>
      </c>
      <c r="P31" s="65" t="s">
        <v>585</v>
      </c>
      <c r="Q31" s="63">
        <v>0.49</v>
      </c>
      <c r="R31" s="68" t="s">
        <v>608</v>
      </c>
    </row>
    <row r="32" spans="2:18" x14ac:dyDescent="0.3">
      <c r="B32" s="66"/>
      <c r="C32" s="66" t="s">
        <v>156</v>
      </c>
      <c r="D32" s="66" t="s">
        <v>157</v>
      </c>
      <c r="E32" s="67" t="s">
        <v>586</v>
      </c>
      <c r="F32" s="68"/>
      <c r="G32" s="68"/>
      <c r="H32" s="68"/>
      <c r="I32" s="68"/>
      <c r="K32" s="66"/>
      <c r="L32" s="66" t="s">
        <v>156</v>
      </c>
      <c r="M32" s="66" t="s">
        <v>157</v>
      </c>
      <c r="N32" s="67" t="s">
        <v>586</v>
      </c>
      <c r="O32" s="68"/>
      <c r="P32" s="68"/>
      <c r="Q32" s="68"/>
      <c r="R32" s="68"/>
    </row>
    <row r="33" spans="2:18" x14ac:dyDescent="0.3">
      <c r="B33" s="69" t="s">
        <v>17</v>
      </c>
      <c r="C33" s="70">
        <v>0.44679690988242099</v>
      </c>
      <c r="D33" s="70">
        <v>0.71399200212462999</v>
      </c>
      <c r="E33" s="70">
        <v>0.27680422622696699</v>
      </c>
      <c r="F33" s="68"/>
      <c r="G33" s="68"/>
      <c r="H33" s="68"/>
      <c r="I33" s="68"/>
      <c r="K33" s="69" t="s">
        <v>17</v>
      </c>
      <c r="L33" s="70">
        <v>0.33412772176434502</v>
      </c>
      <c r="M33" s="70">
        <v>0.76680894421781154</v>
      </c>
      <c r="N33" s="70">
        <v>-0.20120632905317576</v>
      </c>
      <c r="O33" s="68"/>
      <c r="P33" s="68"/>
      <c r="Q33" s="68"/>
      <c r="R33" s="68"/>
    </row>
    <row r="34" spans="2:18" x14ac:dyDescent="0.3">
      <c r="B34" s="69" t="s">
        <v>18</v>
      </c>
      <c r="C34" s="70">
        <v>1.47419271662777E-2</v>
      </c>
      <c r="D34" s="70">
        <v>-6.1932559098847101E-3</v>
      </c>
      <c r="E34" s="70">
        <v>0.27037332727331598</v>
      </c>
      <c r="F34" s="68"/>
      <c r="G34" s="68"/>
      <c r="H34" s="68"/>
      <c r="I34" s="68"/>
      <c r="K34" s="69" t="s">
        <v>18</v>
      </c>
      <c r="L34" s="70">
        <v>2.1014608424837773E-2</v>
      </c>
      <c r="M34" s="70">
        <v>-2.4316835339511771E-2</v>
      </c>
      <c r="N34" s="70">
        <v>1.0939141395105423</v>
      </c>
      <c r="O34" s="68"/>
      <c r="P34" s="68"/>
      <c r="Q34" s="68"/>
      <c r="R34" s="68"/>
    </row>
    <row r="35" spans="2:18" x14ac:dyDescent="0.3">
      <c r="B35" s="69" t="s">
        <v>19</v>
      </c>
      <c r="C35" s="70">
        <v>1.3391357374503501E-4</v>
      </c>
      <c r="D35" s="70">
        <v>1.4909517640353701E-4</v>
      </c>
      <c r="E35" s="70">
        <v>0.37274466425643099</v>
      </c>
      <c r="F35" s="68"/>
      <c r="G35" s="68"/>
      <c r="H35" s="68"/>
      <c r="I35" s="68"/>
      <c r="K35" s="69" t="s">
        <v>19</v>
      </c>
      <c r="L35" s="70">
        <v>-1.023994952908939E-4</v>
      </c>
      <c r="M35" s="70">
        <v>2.61965669323118E-4</v>
      </c>
      <c r="N35" s="70">
        <v>0.1112859854753714</v>
      </c>
      <c r="O35" s="68"/>
      <c r="P35" s="68"/>
      <c r="Q35" s="68"/>
      <c r="R35" s="68"/>
    </row>
    <row r="36" spans="2:18" x14ac:dyDescent="0.3">
      <c r="B36" s="69" t="s">
        <v>20</v>
      </c>
      <c r="C36" s="70">
        <v>4.4024253465903702E-4</v>
      </c>
      <c r="D36" s="70">
        <v>3.0655298715052399E-3</v>
      </c>
      <c r="E36" s="70">
        <v>4.81928948948648E-3</v>
      </c>
      <c r="F36" s="68"/>
      <c r="G36" s="68"/>
      <c r="H36" s="68"/>
      <c r="I36" s="68"/>
      <c r="K36" s="69" t="s">
        <v>20</v>
      </c>
      <c r="L36" s="70">
        <v>-1.4070405108950496E-3</v>
      </c>
      <c r="M36" s="70">
        <v>7.4108876001356336E-3</v>
      </c>
      <c r="N36" s="70">
        <v>4.3863187303915668E-3</v>
      </c>
      <c r="O36" s="68"/>
      <c r="P36" s="68"/>
      <c r="Q36" s="68"/>
      <c r="R36" s="68"/>
    </row>
    <row r="37" spans="2:18" x14ac:dyDescent="0.3">
      <c r="B37" s="69" t="s">
        <v>21</v>
      </c>
      <c r="C37" s="70">
        <v>-1.52139492098685E-5</v>
      </c>
      <c r="D37" s="70">
        <v>1.67869430612176E-4</v>
      </c>
      <c r="E37" s="71">
        <v>-1.5556368261007101E-4</v>
      </c>
      <c r="F37" s="68"/>
      <c r="G37" s="68"/>
      <c r="H37" s="68"/>
      <c r="I37" s="68"/>
      <c r="K37" s="69" t="s">
        <v>21</v>
      </c>
      <c r="L37" s="70">
        <v>-2.8515679949124031E-5</v>
      </c>
      <c r="M37" s="70">
        <v>1.1771518494669272E-4</v>
      </c>
      <c r="N37" s="71">
        <v>5.4295132741123726E-8</v>
      </c>
      <c r="O37" s="68"/>
      <c r="P37" s="68"/>
      <c r="Q37" s="68"/>
      <c r="R37" s="68"/>
    </row>
    <row r="38" spans="2:18" x14ac:dyDescent="0.3">
      <c r="B38" s="69" t="s">
        <v>22</v>
      </c>
      <c r="C38" s="70">
        <v>-8.4706546324958497E-5</v>
      </c>
      <c r="D38" s="70">
        <v>-2.66796461498629E-4</v>
      </c>
      <c r="E38" s="71">
        <v>2.6072674467899899E-3</v>
      </c>
      <c r="F38" s="68"/>
      <c r="G38" s="68"/>
      <c r="H38" s="68"/>
      <c r="I38" s="68"/>
      <c r="K38" s="69" t="s">
        <v>22</v>
      </c>
      <c r="L38" s="70">
        <v>7.0706471984457265E-5</v>
      </c>
      <c r="M38" s="70">
        <v>-1.8202995620027876E-4</v>
      </c>
      <c r="N38" s="71">
        <v>-4.4602921532097975E-3</v>
      </c>
      <c r="O38" s="68"/>
      <c r="P38" s="68"/>
      <c r="Q38" s="68"/>
      <c r="R38" s="68"/>
    </row>
    <row r="39" spans="2:18" x14ac:dyDescent="0.3">
      <c r="B39" s="71"/>
      <c r="C39" s="71"/>
      <c r="D39" s="71"/>
      <c r="E39" s="68"/>
      <c r="F39" s="68"/>
      <c r="G39" s="68"/>
      <c r="H39" s="68"/>
      <c r="I39" s="68"/>
      <c r="K39" s="71"/>
      <c r="L39" s="71"/>
      <c r="M39" s="71"/>
      <c r="N39" s="68"/>
      <c r="O39" s="68"/>
      <c r="P39" s="68"/>
      <c r="Q39" s="68"/>
      <c r="R39" s="68"/>
    </row>
    <row r="40" spans="2:18" x14ac:dyDescent="0.3">
      <c r="B40" s="293" t="s">
        <v>590</v>
      </c>
      <c r="C40" s="294"/>
      <c r="D40" s="295"/>
      <c r="E40" s="62" t="s">
        <v>584</v>
      </c>
      <c r="F40" s="63">
        <v>0.63400000000000001</v>
      </c>
      <c r="G40" s="65" t="s">
        <v>585</v>
      </c>
      <c r="H40" s="63">
        <v>0.59599999999999997</v>
      </c>
      <c r="I40" s="68"/>
      <c r="K40" s="62" t="s">
        <v>590</v>
      </c>
      <c r="L40" s="65"/>
      <c r="M40" s="65"/>
      <c r="N40" s="62" t="s">
        <v>584</v>
      </c>
      <c r="O40" s="63">
        <v>0.63900000000000001</v>
      </c>
      <c r="P40" s="65" t="s">
        <v>585</v>
      </c>
      <c r="Q40" s="63">
        <v>0.45</v>
      </c>
      <c r="R40" s="68"/>
    </row>
    <row r="41" spans="2:18" x14ac:dyDescent="0.3">
      <c r="B41" s="66"/>
      <c r="C41" s="66" t="s">
        <v>156</v>
      </c>
      <c r="D41" s="66" t="s">
        <v>157</v>
      </c>
      <c r="E41" s="67" t="s">
        <v>586</v>
      </c>
      <c r="F41" s="68"/>
      <c r="G41" s="68"/>
      <c r="H41" s="68"/>
      <c r="I41" s="68"/>
      <c r="K41" s="66"/>
      <c r="L41" s="66" t="s">
        <v>156</v>
      </c>
      <c r="M41" s="66" t="s">
        <v>157</v>
      </c>
      <c r="N41" s="67" t="s">
        <v>586</v>
      </c>
      <c r="O41" s="68"/>
      <c r="P41" s="68"/>
      <c r="Q41" s="68"/>
      <c r="R41" s="68"/>
    </row>
    <row r="42" spans="2:18" x14ac:dyDescent="0.3">
      <c r="B42" s="69" t="s">
        <v>17</v>
      </c>
      <c r="C42" s="70">
        <v>-0.49737319000000002</v>
      </c>
      <c r="D42" s="70">
        <v>1.1536154700000001</v>
      </c>
      <c r="E42" s="70">
        <v>0.27969645999999998</v>
      </c>
      <c r="F42" s="68"/>
      <c r="G42" s="68"/>
      <c r="H42" s="68"/>
      <c r="I42" s="68"/>
      <c r="K42" s="69" t="s">
        <v>17</v>
      </c>
      <c r="L42" s="70">
        <v>0.180980075767812</v>
      </c>
      <c r="M42" s="70">
        <v>0.87311405327851699</v>
      </c>
      <c r="N42" s="70">
        <v>9.9220759266582005E-3</v>
      </c>
      <c r="O42" s="68"/>
      <c r="P42" s="68"/>
      <c r="Q42" s="68"/>
      <c r="R42" s="68"/>
    </row>
    <row r="43" spans="2:18" x14ac:dyDescent="0.3">
      <c r="B43" s="69" t="s">
        <v>18</v>
      </c>
      <c r="C43" s="70">
        <v>-9.5607299999999999E-3</v>
      </c>
      <c r="D43" s="70">
        <v>-3.067901E-2</v>
      </c>
      <c r="E43" s="70">
        <v>0.57375735000000005</v>
      </c>
      <c r="F43" s="68"/>
      <c r="G43" s="68"/>
      <c r="H43" s="68"/>
      <c r="I43" s="68"/>
      <c r="K43" s="69" t="s">
        <v>18</v>
      </c>
      <c r="L43" s="70">
        <v>3.1844233813172598E-2</v>
      </c>
      <c r="M43" s="70">
        <v>-2.5207557562157701E-2</v>
      </c>
      <c r="N43" s="70">
        <v>5.4002044968155999E-2</v>
      </c>
      <c r="O43" s="68"/>
      <c r="P43" s="68"/>
      <c r="Q43" s="68"/>
      <c r="R43" s="68"/>
    </row>
    <row r="44" spans="2:18" x14ac:dyDescent="0.3">
      <c r="B44" s="69" t="s">
        <v>19</v>
      </c>
      <c r="C44" s="70">
        <v>-5.9561E-4</v>
      </c>
      <c r="D44" s="70">
        <v>3.0591E-4</v>
      </c>
      <c r="E44" s="70">
        <v>0.25690463000000002</v>
      </c>
      <c r="F44" s="68"/>
      <c r="G44" s="68"/>
      <c r="H44" s="68"/>
      <c r="I44" s="68"/>
      <c r="K44" s="69" t="s">
        <v>19</v>
      </c>
      <c r="L44" s="70">
        <v>-1.54148946419477E-4</v>
      </c>
      <c r="M44" s="70">
        <v>3.6861623771618403E-4</v>
      </c>
      <c r="N44" s="70">
        <v>0.91845464841410596</v>
      </c>
      <c r="O44" s="68"/>
      <c r="P44" s="68"/>
      <c r="Q44" s="68"/>
      <c r="R44" s="68"/>
    </row>
    <row r="45" spans="2:18" x14ac:dyDescent="0.3">
      <c r="B45" s="69" t="s">
        <v>20</v>
      </c>
      <c r="C45" s="70">
        <v>4.3520990000000002E-2</v>
      </c>
      <c r="D45" s="70">
        <v>6.7087400000000004E-3</v>
      </c>
      <c r="E45" s="70">
        <v>-5.8071700000000004E-3</v>
      </c>
      <c r="F45" s="68"/>
      <c r="G45" s="68"/>
      <c r="H45" s="68"/>
      <c r="I45" s="68"/>
      <c r="K45" s="69" t="s">
        <v>20</v>
      </c>
      <c r="L45" s="70">
        <v>9.5659058164194507E-3</v>
      </c>
      <c r="M45" s="70">
        <v>1.8292090581261401E-2</v>
      </c>
      <c r="N45" s="70">
        <v>1.05967474705167E-2</v>
      </c>
      <c r="O45" s="68"/>
      <c r="P45" s="68"/>
      <c r="Q45" s="68"/>
      <c r="R45" s="68"/>
    </row>
    <row r="46" spans="2:18" x14ac:dyDescent="0.3">
      <c r="B46" s="69" t="s">
        <v>21</v>
      </c>
      <c r="C46" s="70">
        <v>-5.8394000000000002E-4</v>
      </c>
      <c r="D46" s="70">
        <v>5.2800000000000003E-5</v>
      </c>
      <c r="E46" s="71">
        <v>1.4648999999999999E-4</v>
      </c>
      <c r="F46" s="68"/>
      <c r="G46" s="68"/>
      <c r="H46" s="68"/>
      <c r="I46" s="68"/>
      <c r="K46" s="69" t="s">
        <v>21</v>
      </c>
      <c r="L46" s="70">
        <v>-1.3547016191585101E-4</v>
      </c>
      <c r="M46" s="70">
        <v>4.7034677075395002E-5</v>
      </c>
      <c r="N46" s="71">
        <v>-3.3669177553959002E-5</v>
      </c>
      <c r="O46" s="68"/>
      <c r="P46" s="68"/>
      <c r="Q46" s="68"/>
      <c r="R46" s="68"/>
    </row>
    <row r="47" spans="2:18" x14ac:dyDescent="0.3">
      <c r="B47" s="69" t="s">
        <v>22</v>
      </c>
      <c r="C47" s="70">
        <v>9.6007000000000004E-4</v>
      </c>
      <c r="D47" s="70">
        <v>-9.2969999999999999E-5</v>
      </c>
      <c r="E47" s="71">
        <v>-3.5300700000000002E-3</v>
      </c>
      <c r="F47" s="68"/>
      <c r="G47" s="68"/>
      <c r="H47" s="68"/>
      <c r="I47" s="68"/>
      <c r="K47" s="69" t="s">
        <v>22</v>
      </c>
      <c r="L47" s="70">
        <v>-5.3197437829929998E-5</v>
      </c>
      <c r="M47" s="70">
        <v>-3.5765587731861101E-4</v>
      </c>
      <c r="N47" s="71">
        <v>-8.7703099683978901E-3</v>
      </c>
      <c r="O47" s="68"/>
      <c r="P47" s="68"/>
      <c r="Q47" s="68"/>
      <c r="R47" s="68"/>
    </row>
    <row r="48" spans="2:18" x14ac:dyDescent="0.3">
      <c r="B48" s="72"/>
      <c r="C48" s="73"/>
      <c r="D48" s="73"/>
      <c r="E48" s="68"/>
      <c r="F48" s="68"/>
      <c r="G48" s="68"/>
      <c r="H48" s="68"/>
      <c r="I48" s="68"/>
      <c r="K48" s="72"/>
      <c r="L48" s="73"/>
      <c r="M48" s="73"/>
      <c r="N48" s="68"/>
      <c r="O48" s="68"/>
      <c r="P48" s="68"/>
      <c r="Q48" s="68"/>
      <c r="R48" s="68"/>
    </row>
    <row r="49" spans="2:18" x14ac:dyDescent="0.3">
      <c r="B49" s="293" t="s">
        <v>591</v>
      </c>
      <c r="C49" s="294"/>
      <c r="D49" s="295"/>
      <c r="E49" s="62" t="s">
        <v>584</v>
      </c>
      <c r="F49" s="63">
        <v>0.63400000000000001</v>
      </c>
      <c r="G49" s="65" t="s">
        <v>585</v>
      </c>
      <c r="H49" s="63">
        <f>12/(5.9*3.415)</f>
        <v>0.59557783457825642</v>
      </c>
      <c r="I49" s="68" t="s">
        <v>609</v>
      </c>
      <c r="K49" s="62" t="s">
        <v>591</v>
      </c>
      <c r="L49" s="65"/>
      <c r="M49" s="65"/>
      <c r="N49" s="62" t="s">
        <v>584</v>
      </c>
      <c r="O49" s="63">
        <v>0.63900000000000001</v>
      </c>
      <c r="P49" s="65" t="s">
        <v>585</v>
      </c>
      <c r="Q49" s="63">
        <v>0.45</v>
      </c>
      <c r="R49" s="68" t="s">
        <v>609</v>
      </c>
    </row>
    <row r="50" spans="2:18" x14ac:dyDescent="0.3">
      <c r="B50" s="66"/>
      <c r="C50" s="66" t="s">
        <v>156</v>
      </c>
      <c r="D50" s="66" t="s">
        <v>157</v>
      </c>
      <c r="E50" s="67" t="s">
        <v>586</v>
      </c>
      <c r="F50" s="68"/>
      <c r="G50" s="68"/>
      <c r="H50" s="68"/>
      <c r="I50" s="68"/>
      <c r="K50" s="66"/>
      <c r="L50" s="66" t="s">
        <v>156</v>
      </c>
      <c r="M50" s="66" t="s">
        <v>157</v>
      </c>
      <c r="N50" s="67" t="s">
        <v>586</v>
      </c>
      <c r="O50" s="68"/>
      <c r="P50" s="68"/>
      <c r="Q50" s="68"/>
      <c r="R50" s="68"/>
    </row>
    <row r="51" spans="2:18" x14ac:dyDescent="0.3">
      <c r="B51" s="69" t="s">
        <v>17</v>
      </c>
      <c r="C51" s="70">
        <v>-0.49737319000000002</v>
      </c>
      <c r="D51" s="70">
        <v>1.1536154700000001</v>
      </c>
      <c r="E51" s="70">
        <v>0.27969645999999998</v>
      </c>
      <c r="F51" s="68"/>
      <c r="G51" s="68"/>
      <c r="H51" s="68"/>
      <c r="I51" s="68"/>
      <c r="K51" s="69" t="s">
        <v>17</v>
      </c>
      <c r="L51" s="70">
        <v>0.180980075767812</v>
      </c>
      <c r="M51" s="70">
        <v>0.87311405327851699</v>
      </c>
      <c r="N51" s="70">
        <v>9.9220759266582005E-3</v>
      </c>
      <c r="O51" s="68"/>
      <c r="P51" s="68"/>
      <c r="Q51" s="68"/>
      <c r="R51" s="68"/>
    </row>
    <row r="52" spans="2:18" x14ac:dyDescent="0.3">
      <c r="B52" s="69" t="s">
        <v>18</v>
      </c>
      <c r="C52" s="70">
        <v>-9.5607299999999999E-3</v>
      </c>
      <c r="D52" s="70">
        <v>-3.067901E-2</v>
      </c>
      <c r="E52" s="70">
        <v>0.57375735000000005</v>
      </c>
      <c r="F52" s="68"/>
      <c r="G52" s="68"/>
      <c r="H52" s="68"/>
      <c r="I52" s="68"/>
      <c r="K52" s="69" t="s">
        <v>18</v>
      </c>
      <c r="L52" s="70">
        <v>3.1844233813172598E-2</v>
      </c>
      <c r="M52" s="70">
        <v>-2.5207557562157701E-2</v>
      </c>
      <c r="N52" s="70">
        <v>5.4002044968155999E-2</v>
      </c>
      <c r="O52" s="68"/>
      <c r="P52" s="68"/>
      <c r="Q52" s="68"/>
      <c r="R52" s="68"/>
    </row>
    <row r="53" spans="2:18" x14ac:dyDescent="0.3">
      <c r="B53" s="69" t="s">
        <v>19</v>
      </c>
      <c r="C53" s="70">
        <v>-5.9561E-4</v>
      </c>
      <c r="D53" s="70">
        <v>3.0591E-4</v>
      </c>
      <c r="E53" s="70">
        <v>0.25690463000000002</v>
      </c>
      <c r="F53" s="68"/>
      <c r="G53" s="68"/>
      <c r="H53" s="68"/>
      <c r="I53" s="68"/>
      <c r="K53" s="69" t="s">
        <v>19</v>
      </c>
      <c r="L53" s="70">
        <v>-1.54148946419477E-4</v>
      </c>
      <c r="M53" s="70">
        <v>3.6861623771618403E-4</v>
      </c>
      <c r="N53" s="70">
        <v>0.91845464841410596</v>
      </c>
      <c r="O53" s="68"/>
      <c r="P53" s="68"/>
      <c r="Q53" s="68"/>
      <c r="R53" s="68"/>
    </row>
    <row r="54" spans="2:18" x14ac:dyDescent="0.3">
      <c r="B54" s="69" t="s">
        <v>20</v>
      </c>
      <c r="C54" s="70">
        <v>4.3520990000000002E-2</v>
      </c>
      <c r="D54" s="70">
        <v>6.7087400000000004E-3</v>
      </c>
      <c r="E54" s="70">
        <v>-5.8071700000000004E-3</v>
      </c>
      <c r="F54" s="68"/>
      <c r="G54" s="68"/>
      <c r="H54" s="68"/>
      <c r="I54" s="68"/>
      <c r="K54" s="69" t="s">
        <v>20</v>
      </c>
      <c r="L54" s="70">
        <v>9.5659058164194507E-3</v>
      </c>
      <c r="M54" s="70">
        <v>1.8292090581261401E-2</v>
      </c>
      <c r="N54" s="70">
        <v>1.05967474705167E-2</v>
      </c>
      <c r="O54" s="68"/>
      <c r="P54" s="68"/>
      <c r="Q54" s="68"/>
      <c r="R54" s="68"/>
    </row>
    <row r="55" spans="2:18" x14ac:dyDescent="0.3">
      <c r="B55" s="69" t="s">
        <v>21</v>
      </c>
      <c r="C55" s="70">
        <v>-5.8394000000000002E-4</v>
      </c>
      <c r="D55" s="70">
        <v>5.2800000000000003E-5</v>
      </c>
      <c r="E55" s="71">
        <v>1.4648999999999999E-4</v>
      </c>
      <c r="F55" s="68"/>
      <c r="G55" s="68"/>
      <c r="H55" s="68"/>
      <c r="I55" s="68"/>
      <c r="K55" s="69" t="s">
        <v>21</v>
      </c>
      <c r="L55" s="70">
        <v>-1.3547016191585101E-4</v>
      </c>
      <c r="M55" s="70">
        <v>4.7034677075395002E-5</v>
      </c>
      <c r="N55" s="71">
        <v>-3.3669177553959002E-5</v>
      </c>
      <c r="O55" s="68"/>
      <c r="P55" s="68"/>
      <c r="Q55" s="68"/>
      <c r="R55" s="68"/>
    </row>
    <row r="56" spans="2:18" x14ac:dyDescent="0.3">
      <c r="B56" s="69" t="s">
        <v>22</v>
      </c>
      <c r="C56" s="70">
        <v>9.6007000000000004E-4</v>
      </c>
      <c r="D56" s="70">
        <v>-9.2969999999999999E-5</v>
      </c>
      <c r="E56" s="71">
        <v>-3.5300700000000002E-3</v>
      </c>
      <c r="F56" s="68"/>
      <c r="G56" s="68"/>
      <c r="H56" s="68"/>
      <c r="I56" s="68"/>
      <c r="K56" s="69" t="s">
        <v>22</v>
      </c>
      <c r="L56" s="70">
        <v>-5.3197437829929998E-5</v>
      </c>
      <c r="M56" s="70">
        <v>-3.5765587731861101E-4</v>
      </c>
      <c r="N56" s="71">
        <v>-8.7703099683978901E-3</v>
      </c>
      <c r="O56" s="68"/>
      <c r="P56" s="68"/>
      <c r="Q56" s="68"/>
      <c r="R56" s="68"/>
    </row>
    <row r="57" spans="2:18" x14ac:dyDescent="0.3">
      <c r="B57" s="72"/>
      <c r="C57" s="73"/>
      <c r="D57" s="73"/>
      <c r="E57" s="68"/>
      <c r="F57" s="68"/>
      <c r="G57" s="68"/>
      <c r="H57" s="68"/>
      <c r="I57" s="68"/>
      <c r="K57" s="72"/>
      <c r="L57" s="73"/>
      <c r="M57" s="73"/>
      <c r="N57" s="68"/>
      <c r="O57" s="68"/>
      <c r="P57" s="68"/>
      <c r="Q57" s="68"/>
      <c r="R57" s="68"/>
    </row>
    <row r="58" spans="2:18" x14ac:dyDescent="0.3">
      <c r="B58" s="293" t="s">
        <v>592</v>
      </c>
      <c r="C58" s="294"/>
      <c r="D58" s="295"/>
      <c r="E58" s="62" t="s">
        <v>584</v>
      </c>
      <c r="F58" s="63">
        <f>12/(6.1*3.415)</f>
        <v>0.57605069246093665</v>
      </c>
      <c r="G58" s="65" t="s">
        <v>585</v>
      </c>
      <c r="H58" s="63">
        <f>12/(6.4*3.415)</f>
        <v>0.54904831625183015</v>
      </c>
      <c r="I58" s="68" t="s">
        <v>609</v>
      </c>
      <c r="K58" s="62" t="s">
        <v>592</v>
      </c>
      <c r="L58" s="65"/>
      <c r="M58" s="65"/>
      <c r="N58" s="62" t="s">
        <v>584</v>
      </c>
      <c r="O58" s="63">
        <v>0.6</v>
      </c>
      <c r="P58" s="65" t="s">
        <v>585</v>
      </c>
      <c r="Q58" s="63">
        <v>0.4</v>
      </c>
      <c r="R58" s="68"/>
    </row>
    <row r="59" spans="2:18" x14ac:dyDescent="0.3">
      <c r="B59" s="66"/>
      <c r="C59" s="66" t="s">
        <v>156</v>
      </c>
      <c r="D59" s="66" t="s">
        <v>157</v>
      </c>
      <c r="E59" s="67" t="s">
        <v>586</v>
      </c>
      <c r="F59" s="68"/>
      <c r="G59" s="68"/>
      <c r="H59" s="68"/>
      <c r="I59" s="68"/>
      <c r="K59" s="66"/>
      <c r="L59" s="66" t="s">
        <v>156</v>
      </c>
      <c r="M59" s="66" t="s">
        <v>157</v>
      </c>
      <c r="N59" s="67" t="s">
        <v>586</v>
      </c>
      <c r="O59" s="68"/>
      <c r="P59" s="68"/>
      <c r="Q59" s="68"/>
      <c r="R59" s="68"/>
    </row>
    <row r="60" spans="2:18" x14ac:dyDescent="0.3">
      <c r="B60" s="69" t="s">
        <v>17</v>
      </c>
      <c r="C60" s="70">
        <v>-0.49737319000000002</v>
      </c>
      <c r="D60" s="70">
        <v>1.1536154700000001</v>
      </c>
      <c r="E60" s="70">
        <v>0.27969645999999998</v>
      </c>
      <c r="F60" s="68"/>
      <c r="G60" s="68"/>
      <c r="H60" s="68"/>
      <c r="I60" s="68"/>
      <c r="K60" s="69" t="s">
        <v>17</v>
      </c>
      <c r="L60" s="70">
        <v>0.36395821345515</v>
      </c>
      <c r="M60" s="70">
        <v>0.97431846471939199</v>
      </c>
      <c r="N60" s="70">
        <v>-3.6011974257651798E-2</v>
      </c>
      <c r="O60" s="68"/>
      <c r="P60" s="68"/>
      <c r="Q60" s="68"/>
      <c r="R60" s="68"/>
    </row>
    <row r="61" spans="2:18" x14ac:dyDescent="0.3">
      <c r="B61" s="69" t="s">
        <v>18</v>
      </c>
      <c r="C61" s="70">
        <v>-9.5607299999999999E-3</v>
      </c>
      <c r="D61" s="70">
        <v>-3.067901E-2</v>
      </c>
      <c r="E61" s="70">
        <v>0.57375735000000005</v>
      </c>
      <c r="F61" s="68"/>
      <c r="G61" s="68"/>
      <c r="H61" s="68"/>
      <c r="I61" s="68"/>
      <c r="K61" s="69" t="s">
        <v>18</v>
      </c>
      <c r="L61" s="70">
        <v>4.5022276165276799E-2</v>
      </c>
      <c r="M61" s="70">
        <v>-4.6316816288420196E-3</v>
      </c>
      <c r="N61" s="70">
        <v>0.55779209997475898</v>
      </c>
      <c r="O61" s="68"/>
      <c r="P61" s="68"/>
      <c r="Q61" s="68"/>
      <c r="R61" s="68"/>
    </row>
    <row r="62" spans="2:18" x14ac:dyDescent="0.3">
      <c r="B62" s="69" t="s">
        <v>19</v>
      </c>
      <c r="C62" s="70">
        <v>-5.9561E-4</v>
      </c>
      <c r="D62" s="70">
        <v>3.0591E-4</v>
      </c>
      <c r="E62" s="70">
        <v>0.25690463000000002</v>
      </c>
      <c r="F62" s="68"/>
      <c r="G62" s="68"/>
      <c r="H62" s="68"/>
      <c r="I62" s="68"/>
      <c r="K62" s="69" t="s">
        <v>19</v>
      </c>
      <c r="L62" s="70">
        <v>-2.7421752147293801E-4</v>
      </c>
      <c r="M62" s="70">
        <v>4.8004325319213303E-5</v>
      </c>
      <c r="N62" s="70">
        <v>0.48824167689654702</v>
      </c>
      <c r="O62" s="68"/>
      <c r="P62" s="68"/>
      <c r="Q62" s="68"/>
      <c r="R62" s="68"/>
    </row>
    <row r="63" spans="2:18" x14ac:dyDescent="0.3">
      <c r="B63" s="69" t="s">
        <v>20</v>
      </c>
      <c r="C63" s="70">
        <v>4.3520990000000002E-2</v>
      </c>
      <c r="D63" s="70">
        <v>6.7087400000000004E-3</v>
      </c>
      <c r="E63" s="70">
        <v>-5.8071700000000004E-3</v>
      </c>
      <c r="F63" s="68"/>
      <c r="G63" s="68"/>
      <c r="H63" s="68"/>
      <c r="I63" s="68"/>
      <c r="K63" s="69" t="s">
        <v>20</v>
      </c>
      <c r="L63" s="70">
        <v>-2.0279774560278399E-3</v>
      </c>
      <c r="M63" s="70">
        <v>-2.0126259716637101E-3</v>
      </c>
      <c r="N63" s="70">
        <v>3.8291205118540302E-3</v>
      </c>
      <c r="O63" s="68"/>
      <c r="P63" s="68"/>
      <c r="Q63" s="68"/>
      <c r="R63" s="68"/>
    </row>
    <row r="64" spans="2:18" x14ac:dyDescent="0.3">
      <c r="B64" s="69" t="s">
        <v>21</v>
      </c>
      <c r="C64" s="70">
        <v>-5.8394000000000002E-4</v>
      </c>
      <c r="D64" s="70">
        <v>5.2800000000000003E-5</v>
      </c>
      <c r="E64" s="71">
        <v>1.4648999999999999E-4</v>
      </c>
      <c r="F64" s="68"/>
      <c r="G64" s="68"/>
      <c r="H64" s="68"/>
      <c r="I64" s="68"/>
      <c r="K64" s="69" t="s">
        <v>21</v>
      </c>
      <c r="L64" s="70">
        <v>-8.8275407892004397E-5</v>
      </c>
      <c r="M64" s="70">
        <v>1.58754924199956E-4</v>
      </c>
      <c r="N64" s="71">
        <v>3.7281137458701002E-5</v>
      </c>
      <c r="O64" s="68"/>
      <c r="P64" s="68"/>
      <c r="Q64" s="68"/>
      <c r="R64" s="68"/>
    </row>
    <row r="65" spans="2:18" x14ac:dyDescent="0.3">
      <c r="B65" s="69" t="s">
        <v>22</v>
      </c>
      <c r="C65" s="70">
        <v>9.6007000000000004E-4</v>
      </c>
      <c r="D65" s="70">
        <v>-9.2969999999999999E-5</v>
      </c>
      <c r="E65" s="71">
        <v>-3.5300700000000002E-3</v>
      </c>
      <c r="F65" s="68"/>
      <c r="G65" s="68"/>
      <c r="H65" s="68"/>
      <c r="I65" s="68"/>
      <c r="K65" s="69" t="s">
        <v>22</v>
      </c>
      <c r="L65" s="70">
        <v>-1.2166494630908699E-5</v>
      </c>
      <c r="M65" s="70">
        <v>-2.11990512234556E-4</v>
      </c>
      <c r="N65" s="71">
        <v>-5.2963043484432204E-3</v>
      </c>
      <c r="O65" s="68"/>
      <c r="P65" s="68"/>
      <c r="Q65" s="68"/>
      <c r="R65" s="68"/>
    </row>
    <row r="66" spans="2:18" x14ac:dyDescent="0.3">
      <c r="B66" s="71"/>
      <c r="C66" s="71"/>
      <c r="D66" s="71"/>
      <c r="E66" s="68"/>
      <c r="F66" s="68"/>
      <c r="G66" s="68"/>
      <c r="H66" s="68"/>
      <c r="I66" s="68"/>
      <c r="K66" s="71"/>
      <c r="L66" s="71"/>
      <c r="M66" s="71"/>
      <c r="N66" s="68"/>
      <c r="O66" s="68"/>
      <c r="P66" s="68"/>
      <c r="Q66" s="68"/>
      <c r="R66" s="68"/>
    </row>
    <row r="67" spans="2:18" x14ac:dyDescent="0.3">
      <c r="B67" s="293" t="s">
        <v>593</v>
      </c>
      <c r="C67" s="294"/>
      <c r="D67" s="295"/>
      <c r="E67" s="62" t="s">
        <v>584</v>
      </c>
      <c r="F67" s="63">
        <v>0.56999999999999995</v>
      </c>
      <c r="G67" s="65" t="s">
        <v>585</v>
      </c>
      <c r="H67" s="63">
        <v>0.53900000000000003</v>
      </c>
      <c r="I67" s="68" t="s">
        <v>609</v>
      </c>
      <c r="K67" s="62" t="s">
        <v>593</v>
      </c>
      <c r="L67" s="65"/>
      <c r="M67" s="65"/>
      <c r="N67" s="62" t="s">
        <v>584</v>
      </c>
      <c r="O67" s="63">
        <v>0.59</v>
      </c>
      <c r="P67" s="65" t="s">
        <v>585</v>
      </c>
      <c r="Q67" s="63">
        <v>0.4</v>
      </c>
      <c r="R67" s="68"/>
    </row>
    <row r="68" spans="2:18" x14ac:dyDescent="0.3">
      <c r="B68" s="66"/>
      <c r="C68" s="66" t="s">
        <v>156</v>
      </c>
      <c r="D68" s="66" t="s">
        <v>157</v>
      </c>
      <c r="E68" s="67" t="s">
        <v>586</v>
      </c>
      <c r="F68" s="68"/>
      <c r="G68" s="68"/>
      <c r="H68" s="68"/>
      <c r="I68" s="68"/>
      <c r="K68" s="66"/>
      <c r="L68" s="66" t="s">
        <v>156</v>
      </c>
      <c r="M68" s="66" t="s">
        <v>157</v>
      </c>
      <c r="N68" s="67" t="s">
        <v>586</v>
      </c>
      <c r="O68" s="68"/>
      <c r="P68" s="68"/>
      <c r="Q68" s="68"/>
      <c r="R68" s="68"/>
    </row>
    <row r="69" spans="2:18" x14ac:dyDescent="0.3">
      <c r="B69" s="69" t="s">
        <v>17</v>
      </c>
      <c r="C69" s="70">
        <v>-0.49737319000000002</v>
      </c>
      <c r="D69" s="70">
        <v>1.1536154700000001</v>
      </c>
      <c r="E69" s="70">
        <v>0.27969645999999998</v>
      </c>
      <c r="F69" s="68"/>
      <c r="G69" s="68"/>
      <c r="H69" s="68"/>
      <c r="I69" s="68"/>
      <c r="K69" s="69" t="s">
        <v>17</v>
      </c>
      <c r="L69" s="70">
        <v>-0.45520399727053701</v>
      </c>
      <c r="M69" s="70">
        <v>0.36702320760347801</v>
      </c>
      <c r="N69" s="70">
        <v>-8.9542569868818006E-2</v>
      </c>
      <c r="O69" s="68"/>
      <c r="P69" s="68"/>
      <c r="Q69" s="68"/>
      <c r="R69" s="68"/>
    </row>
    <row r="70" spans="2:18" x14ac:dyDescent="0.3">
      <c r="B70" s="69" t="s">
        <v>18</v>
      </c>
      <c r="C70" s="70">
        <v>-9.5607299999999999E-3</v>
      </c>
      <c r="D70" s="70">
        <v>-3.067901E-2</v>
      </c>
      <c r="E70" s="70">
        <v>0.57375735000000005</v>
      </c>
      <c r="F70" s="68"/>
      <c r="G70" s="68"/>
      <c r="H70" s="68"/>
      <c r="I70" s="68"/>
      <c r="K70" s="69" t="s">
        <v>18</v>
      </c>
      <c r="L70" s="70">
        <v>3.1346921461632898E-2</v>
      </c>
      <c r="M70" s="70">
        <v>1.2466487978864901E-2</v>
      </c>
      <c r="N70" s="70">
        <v>0.32091096088232701</v>
      </c>
      <c r="O70" s="68"/>
      <c r="P70" s="68"/>
      <c r="Q70" s="68"/>
      <c r="R70" s="68"/>
    </row>
    <row r="71" spans="2:18" x14ac:dyDescent="0.3">
      <c r="B71" s="69" t="s">
        <v>19</v>
      </c>
      <c r="C71" s="70">
        <v>-5.9561E-4</v>
      </c>
      <c r="D71" s="70">
        <v>3.0591E-4</v>
      </c>
      <c r="E71" s="70">
        <v>0.25690463000000002</v>
      </c>
      <c r="F71" s="68"/>
      <c r="G71" s="68"/>
      <c r="H71" s="68"/>
      <c r="I71" s="68"/>
      <c r="K71" s="69" t="s">
        <v>19</v>
      </c>
      <c r="L71" s="70">
        <v>-5.7149639794407101E-5</v>
      </c>
      <c r="M71" s="70">
        <v>-6.8822851718032595E-5</v>
      </c>
      <c r="N71" s="70">
        <v>0.73934477949997901</v>
      </c>
      <c r="O71" s="68"/>
      <c r="P71" s="68"/>
      <c r="Q71" s="68"/>
      <c r="R71" s="68"/>
    </row>
    <row r="72" spans="2:18" x14ac:dyDescent="0.3">
      <c r="B72" s="69" t="s">
        <v>20</v>
      </c>
      <c r="C72" s="70">
        <v>4.3520990000000002E-2</v>
      </c>
      <c r="D72" s="70">
        <v>6.7087400000000004E-3</v>
      </c>
      <c r="E72" s="70">
        <v>-5.8071700000000004E-3</v>
      </c>
      <c r="F72" s="68"/>
      <c r="G72" s="68"/>
      <c r="H72" s="68"/>
      <c r="I72" s="68"/>
      <c r="K72" s="69" t="s">
        <v>20</v>
      </c>
      <c r="L72" s="70">
        <v>2.0383058223711802E-2</v>
      </c>
      <c r="M72" s="70">
        <v>5.9339558672861503E-3</v>
      </c>
      <c r="N72" s="70">
        <v>9.5380879647118597E-3</v>
      </c>
      <c r="O72" s="68"/>
      <c r="P72" s="68"/>
      <c r="Q72" s="68"/>
      <c r="R72" s="68"/>
    </row>
    <row r="73" spans="2:18" x14ac:dyDescent="0.3">
      <c r="B73" s="69" t="s">
        <v>21</v>
      </c>
      <c r="C73" s="70">
        <v>-5.8394000000000002E-4</v>
      </c>
      <c r="D73" s="70">
        <v>5.2800000000000003E-5</v>
      </c>
      <c r="E73" s="71">
        <v>1.4648999999999999E-4</v>
      </c>
      <c r="F73" s="68"/>
      <c r="G73" s="68"/>
      <c r="H73" s="68"/>
      <c r="I73" s="68"/>
      <c r="K73" s="69" t="s">
        <v>21</v>
      </c>
      <c r="L73" s="70">
        <v>-1.5341221966966699E-4</v>
      </c>
      <c r="M73" s="70">
        <v>8.2446901437937793E-5</v>
      </c>
      <c r="N73" s="71">
        <v>1.55173752273546E-5</v>
      </c>
      <c r="O73" s="68"/>
      <c r="P73" s="68"/>
      <c r="Q73" s="68"/>
      <c r="R73" s="68"/>
    </row>
    <row r="74" spans="2:18" x14ac:dyDescent="0.3">
      <c r="B74" s="69" t="s">
        <v>22</v>
      </c>
      <c r="C74" s="70">
        <v>9.6007000000000004E-4</v>
      </c>
      <c r="D74" s="70">
        <v>-9.2969999999999999E-5</v>
      </c>
      <c r="E74" s="71">
        <v>-3.5300700000000002E-3</v>
      </c>
      <c r="F74" s="68"/>
      <c r="G74" s="68"/>
      <c r="H74" s="68"/>
      <c r="I74" s="68"/>
      <c r="K74" s="69" t="s">
        <v>22</v>
      </c>
      <c r="L74" s="70">
        <v>-1.2709301316402401E-4</v>
      </c>
      <c r="M74" s="70">
        <v>-2.2665353258000701E-4</v>
      </c>
      <c r="N74" s="71">
        <v>-8.2067813460344995E-3</v>
      </c>
      <c r="O74" s="68"/>
      <c r="P74" s="68"/>
      <c r="Q74" s="68"/>
      <c r="R74" s="68"/>
    </row>
    <row r="75" spans="2:18" x14ac:dyDescent="0.3">
      <c r="N75" s="68"/>
      <c r="O75" s="68"/>
      <c r="P75" s="68"/>
      <c r="Q75" s="68"/>
    </row>
    <row r="79" spans="2:18" x14ac:dyDescent="0.3">
      <c r="B79" t="s">
        <v>594</v>
      </c>
      <c r="C79" t="s">
        <v>595</v>
      </c>
      <c r="D79" t="s">
        <v>596</v>
      </c>
      <c r="E79" t="s">
        <v>597</v>
      </c>
      <c r="F79" t="s">
        <v>598</v>
      </c>
      <c r="G79" t="s">
        <v>599</v>
      </c>
      <c r="H79" t="s">
        <v>17</v>
      </c>
      <c r="I79" t="s">
        <v>18</v>
      </c>
      <c r="J79" t="s">
        <v>19</v>
      </c>
      <c r="K79" t="s">
        <v>600</v>
      </c>
    </row>
    <row r="80" spans="2:18" x14ac:dyDescent="0.3">
      <c r="B80" t="s">
        <v>601</v>
      </c>
      <c r="C80" s="74" t="s">
        <v>583</v>
      </c>
      <c r="D80" s="75">
        <v>0.78</v>
      </c>
      <c r="E80" s="7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3">
      <c r="B81" t="s">
        <v>601</v>
      </c>
      <c r="C81" s="74" t="s">
        <v>587</v>
      </c>
      <c r="D81" s="75">
        <v>0.77500000000000002</v>
      </c>
      <c r="E81" s="7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3">
      <c r="B82" t="s">
        <v>601</v>
      </c>
      <c r="C82" s="74" t="s">
        <v>588</v>
      </c>
      <c r="D82" s="75">
        <v>0.68</v>
      </c>
      <c r="E82" s="76">
        <v>0.57999999999999996</v>
      </c>
      <c r="F82" t="s">
        <v>568</v>
      </c>
      <c r="G82" t="s">
        <v>162</v>
      </c>
      <c r="H82">
        <f t="shared" si="0"/>
        <v>0.3000591618328346</v>
      </c>
      <c r="I82">
        <f t="shared" si="1"/>
        <v>0.33555501344306571</v>
      </c>
      <c r="J82">
        <f t="shared" si="2"/>
        <v>0.37274466425643099</v>
      </c>
      <c r="K82">
        <f t="shared" si="3"/>
        <v>1.0083588395323313</v>
      </c>
    </row>
    <row r="83" spans="2:11" x14ac:dyDescent="0.3">
      <c r="B83" t="s">
        <v>601</v>
      </c>
      <c r="C83" s="74" t="s">
        <v>589</v>
      </c>
      <c r="D83" s="75">
        <v>0.62</v>
      </c>
      <c r="E83" s="76">
        <v>0.54</v>
      </c>
      <c r="F83" t="s">
        <v>568</v>
      </c>
      <c r="G83" t="s">
        <v>162</v>
      </c>
      <c r="H83">
        <f t="shared" si="0"/>
        <v>0.3000591618328346</v>
      </c>
      <c r="I83">
        <f t="shared" si="1"/>
        <v>0.33555501344306571</v>
      </c>
      <c r="J83">
        <f t="shared" si="2"/>
        <v>0.37274466425643099</v>
      </c>
      <c r="K83">
        <f t="shared" si="3"/>
        <v>1.0083588395323313</v>
      </c>
    </row>
    <row r="84" spans="2:11" x14ac:dyDescent="0.3">
      <c r="B84" t="s">
        <v>601</v>
      </c>
      <c r="C84" s="74" t="s">
        <v>590</v>
      </c>
      <c r="D84" s="75">
        <v>0.63400000000000001</v>
      </c>
      <c r="E84" s="76">
        <v>0.59599999999999997</v>
      </c>
      <c r="F84" t="s">
        <v>568</v>
      </c>
      <c r="G84" t="s">
        <v>162</v>
      </c>
      <c r="H84">
        <f t="shared" si="0"/>
        <v>0.22607345999999995</v>
      </c>
      <c r="I84">
        <f t="shared" si="1"/>
        <v>0.48550560000000004</v>
      </c>
      <c r="J84">
        <f t="shared" si="2"/>
        <v>0.25690463000000002</v>
      </c>
      <c r="K84">
        <f t="shared" si="3"/>
        <v>0.96848369000000001</v>
      </c>
    </row>
    <row r="85" spans="2:11" x14ac:dyDescent="0.3">
      <c r="B85" t="s">
        <v>601</v>
      </c>
      <c r="C85" s="74" t="s">
        <v>591</v>
      </c>
      <c r="D85" s="75">
        <v>0.63400000000000001</v>
      </c>
      <c r="E85" s="76">
        <v>0.59599999999999997</v>
      </c>
      <c r="F85" t="s">
        <v>568</v>
      </c>
      <c r="G85" t="s">
        <v>162</v>
      </c>
      <c r="H85">
        <f t="shared" si="0"/>
        <v>0.22607345999999995</v>
      </c>
      <c r="I85">
        <f t="shared" si="1"/>
        <v>0.48550560000000004</v>
      </c>
      <c r="J85">
        <f t="shared" si="2"/>
        <v>0.25690463000000002</v>
      </c>
      <c r="K85">
        <f t="shared" si="3"/>
        <v>0.96848369000000001</v>
      </c>
    </row>
    <row r="86" spans="2:11" x14ac:dyDescent="0.3">
      <c r="B86" t="s">
        <v>601</v>
      </c>
      <c r="C86" s="74" t="s">
        <v>592</v>
      </c>
      <c r="D86" s="75">
        <v>0.57605069246093665</v>
      </c>
      <c r="E86" s="76">
        <v>0.54900000000000004</v>
      </c>
      <c r="F86" t="s">
        <v>568</v>
      </c>
      <c r="G86" t="s">
        <v>162</v>
      </c>
      <c r="H86">
        <f t="shared" si="0"/>
        <v>0.22607345999999995</v>
      </c>
      <c r="I86">
        <f t="shared" si="1"/>
        <v>0.48550560000000004</v>
      </c>
      <c r="J86">
        <f t="shared" si="2"/>
        <v>0.25690463000000002</v>
      </c>
      <c r="K86">
        <f t="shared" si="3"/>
        <v>0.96848369000000001</v>
      </c>
    </row>
    <row r="87" spans="2:11" x14ac:dyDescent="0.3">
      <c r="B87" t="s">
        <v>601</v>
      </c>
      <c r="C87" s="74" t="s">
        <v>593</v>
      </c>
      <c r="D87" s="75">
        <v>0.56999999999999995</v>
      </c>
      <c r="E87" s="76">
        <v>0.53900000000000003</v>
      </c>
      <c r="F87" t="s">
        <v>568</v>
      </c>
      <c r="G87" t="s">
        <v>162</v>
      </c>
      <c r="H87">
        <f t="shared" si="0"/>
        <v>0.22607345999999995</v>
      </c>
      <c r="I87">
        <f t="shared" si="1"/>
        <v>0.48550560000000004</v>
      </c>
      <c r="J87">
        <f t="shared" si="2"/>
        <v>0.25690463000000002</v>
      </c>
      <c r="K87">
        <f t="shared" si="3"/>
        <v>0.96848369000000001</v>
      </c>
    </row>
    <row r="88" spans="2:11" x14ac:dyDescent="0.3">
      <c r="B88" t="s">
        <v>602</v>
      </c>
      <c r="C88" s="77" t="s">
        <v>583</v>
      </c>
      <c r="D88" s="75">
        <v>0.8</v>
      </c>
      <c r="E88" s="7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3">
      <c r="B89" t="s">
        <v>602</v>
      </c>
      <c r="C89" s="77" t="s">
        <v>587</v>
      </c>
      <c r="D89" s="75">
        <v>0.79</v>
      </c>
      <c r="E89" s="7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3">
      <c r="B90" t="s">
        <v>602</v>
      </c>
      <c r="C90" s="77" t="s">
        <v>588</v>
      </c>
      <c r="D90" s="75">
        <v>0.71799999999999997</v>
      </c>
      <c r="E90" s="78">
        <v>0.54</v>
      </c>
      <c r="F90" t="s">
        <v>568</v>
      </c>
      <c r="G90" t="s">
        <v>162</v>
      </c>
      <c r="H90">
        <f t="shared" si="4"/>
        <v>-9.1514426335423379E-2</v>
      </c>
      <c r="I90">
        <f t="shared" si="5"/>
        <v>0.9824068356802973</v>
      </c>
      <c r="J90">
        <f t="shared" si="6"/>
        <v>0.1112859854753714</v>
      </c>
      <c r="K90">
        <f t="shared" si="3"/>
        <v>1.0021783948202454</v>
      </c>
    </row>
    <row r="91" spans="2:11" x14ac:dyDescent="0.3">
      <c r="B91" t="s">
        <v>602</v>
      </c>
      <c r="C91" s="77" t="s">
        <v>589</v>
      </c>
      <c r="D91" s="75">
        <v>0.63900000000000001</v>
      </c>
      <c r="E91" s="78">
        <v>0.49</v>
      </c>
      <c r="F91" t="s">
        <v>568</v>
      </c>
      <c r="G91" t="s">
        <v>162</v>
      </c>
      <c r="H91">
        <f t="shared" si="4"/>
        <v>-9.1514426335423379E-2</v>
      </c>
      <c r="I91">
        <f t="shared" si="5"/>
        <v>0.9824068356802973</v>
      </c>
      <c r="J91">
        <f t="shared" si="6"/>
        <v>0.1112859854753714</v>
      </c>
      <c r="K91">
        <f t="shared" si="3"/>
        <v>1.0021783948202454</v>
      </c>
    </row>
    <row r="92" spans="2:11" x14ac:dyDescent="0.3">
      <c r="B92" t="s">
        <v>602</v>
      </c>
      <c r="C92" s="77" t="s">
        <v>590</v>
      </c>
      <c r="D92" s="75">
        <v>0.63900000000000001</v>
      </c>
      <c r="E92" s="78">
        <v>0.45</v>
      </c>
      <c r="F92" t="s">
        <v>568</v>
      </c>
      <c r="G92" t="s">
        <v>162</v>
      </c>
      <c r="H92">
        <f t="shared" si="4"/>
        <v>0.25379752671835137</v>
      </c>
      <c r="I92">
        <f t="shared" si="5"/>
        <v>-0.16525570424179126</v>
      </c>
      <c r="J92">
        <f t="shared" si="6"/>
        <v>0.91845464841410596</v>
      </c>
      <c r="K92">
        <f t="shared" si="3"/>
        <v>1.006996470890666</v>
      </c>
    </row>
    <row r="93" spans="2:11" x14ac:dyDescent="0.3">
      <c r="B93" t="s">
        <v>602</v>
      </c>
      <c r="C93" s="77" t="s">
        <v>591</v>
      </c>
      <c r="D93" s="75">
        <v>0.63900000000000001</v>
      </c>
      <c r="E93" s="78">
        <v>0.45</v>
      </c>
      <c r="F93" t="s">
        <v>568</v>
      </c>
      <c r="G93" t="s">
        <v>162</v>
      </c>
      <c r="H93">
        <f t="shared" si="4"/>
        <v>0.25379752671835137</v>
      </c>
      <c r="I93">
        <f t="shared" si="5"/>
        <v>-0.16525570424179126</v>
      </c>
      <c r="J93">
        <f t="shared" si="6"/>
        <v>0.91845464841410596</v>
      </c>
      <c r="K93">
        <f t="shared" si="3"/>
        <v>1.006996470890666</v>
      </c>
    </row>
    <row r="94" spans="2:11" x14ac:dyDescent="0.3">
      <c r="B94" t="s">
        <v>602</v>
      </c>
      <c r="C94" s="77" t="s">
        <v>592</v>
      </c>
      <c r="D94" s="75">
        <v>0.6</v>
      </c>
      <c r="E94" s="78">
        <v>0.4</v>
      </c>
      <c r="F94" t="s">
        <v>568</v>
      </c>
      <c r="G94" t="s">
        <v>162</v>
      </c>
      <c r="H94">
        <f t="shared" si="4"/>
        <v>8.3016749450387076E-2</v>
      </c>
      <c r="I94">
        <f t="shared" si="5"/>
        <v>0.4253844912636785</v>
      </c>
      <c r="J94">
        <f t="shared" si="6"/>
        <v>0.48824167689654702</v>
      </c>
      <c r="K94">
        <f t="shared" si="3"/>
        <v>0.99664291761061263</v>
      </c>
    </row>
    <row r="95" spans="2:11" x14ac:dyDescent="0.3">
      <c r="B95" t="s">
        <v>602</v>
      </c>
      <c r="C95" s="77" t="s">
        <v>593</v>
      </c>
      <c r="D95" s="75">
        <v>0.59</v>
      </c>
      <c r="E95" s="78">
        <v>0.4</v>
      </c>
      <c r="F95" t="s">
        <v>568</v>
      </c>
      <c r="G95" t="s">
        <v>162</v>
      </c>
      <c r="H95">
        <f t="shared" si="4"/>
        <v>0.15860798876607513</v>
      </c>
      <c r="I95">
        <f t="shared" si="5"/>
        <v>0.11574142723146452</v>
      </c>
      <c r="J95">
        <f t="shared" si="6"/>
        <v>0.73934477949997901</v>
      </c>
      <c r="K95">
        <f t="shared" si="3"/>
        <v>1.0136941954975187</v>
      </c>
    </row>
    <row r="96" spans="2:11" x14ac:dyDescent="0.3">
      <c r="C96" s="79"/>
      <c r="D96" s="80"/>
      <c r="E96" s="80"/>
    </row>
    <row r="98" spans="3:9" x14ac:dyDescent="0.3">
      <c r="D98" t="s">
        <v>603</v>
      </c>
      <c r="F98">
        <v>25</v>
      </c>
      <c r="G98" t="s">
        <v>604</v>
      </c>
    </row>
    <row r="100" spans="3:9" x14ac:dyDescent="0.3">
      <c r="D100" s="1" t="s">
        <v>158</v>
      </c>
    </row>
    <row r="101" spans="3:9" x14ac:dyDescent="0.3">
      <c r="C101" t="s">
        <v>605</v>
      </c>
      <c r="D101" t="s">
        <v>17</v>
      </c>
      <c r="E101" t="s">
        <v>18</v>
      </c>
      <c r="F101" t="s">
        <v>19</v>
      </c>
      <c r="G101" t="s">
        <v>20</v>
      </c>
      <c r="H101" t="s">
        <v>21</v>
      </c>
      <c r="I101" t="s">
        <v>22</v>
      </c>
    </row>
    <row r="102" spans="3:9" x14ac:dyDescent="0.3">
      <c r="D102">
        <v>0.27680422622696699</v>
      </c>
      <c r="E102">
        <v>0.27037332727331598</v>
      </c>
      <c r="F102">
        <v>0.37274466425643099</v>
      </c>
      <c r="G102">
        <v>4.81928948948648E-3</v>
      </c>
      <c r="H102">
        <v>-1.5556368261007101E-4</v>
      </c>
      <c r="I102">
        <v>2.6072674467899899E-3</v>
      </c>
    </row>
    <row r="103" spans="3:9" x14ac:dyDescent="0.3">
      <c r="D103">
        <v>0.27680422622696699</v>
      </c>
      <c r="E103">
        <v>0.27037332727331598</v>
      </c>
      <c r="F103">
        <v>0.37274466425643099</v>
      </c>
      <c r="G103">
        <v>4.81928948948648E-3</v>
      </c>
      <c r="H103">
        <v>-1.5556368261007101E-4</v>
      </c>
      <c r="I103">
        <v>2.6072674467899899E-3</v>
      </c>
    </row>
    <row r="104" spans="3:9" x14ac:dyDescent="0.3">
      <c r="D104">
        <v>0.27680422622696699</v>
      </c>
      <c r="E104">
        <v>0.27037332727331598</v>
      </c>
      <c r="F104">
        <v>0.37274466425643099</v>
      </c>
      <c r="G104">
        <v>4.81928948948648E-3</v>
      </c>
      <c r="H104">
        <v>-1.5556368261007101E-4</v>
      </c>
      <c r="I104">
        <v>2.6072674467899899E-3</v>
      </c>
    </row>
    <row r="105" spans="3:9" x14ac:dyDescent="0.3">
      <c r="D105">
        <v>0.27680422622696699</v>
      </c>
      <c r="E105">
        <v>0.27037332727331598</v>
      </c>
      <c r="F105">
        <v>0.37274466425643099</v>
      </c>
      <c r="G105">
        <v>4.81928948948648E-3</v>
      </c>
      <c r="H105">
        <v>-1.5556368261007101E-4</v>
      </c>
      <c r="I105">
        <v>2.6072674467899899E-3</v>
      </c>
    </row>
    <row r="106" spans="3:9" x14ac:dyDescent="0.3">
      <c r="D106">
        <v>0.27969645999999998</v>
      </c>
      <c r="E106">
        <v>0.57375735000000005</v>
      </c>
      <c r="F106">
        <v>0.25690463000000002</v>
      </c>
      <c r="G106">
        <v>-5.8071700000000004E-3</v>
      </c>
      <c r="H106">
        <v>1.4648999999999999E-4</v>
      </c>
      <c r="I106">
        <v>-3.5300700000000002E-3</v>
      </c>
    </row>
    <row r="107" spans="3:9" x14ac:dyDescent="0.3">
      <c r="D107">
        <v>0.27969645999999998</v>
      </c>
      <c r="E107">
        <v>0.57375735000000005</v>
      </c>
      <c r="F107">
        <v>0.25690463000000002</v>
      </c>
      <c r="G107">
        <v>-5.8071700000000004E-3</v>
      </c>
      <c r="H107">
        <v>1.4648999999999999E-4</v>
      </c>
      <c r="I107">
        <v>-3.5300700000000002E-3</v>
      </c>
    </row>
    <row r="108" spans="3:9" x14ac:dyDescent="0.3">
      <c r="D108">
        <v>0.27969645999999998</v>
      </c>
      <c r="E108">
        <v>0.57375735000000005</v>
      </c>
      <c r="F108">
        <v>0.25690463000000002</v>
      </c>
      <c r="G108">
        <v>-5.8071700000000004E-3</v>
      </c>
      <c r="H108">
        <v>1.4648999999999999E-4</v>
      </c>
      <c r="I108">
        <v>-3.5300700000000002E-3</v>
      </c>
    </row>
    <row r="109" spans="3:9" x14ac:dyDescent="0.3">
      <c r="D109">
        <v>0.27969645999999998</v>
      </c>
      <c r="E109">
        <v>0.57375735000000005</v>
      </c>
      <c r="F109">
        <v>0.25690463000000002</v>
      </c>
      <c r="G109">
        <v>-5.8071700000000004E-3</v>
      </c>
      <c r="H109">
        <v>1.4648999999999999E-4</v>
      </c>
      <c r="I109">
        <v>-3.5300700000000002E-3</v>
      </c>
    </row>
    <row r="111" spans="3:9" x14ac:dyDescent="0.3">
      <c r="D111" s="1" t="s">
        <v>602</v>
      </c>
    </row>
    <row r="112" spans="3:9" x14ac:dyDescent="0.3">
      <c r="D112" t="s">
        <v>17</v>
      </c>
      <c r="E112" t="s">
        <v>18</v>
      </c>
      <c r="F112" t="s">
        <v>19</v>
      </c>
      <c r="G112" t="s">
        <v>20</v>
      </c>
      <c r="H112" t="s">
        <v>21</v>
      </c>
      <c r="I112" t="s">
        <v>22</v>
      </c>
    </row>
    <row r="113" spans="4:9" x14ac:dyDescent="0.3">
      <c r="D113">
        <v>-0.20120632905317576</v>
      </c>
      <c r="E113">
        <v>1.0939141395105423</v>
      </c>
      <c r="F113">
        <v>0.1112859854753714</v>
      </c>
      <c r="G113">
        <v>4.3863187303915668E-3</v>
      </c>
      <c r="H113">
        <v>5.4295132741123726E-8</v>
      </c>
      <c r="I113">
        <v>-4.4602921532097975E-3</v>
      </c>
    </row>
    <row r="114" spans="4:9" x14ac:dyDescent="0.3">
      <c r="D114">
        <v>-0.20120632905317576</v>
      </c>
      <c r="E114">
        <v>1.0939141395105423</v>
      </c>
      <c r="F114">
        <v>0.1112859854753714</v>
      </c>
      <c r="G114">
        <v>4.3863187303915668E-3</v>
      </c>
      <c r="H114">
        <v>5.4295132741123726E-8</v>
      </c>
      <c r="I114">
        <v>-4.4602921532097975E-3</v>
      </c>
    </row>
    <row r="115" spans="4:9" x14ac:dyDescent="0.3">
      <c r="D115">
        <v>-0.20120632905317576</v>
      </c>
      <c r="E115">
        <v>1.0939141395105423</v>
      </c>
      <c r="F115">
        <v>0.1112859854753714</v>
      </c>
      <c r="G115">
        <v>4.3863187303915668E-3</v>
      </c>
      <c r="H115">
        <v>5.4295132741123726E-8</v>
      </c>
      <c r="I115">
        <v>-4.4602921532097975E-3</v>
      </c>
    </row>
    <row r="116" spans="4:9" x14ac:dyDescent="0.3">
      <c r="D116">
        <v>-0.20120632905317576</v>
      </c>
      <c r="E116">
        <v>1.0939141395105423</v>
      </c>
      <c r="F116">
        <v>0.1112859854753714</v>
      </c>
      <c r="G116">
        <v>4.3863187303915668E-3</v>
      </c>
      <c r="H116">
        <v>5.4295132741123726E-8</v>
      </c>
      <c r="I116">
        <v>-4.4602921532097975E-3</v>
      </c>
    </row>
    <row r="117" spans="4:9" x14ac:dyDescent="0.3">
      <c r="D117">
        <v>9.9220759266582005E-3</v>
      </c>
      <c r="E117">
        <v>5.4002044968155999E-2</v>
      </c>
      <c r="F117">
        <v>0.91845464841410596</v>
      </c>
      <c r="G117">
        <v>1.05967474705167E-2</v>
      </c>
      <c r="H117">
        <v>-3.3669177553959002E-5</v>
      </c>
      <c r="I117">
        <v>-8.7703099683978901E-3</v>
      </c>
    </row>
    <row r="118" spans="4:9" x14ac:dyDescent="0.3">
      <c r="D118">
        <v>9.9220759266582005E-3</v>
      </c>
      <c r="E118">
        <v>5.4002044968155999E-2</v>
      </c>
      <c r="F118">
        <v>0.91845464841410596</v>
      </c>
      <c r="G118">
        <v>1.05967474705167E-2</v>
      </c>
      <c r="H118">
        <v>-3.3669177553959002E-5</v>
      </c>
      <c r="I118">
        <v>-8.7703099683978901E-3</v>
      </c>
    </row>
    <row r="119" spans="4:9" x14ac:dyDescent="0.3">
      <c r="D119">
        <v>-3.6011974257651798E-2</v>
      </c>
      <c r="E119">
        <v>0.55779209997475898</v>
      </c>
      <c r="F119">
        <v>0.48824167689654702</v>
      </c>
      <c r="G119">
        <v>3.8291205118540302E-3</v>
      </c>
      <c r="H119">
        <v>3.7281137458701002E-5</v>
      </c>
      <c r="I119">
        <v>-5.2963043484432204E-3</v>
      </c>
    </row>
    <row r="120" spans="4:9" x14ac:dyDescent="0.3">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4.4" x14ac:dyDescent="0.3"/>
  <cols>
    <col min="3" max="3" width="17.6640625" customWidth="1"/>
    <col min="4" max="4" width="18.44140625" customWidth="1"/>
    <col min="5" max="5" width="18.5546875" customWidth="1"/>
    <col min="6" max="6" width="19" customWidth="1"/>
    <col min="7" max="8" width="16.88671875" customWidth="1"/>
    <col min="9" max="9" width="15.5546875" customWidth="1"/>
    <col min="10" max="12" width="16.88671875" customWidth="1"/>
    <col min="13" max="13" width="19" customWidth="1"/>
    <col min="26" max="26" width="16.6640625" customWidth="1"/>
    <col min="27" max="35" width="15.88671875" customWidth="1"/>
    <col min="36" max="38" width="10.88671875" customWidth="1"/>
  </cols>
  <sheetData>
    <row r="1" spans="1:39" x14ac:dyDescent="0.3">
      <c r="Y1" s="100"/>
      <c r="Z1" s="100"/>
      <c r="AA1" s="100">
        <v>1</v>
      </c>
      <c r="AB1" s="100">
        <f>AA1+1</f>
        <v>2</v>
      </c>
      <c r="AC1" s="100">
        <f t="shared" ref="AC1:AG1" si="0">AB1+1</f>
        <v>3</v>
      </c>
      <c r="AD1" s="100">
        <f t="shared" si="0"/>
        <v>4</v>
      </c>
      <c r="AE1" s="100">
        <f t="shared" si="0"/>
        <v>5</v>
      </c>
      <c r="AF1" s="100">
        <f t="shared" si="0"/>
        <v>6</v>
      </c>
      <c r="AG1" s="100">
        <f t="shared" si="0"/>
        <v>7</v>
      </c>
      <c r="AH1" s="100">
        <f t="shared" ref="AH1" si="1">AG1+1</f>
        <v>8</v>
      </c>
      <c r="AI1" s="100">
        <f t="shared" ref="AI1" si="2">AH1+1</f>
        <v>9</v>
      </c>
    </row>
    <row r="2" spans="1:39" ht="43.2" x14ac:dyDescent="0.3">
      <c r="C2" t="s">
        <v>668</v>
      </c>
      <c r="D2" t="s">
        <v>669</v>
      </c>
      <c r="E2" t="s">
        <v>670</v>
      </c>
      <c r="F2" t="s">
        <v>671</v>
      </c>
      <c r="G2" t="s">
        <v>672</v>
      </c>
      <c r="H2" t="s">
        <v>673</v>
      </c>
      <c r="I2" t="s">
        <v>674</v>
      </c>
      <c r="J2" t="s">
        <v>675</v>
      </c>
      <c r="K2" t="s">
        <v>745</v>
      </c>
      <c r="Y2" s="100"/>
      <c r="Z2" t="s">
        <v>678</v>
      </c>
      <c r="AA2" s="96" t="str">
        <f ca="1">OFFSET('ACM Performance Curves'!$N$16,'Fan Curves - Ref Only'!AA$1,0)</f>
        <v>FanAForBIPwrRatio_fCFMRatio</v>
      </c>
      <c r="AB2" s="96" t="str">
        <f ca="1">OFFSET('ACM Performance Curves'!$N$16,'Fan Curves - Ref Only'!AB$1,0)</f>
        <v>FanAForBIVanesPwrRatio_fCFMRatio</v>
      </c>
      <c r="AC2" s="96" t="str">
        <f ca="1">OFFSET('ACM Performance Curves'!$N$16,'Fan Curves - Ref Only'!AC$1,0)</f>
        <v>FanFCPwrRatio_fCFMRatio</v>
      </c>
      <c r="AD2" s="96" t="str">
        <f ca="1">OFFSET('ACM Performance Curves'!$N$16,'Fan Curves - Ref Only'!AD$1,0)</f>
        <v>FanFCVanesPwrRatio_fCFMRatio</v>
      </c>
      <c r="AE2" s="96" t="str">
        <f ca="1">OFFSET('ACM Performance Curves'!$N$16,'Fan Curves - Ref Only'!AE$1,0)</f>
        <v>FanVaneAxVpPwrRatio_fCFMRatio</v>
      </c>
      <c r="AF2" s="96" t="str">
        <f ca="1">OFFSET('ACM Performance Curves'!$N$16,'Fan Curves - Ref Only'!AF$1,0)</f>
        <v>FanVSDPwrRatio_fCFMRatio</v>
      </c>
      <c r="AG2" s="96" t="str">
        <f ca="1">OFFSET('ACM Performance Curves'!$N$16,'Fan Curves - Ref Only'!AG$1,0)</f>
        <v>FanVSD901PwrRatio_fCFMRatio</v>
      </c>
      <c r="AH2" s="96" t="str">
        <f ca="1">OFFSET('ACM Performance Curves'!$N$16,'Fan Curves - Ref Only'!AH$1,0)</f>
        <v>FanVSDGoodSpResetPwrRatio_fCFMRatio</v>
      </c>
      <c r="AI2" s="96" t="str">
        <f ca="1">OFFSET('ACM Performance Curves'!$N$16,'Fan Curves - Ref Only'!AI$1,0)</f>
        <v>FanVSDPerfSpResetPwrRatio_fCFMRatio</v>
      </c>
    </row>
    <row r="3" spans="1:39" ht="43.2" x14ac:dyDescent="0.3">
      <c r="A3">
        <v>1</v>
      </c>
      <c r="B3" s="96"/>
      <c r="C3" s="96" t="s">
        <v>278</v>
      </c>
      <c r="D3" s="96" t="s">
        <v>279</v>
      </c>
      <c r="E3" s="96" t="s">
        <v>280</v>
      </c>
      <c r="F3" s="96" t="s">
        <v>281</v>
      </c>
      <c r="G3" s="96" t="s">
        <v>282</v>
      </c>
      <c r="H3" s="96" t="s">
        <v>283</v>
      </c>
      <c r="I3" s="96" t="s">
        <v>748</v>
      </c>
      <c r="J3" s="96" t="s">
        <v>749</v>
      </c>
      <c r="K3" s="96" t="s">
        <v>744</v>
      </c>
      <c r="L3" s="96"/>
      <c r="N3" s="96"/>
      <c r="Y3" s="100"/>
      <c r="Z3" t="s">
        <v>679</v>
      </c>
      <c r="AA3" s="96" t="str">
        <f ca="1">OFFSET('ACM Performance Curves'!$G$16,'Fan Curves - Ref Only'!AA$1,0)</f>
        <v>AF or BI Riding the Curve</v>
      </c>
      <c r="AB3" s="96" t="str">
        <f ca="1">OFFSET('ACM Performance Curves'!$G$16,'Fan Curves - Ref Only'!AB$1,0)</f>
        <v>AF or BI inlet vanes</v>
      </c>
      <c r="AC3" s="96" t="str">
        <f ca="1">OFFSET('ACM Performance Curves'!$G$16,'Fan Curves - Ref Only'!AC$1,0)</f>
        <v>FC riding the curve</v>
      </c>
      <c r="AD3" s="96" t="str">
        <f ca="1">OFFSET('ACM Performance Curves'!$G$16,'Fan Curves - Ref Only'!AD$1,0)</f>
        <v>FC with inlet vanes</v>
      </c>
      <c r="AE3" s="96" t="str">
        <f ca="1">OFFSET('ACM Performance Curves'!$G$16,'Fan Curves - Ref Only'!AE$1,0)</f>
        <v>Vane-axial with variable pitch blades</v>
      </c>
      <c r="AF3" s="96" t="str">
        <f ca="1">OFFSET('ACM Performance Curves'!$G$16,'Fan Curves - Ref Only'!AF$1,0)</f>
        <v>Any fan with VSD</v>
      </c>
      <c r="AG3" s="96" t="str">
        <f ca="1">OFFSET('ACM Performance Curves'!$G$16,'Fan Curves - Ref Only'!AG$1,0)</f>
        <v>Any fan with VSD (90.1)</v>
      </c>
      <c r="AH3" s="96" t="str">
        <f ca="1">OFFSET('ACM Performance Curves'!$G$16,'Fan Curves - Ref Only'!AH$1,0)</f>
        <v>VSD with static pressure reset (Good)</v>
      </c>
      <c r="AI3" s="96" t="s">
        <v>744</v>
      </c>
      <c r="AJ3" s="96"/>
      <c r="AK3" s="96"/>
      <c r="AL3" s="96"/>
      <c r="AM3" s="97"/>
    </row>
    <row r="4" spans="1:39" x14ac:dyDescent="0.3">
      <c r="A4">
        <f t="shared" ref="A4:A9" si="3">A3+1</f>
        <v>2</v>
      </c>
      <c r="B4" t="s">
        <v>676</v>
      </c>
      <c r="C4" s="98">
        <f t="shared" ref="C4:K9" ca="1" si="4">HLOOKUP(C$3,$AA$3:$AT$9,$A4,FALSE)</f>
        <v>0.7</v>
      </c>
      <c r="D4" s="98">
        <f t="shared" ca="1" si="4"/>
        <v>0.871</v>
      </c>
      <c r="E4" s="98">
        <f t="shared" ca="1" si="4"/>
        <v>0.5</v>
      </c>
      <c r="F4" s="98">
        <f t="shared" ca="1" si="4"/>
        <v>0.5</v>
      </c>
      <c r="G4" s="98">
        <f t="shared" ca="1" si="4"/>
        <v>0.4</v>
      </c>
      <c r="H4" s="98">
        <f t="shared" ca="1" si="4"/>
        <v>0.1</v>
      </c>
      <c r="I4" s="98">
        <f t="shared" ca="1" si="4"/>
        <v>0.10009999999999999</v>
      </c>
      <c r="J4" s="98" t="e">
        <f t="shared" ca="1" si="4"/>
        <v>#N/A</v>
      </c>
      <c r="K4" s="98">
        <f t="shared" ca="1" si="4"/>
        <v>0.1</v>
      </c>
      <c r="N4" s="98"/>
      <c r="Y4" s="100">
        <v>1</v>
      </c>
      <c r="Z4" t="s">
        <v>109</v>
      </c>
      <c r="AA4" s="96">
        <f ca="1">OFFSET('ACM Performance Curves'!$AG$16,'Fan Curves - Ref Only'!AA$1,$Y4)</f>
        <v>0.7</v>
      </c>
      <c r="AB4" s="96">
        <f ca="1">OFFSET('ACM Performance Curves'!$AG$16,'Fan Curves - Ref Only'!AB$1,$Y4)</f>
        <v>0.871</v>
      </c>
      <c r="AC4" s="96">
        <f ca="1">OFFSET('ACM Performance Curves'!$AG$16,'Fan Curves - Ref Only'!AC$1,$Y4)</f>
        <v>0.5</v>
      </c>
      <c r="AD4" s="96">
        <f ca="1">OFFSET('ACM Performance Curves'!$AG$16,'Fan Curves - Ref Only'!AD$1,$Y4)</f>
        <v>0.5</v>
      </c>
      <c r="AE4" s="96">
        <f ca="1">OFFSET('ACM Performance Curves'!$AG$16,'Fan Curves - Ref Only'!AE$1,$Y4)</f>
        <v>0.4</v>
      </c>
      <c r="AF4" s="96">
        <f ca="1">OFFSET('ACM Performance Curves'!$AG$16,'Fan Curves - Ref Only'!AF$1,$Y4)</f>
        <v>0.1</v>
      </c>
      <c r="AG4" s="96">
        <f ca="1">OFFSET('ACM Performance Curves'!$AG$16,'Fan Curves - Ref Only'!AG$1,$Y4)</f>
        <v>0.19980000000000001</v>
      </c>
      <c r="AH4" s="96">
        <f ca="1">OFFSET('ACM Performance Curves'!$AG$16,'Fan Curves - Ref Only'!AH$1,$Y4)</f>
        <v>0.10009999999999999</v>
      </c>
      <c r="AI4" s="96">
        <v>0.1</v>
      </c>
      <c r="AJ4" s="98"/>
      <c r="AK4" s="98"/>
      <c r="AL4" s="98"/>
    </row>
    <row r="5" spans="1:39" x14ac:dyDescent="0.3">
      <c r="A5">
        <f t="shared" si="3"/>
        <v>3</v>
      </c>
      <c r="B5" t="s">
        <v>677</v>
      </c>
      <c r="C5" s="98">
        <f t="shared" ca="1" si="4"/>
        <v>1</v>
      </c>
      <c r="D5" s="98">
        <f t="shared" ca="1" si="4"/>
        <v>1</v>
      </c>
      <c r="E5" s="98">
        <f t="shared" ca="1" si="4"/>
        <v>1</v>
      </c>
      <c r="F5" s="98">
        <f t="shared" ca="1" si="4"/>
        <v>1</v>
      </c>
      <c r="G5" s="98">
        <f t="shared" ca="1" si="4"/>
        <v>1</v>
      </c>
      <c r="H5" s="98">
        <f t="shared" ca="1" si="4"/>
        <v>1</v>
      </c>
      <c r="I5" s="98">
        <f t="shared" ca="1" si="4"/>
        <v>1</v>
      </c>
      <c r="J5" s="98" t="e">
        <f t="shared" ca="1" si="4"/>
        <v>#N/A</v>
      </c>
      <c r="K5" s="98">
        <f t="shared" ca="1" si="4"/>
        <v>1</v>
      </c>
      <c r="Y5" s="100">
        <v>0</v>
      </c>
      <c r="Z5" t="s">
        <v>108</v>
      </c>
      <c r="AA5" s="96">
        <f ca="1">OFFSET('ACM Performance Curves'!$AG$16,'Fan Curves - Ref Only'!AA$1,$Y5)</f>
        <v>1</v>
      </c>
      <c r="AB5" s="96">
        <f ca="1">OFFSET('ACM Performance Curves'!$AG$16,'Fan Curves - Ref Only'!AB$1,$Y5)</f>
        <v>1</v>
      </c>
      <c r="AC5" s="96">
        <f ca="1">OFFSET('ACM Performance Curves'!$AG$16,'Fan Curves - Ref Only'!AC$1,$Y5)</f>
        <v>1</v>
      </c>
      <c r="AD5" s="96">
        <f ca="1">OFFSET('ACM Performance Curves'!$AG$16,'Fan Curves - Ref Only'!AD$1,$Y5)</f>
        <v>1</v>
      </c>
      <c r="AE5" s="96">
        <f ca="1">OFFSET('ACM Performance Curves'!$AG$16,'Fan Curves - Ref Only'!AE$1,$Y5)</f>
        <v>1</v>
      </c>
      <c r="AF5" s="96">
        <f ca="1">OFFSET('ACM Performance Curves'!$AG$16,'Fan Curves - Ref Only'!AF$1,$Y5)</f>
        <v>1</v>
      </c>
      <c r="AG5" s="96">
        <f ca="1">OFFSET('ACM Performance Curves'!$AG$16,'Fan Curves - Ref Only'!AG$1,$Y5)</f>
        <v>1</v>
      </c>
      <c r="AH5" s="96">
        <f ca="1">OFFSET('ACM Performance Curves'!$AG$16,'Fan Curves - Ref Only'!AH$1,$Y5)</f>
        <v>1</v>
      </c>
      <c r="AI5" s="96">
        <v>1</v>
      </c>
    </row>
    <row r="6" spans="1:39" x14ac:dyDescent="0.3">
      <c r="A6">
        <f t="shared" si="3"/>
        <v>4</v>
      </c>
      <c r="B6" t="s">
        <v>17</v>
      </c>
      <c r="C6" s="124">
        <f t="shared" ca="1" si="4"/>
        <v>0.16309999999999999</v>
      </c>
      <c r="D6" s="124">
        <f t="shared" ca="1" si="4"/>
        <v>0.99770000000000003</v>
      </c>
      <c r="E6" s="124">
        <f t="shared" ca="1" si="4"/>
        <v>0.12239999999999999</v>
      </c>
      <c r="F6" s="124">
        <f t="shared" ca="1" si="4"/>
        <v>0.30380000000000001</v>
      </c>
      <c r="G6" s="124">
        <f t="shared" ca="1" si="4"/>
        <v>0.16389999999999999</v>
      </c>
      <c r="H6" s="124">
        <f t="shared" ca="1" si="4"/>
        <v>7.0428852E-2</v>
      </c>
      <c r="I6" s="124">
        <f t="shared" ca="1" si="4"/>
        <v>4.0759893999999998E-2</v>
      </c>
      <c r="J6" s="124" t="e">
        <f t="shared" ca="1" si="4"/>
        <v>#N/A</v>
      </c>
      <c r="K6" s="124">
        <f t="shared" ca="1" si="4"/>
        <v>0</v>
      </c>
      <c r="Y6" s="100">
        <v>0</v>
      </c>
      <c r="Z6" t="s">
        <v>17</v>
      </c>
      <c r="AA6" s="96">
        <f ca="1">OFFSET('ACM Performance Curves'!$V$16,'Fan Curves - Ref Only'!AA$1,$Y6)</f>
        <v>0.16309999999999999</v>
      </c>
      <c r="AB6" s="96">
        <f ca="1">OFFSET('ACM Performance Curves'!$V$16,'Fan Curves - Ref Only'!AB$1,$Y6)</f>
        <v>0.99770000000000003</v>
      </c>
      <c r="AC6" s="96">
        <f ca="1">OFFSET('ACM Performance Curves'!$V$16,'Fan Curves - Ref Only'!AC$1,$Y6)</f>
        <v>0.12239999999999999</v>
      </c>
      <c r="AD6" s="96">
        <f ca="1">OFFSET('ACM Performance Curves'!$V$16,'Fan Curves - Ref Only'!AD$1,$Y6)</f>
        <v>0.30380000000000001</v>
      </c>
      <c r="AE6" s="96">
        <f ca="1">OFFSET('ACM Performance Curves'!$V$16,'Fan Curves - Ref Only'!AE$1,$Y6)</f>
        <v>0.16389999999999999</v>
      </c>
      <c r="AF6" s="96">
        <f ca="1">OFFSET('ACM Performance Curves'!$V$16,'Fan Curves - Ref Only'!AF$1,$Y6)</f>
        <v>7.0428852E-2</v>
      </c>
      <c r="AG6" s="96">
        <f ca="1">OFFSET('ACM Performance Curves'!$V$16,'Fan Curves - Ref Only'!AG$1,$Y6)</f>
        <v>1.2999999999999999E-3</v>
      </c>
      <c r="AH6" s="96">
        <f ca="1">OFFSET('ACM Performance Curves'!$V$16,'Fan Curves - Ref Only'!AH$1,$Y6)</f>
        <v>4.0759893999999998E-2</v>
      </c>
      <c r="AI6" s="96">
        <v>0</v>
      </c>
    </row>
    <row r="7" spans="1:39" x14ac:dyDescent="0.3">
      <c r="A7">
        <f t="shared" si="3"/>
        <v>5</v>
      </c>
      <c r="B7" t="s">
        <v>18</v>
      </c>
      <c r="C7" s="124">
        <f t="shared" ca="1" si="4"/>
        <v>1.5901000000000001</v>
      </c>
      <c r="D7" s="124">
        <f t="shared" ca="1" si="4"/>
        <v>-0.65900000000000003</v>
      </c>
      <c r="E7" s="124">
        <f t="shared" ca="1" si="4"/>
        <v>0.61199999999999999</v>
      </c>
      <c r="F7" s="124">
        <f t="shared" ca="1" si="4"/>
        <v>-0.76080000000000003</v>
      </c>
      <c r="G7" s="124">
        <f t="shared" ca="1" si="4"/>
        <v>-0.40160000000000001</v>
      </c>
      <c r="H7" s="124">
        <f t="shared" ca="1" si="4"/>
        <v>0.38533020099999998</v>
      </c>
      <c r="I7" s="124">
        <f t="shared" ca="1" si="4"/>
        <v>8.804497E-2</v>
      </c>
      <c r="J7" s="124" t="e">
        <f t="shared" ca="1" si="4"/>
        <v>#N/A</v>
      </c>
      <c r="K7" s="124">
        <f t="shared" ca="1" si="4"/>
        <v>0</v>
      </c>
      <c r="Y7" s="100">
        <f>Y6+1</f>
        <v>1</v>
      </c>
      <c r="Z7" t="s">
        <v>18</v>
      </c>
      <c r="AA7" s="96">
        <f ca="1">OFFSET('ACM Performance Curves'!$V$16,'Fan Curves - Ref Only'!AA$1,$Y7)</f>
        <v>1.5901000000000001</v>
      </c>
      <c r="AB7" s="96">
        <f ca="1">OFFSET('ACM Performance Curves'!$V$16,'Fan Curves - Ref Only'!AB$1,$Y7)</f>
        <v>-0.65900000000000003</v>
      </c>
      <c r="AC7" s="96">
        <f ca="1">OFFSET('ACM Performance Curves'!$V$16,'Fan Curves - Ref Only'!AC$1,$Y7)</f>
        <v>0.61199999999999999</v>
      </c>
      <c r="AD7" s="96">
        <f ca="1">OFFSET('ACM Performance Curves'!$V$16,'Fan Curves - Ref Only'!AD$1,$Y7)</f>
        <v>-0.76080000000000003</v>
      </c>
      <c r="AE7" s="96">
        <f ca="1">OFFSET('ACM Performance Curves'!$V$16,'Fan Curves - Ref Only'!AE$1,$Y7)</f>
        <v>-0.40160000000000001</v>
      </c>
      <c r="AF7" s="96">
        <f ca="1">OFFSET('ACM Performance Curves'!$V$16,'Fan Curves - Ref Only'!AF$1,$Y7)</f>
        <v>0.38533020099999998</v>
      </c>
      <c r="AG7" s="96">
        <f ca="1">OFFSET('ACM Performance Curves'!$V$16,'Fan Curves - Ref Only'!AG$1,$Y7)</f>
        <v>0.14699999999999999</v>
      </c>
      <c r="AH7" s="96">
        <f ca="1">OFFSET('ACM Performance Curves'!$V$16,'Fan Curves - Ref Only'!AH$1,$Y7)</f>
        <v>8.804497E-2</v>
      </c>
      <c r="AI7" s="96">
        <v>0</v>
      </c>
    </row>
    <row r="8" spans="1:39" x14ac:dyDescent="0.3">
      <c r="A8">
        <f t="shared" si="3"/>
        <v>6</v>
      </c>
      <c r="B8" t="s">
        <v>19</v>
      </c>
      <c r="C8" s="124">
        <f t="shared" ca="1" si="4"/>
        <v>-0.88170000000000004</v>
      </c>
      <c r="D8" s="124">
        <f t="shared" ca="1" si="4"/>
        <v>0.95469999999999999</v>
      </c>
      <c r="E8" s="124">
        <f t="shared" ca="1" si="4"/>
        <v>0.59830000000000005</v>
      </c>
      <c r="F8" s="124">
        <f t="shared" ca="1" si="4"/>
        <v>2.2728999999999999</v>
      </c>
      <c r="G8" s="124">
        <f t="shared" ca="1" si="4"/>
        <v>1.9908999999999999</v>
      </c>
      <c r="H8" s="124">
        <f t="shared" ca="1" si="4"/>
        <v>-0.46086411799999999</v>
      </c>
      <c r="I8" s="124">
        <f t="shared" ca="1" si="4"/>
        <v>-7.2926119999999997E-2</v>
      </c>
      <c r="J8" s="124" t="e">
        <f t="shared" ca="1" si="4"/>
        <v>#N/A</v>
      </c>
      <c r="K8" s="124">
        <f t="shared" ca="1" si="4"/>
        <v>0</v>
      </c>
      <c r="Y8" s="100">
        <f t="shared" ref="Y8:Y9" si="5">Y7+1</f>
        <v>2</v>
      </c>
      <c r="Z8" t="s">
        <v>19</v>
      </c>
      <c r="AA8" s="96">
        <f ca="1">OFFSET('ACM Performance Curves'!$V$16,'Fan Curves - Ref Only'!AA$1,$Y8)</f>
        <v>-0.88170000000000004</v>
      </c>
      <c r="AB8" s="96">
        <f ca="1">OFFSET('ACM Performance Curves'!$V$16,'Fan Curves - Ref Only'!AB$1,$Y8)</f>
        <v>0.95469999999999999</v>
      </c>
      <c r="AC8" s="96">
        <f ca="1">OFFSET('ACM Performance Curves'!$V$16,'Fan Curves - Ref Only'!AC$1,$Y8)</f>
        <v>0.59830000000000005</v>
      </c>
      <c r="AD8" s="96">
        <f ca="1">OFFSET('ACM Performance Curves'!$V$16,'Fan Curves - Ref Only'!AD$1,$Y8)</f>
        <v>2.2728999999999999</v>
      </c>
      <c r="AE8" s="96">
        <f ca="1">OFFSET('ACM Performance Curves'!$V$16,'Fan Curves - Ref Only'!AE$1,$Y8)</f>
        <v>1.9908999999999999</v>
      </c>
      <c r="AF8" s="96">
        <f ca="1">OFFSET('ACM Performance Curves'!$V$16,'Fan Curves - Ref Only'!AF$1,$Y8)</f>
        <v>-0.46086411799999999</v>
      </c>
      <c r="AG8" s="96">
        <f ca="1">OFFSET('ACM Performance Curves'!$V$16,'Fan Curves - Ref Only'!AG$1,$Y8)</f>
        <v>0.9506</v>
      </c>
      <c r="AH8" s="96">
        <f ca="1">OFFSET('ACM Performance Curves'!$V$16,'Fan Curves - Ref Only'!AH$1,$Y8)</f>
        <v>-7.2926119999999997E-2</v>
      </c>
      <c r="AI8" s="96">
        <v>0</v>
      </c>
    </row>
    <row r="9" spans="1:39" x14ac:dyDescent="0.3">
      <c r="A9">
        <f t="shared" si="3"/>
        <v>7</v>
      </c>
      <c r="B9" t="s">
        <v>20</v>
      </c>
      <c r="C9" s="124">
        <f t="shared" ca="1" si="4"/>
        <v>0.12809999999999999</v>
      </c>
      <c r="D9" s="124">
        <f t="shared" ca="1" si="4"/>
        <v>-0.29360000000000003</v>
      </c>
      <c r="E9" s="124">
        <f t="shared" ca="1" si="4"/>
        <v>-0.33339999999999997</v>
      </c>
      <c r="F9" s="124">
        <f t="shared" ca="1" si="4"/>
        <v>-0.81689999999999996</v>
      </c>
      <c r="G9" s="124">
        <f t="shared" ca="1" si="4"/>
        <v>-0.75409999999999999</v>
      </c>
      <c r="H9" s="124">
        <f t="shared" ca="1" si="4"/>
        <v>1.0092034400000001</v>
      </c>
      <c r="I9" s="124">
        <f t="shared" ca="1" si="4"/>
        <v>0.94373982300000003</v>
      </c>
      <c r="J9" s="124" t="e">
        <f t="shared" ca="1" si="4"/>
        <v>#N/A</v>
      </c>
      <c r="K9" s="124">
        <f t="shared" ca="1" si="4"/>
        <v>1</v>
      </c>
      <c r="Y9" s="100">
        <f t="shared" si="5"/>
        <v>3</v>
      </c>
      <c r="Z9" t="s">
        <v>20</v>
      </c>
      <c r="AA9" s="96">
        <f ca="1">OFFSET('ACM Performance Curves'!$V$16,'Fan Curves - Ref Only'!AA$1,$Y9)</f>
        <v>0.12809999999999999</v>
      </c>
      <c r="AB9" s="96">
        <f ca="1">OFFSET('ACM Performance Curves'!$V$16,'Fan Curves - Ref Only'!AB$1,$Y9)</f>
        <v>-0.29360000000000003</v>
      </c>
      <c r="AC9" s="96">
        <f ca="1">OFFSET('ACM Performance Curves'!$V$16,'Fan Curves - Ref Only'!AC$1,$Y9)</f>
        <v>-0.33339999999999997</v>
      </c>
      <c r="AD9" s="96">
        <f ca="1">OFFSET('ACM Performance Curves'!$V$16,'Fan Curves - Ref Only'!AD$1,$Y9)</f>
        <v>-0.81689999999999996</v>
      </c>
      <c r="AE9" s="96">
        <f ca="1">OFFSET('ACM Performance Curves'!$V$16,'Fan Curves - Ref Only'!AE$1,$Y9)</f>
        <v>-0.75409999999999999</v>
      </c>
      <c r="AF9" s="96">
        <f ca="1">OFFSET('ACM Performance Curves'!$V$16,'Fan Curves - Ref Only'!AF$1,$Y9)</f>
        <v>1.0092034400000001</v>
      </c>
      <c r="AG9" s="96">
        <f ca="1">OFFSET('ACM Performance Curves'!$V$16,'Fan Curves - Ref Only'!AG$1,$Y9)</f>
        <v>-9.98E-2</v>
      </c>
      <c r="AH9" s="96">
        <f ca="1">OFFSET('ACM Performance Curves'!$V$16,'Fan Curves - Ref Only'!AH$1,$Y9)</f>
        <v>0.94373982300000003</v>
      </c>
      <c r="AI9" s="96">
        <v>1</v>
      </c>
    </row>
    <row r="10" spans="1:39" x14ac:dyDescent="0.3">
      <c r="Y10" s="100"/>
    </row>
    <row r="12" spans="1:39" x14ac:dyDescent="0.3">
      <c r="B12">
        <v>0</v>
      </c>
      <c r="C12" s="98">
        <f ca="1">IF((C$6+(C$7*$B12)+(C$8*$B12^2)+(C$9*$B12^3))&lt;C$4,C$4,IF((C$6+(C$7*$B12)+(C$8*$B12^2)+(C$9*$B12^3))&gt;C$5,C$5,C$6+(C$7*$B12)+(C$8*$B12^2)+(C$9*$B12^3)))</f>
        <v>0.7</v>
      </c>
      <c r="D12" s="98">
        <f t="shared" ref="C12:K32" ca="1" si="6">IF((D$6+(D$7*$B12)+(D$8*$B12^2)+(D$9*$B12^3))&lt;D$4,D$4,IF((D$6+(D$7*$B12)+(D$8*$B12^2)+(D$9*$B12^3))&gt;D$5,D$5,D$6+(D$7*$B12)+(D$8*$B12^2)+(D$9*$B12^3)))</f>
        <v>0.99770000000000003</v>
      </c>
      <c r="E12" s="98">
        <f t="shared" ref="E12:K27" ca="1" si="7">IF((E$6+(E$7*$B12)+(E$8*$B12^2)+(E$9*$B12^3))&lt;E$4,E$4,IF((E$6+(E$7*$B12)+(E$8*$B12^2)+(E$9*$B12^3))&gt;E$5,E$5,E$6+(E$7*$B12)+(E$8*$B12^2)+(E$9*$B12^3)))</f>
        <v>0.5</v>
      </c>
      <c r="F12" s="98">
        <f t="shared" ca="1" si="7"/>
        <v>0.5</v>
      </c>
      <c r="G12" s="98">
        <f t="shared" ca="1" si="7"/>
        <v>0.4</v>
      </c>
      <c r="H12" s="98">
        <f t="shared" ca="1" si="7"/>
        <v>0.1</v>
      </c>
      <c r="I12" s="98">
        <f t="shared" ca="1" si="7"/>
        <v>0.10009999999999999</v>
      </c>
      <c r="J12" s="98" t="e">
        <f t="shared" ca="1" si="7"/>
        <v>#N/A</v>
      </c>
      <c r="K12" s="98">
        <f t="shared" ca="1" si="7"/>
        <v>0.1</v>
      </c>
      <c r="L12" s="99">
        <f ca="1">1-(D12/C12)</f>
        <v>-0.42528571428571449</v>
      </c>
      <c r="M12" s="99"/>
    </row>
    <row r="13" spans="1:39" x14ac:dyDescent="0.3">
      <c r="B13">
        <f>B12+0.05</f>
        <v>0.05</v>
      </c>
      <c r="C13" s="98">
        <f t="shared" ca="1" si="6"/>
        <v>0.7</v>
      </c>
      <c r="D13" s="98">
        <f t="shared" ca="1" si="6"/>
        <v>0.96710004999999999</v>
      </c>
      <c r="E13" s="98">
        <f t="shared" ca="1" si="7"/>
        <v>0.5</v>
      </c>
      <c r="F13" s="98">
        <f t="shared" ca="1" si="7"/>
        <v>0.5</v>
      </c>
      <c r="G13" s="98">
        <f t="shared" ca="1" si="7"/>
        <v>0.4</v>
      </c>
      <c r="H13" s="98">
        <f t="shared" ca="1" si="7"/>
        <v>0.1</v>
      </c>
      <c r="I13" s="98">
        <f t="shared" ca="1" si="7"/>
        <v>0.10009999999999999</v>
      </c>
      <c r="J13" s="98" t="e">
        <f t="shared" ca="1" si="7"/>
        <v>#N/A</v>
      </c>
      <c r="K13" s="98">
        <f t="shared" ca="1" si="7"/>
        <v>0.1</v>
      </c>
      <c r="L13" s="99">
        <f t="shared" ref="L13:L32" ca="1" si="8">1-(D13/C13)</f>
        <v>-0.38157150000000017</v>
      </c>
      <c r="M13" s="99"/>
    </row>
    <row r="14" spans="1:39" x14ac:dyDescent="0.3">
      <c r="B14">
        <f t="shared" ref="B14:B32" si="9">B13+0.05</f>
        <v>0.1</v>
      </c>
      <c r="C14" s="98">
        <f t="shared" ca="1" si="6"/>
        <v>0.7</v>
      </c>
      <c r="D14" s="98">
        <f t="shared" ca="1" si="6"/>
        <v>0.94105340000000004</v>
      </c>
      <c r="E14" s="98">
        <f t="shared" ca="1" si="7"/>
        <v>0.5</v>
      </c>
      <c r="F14" s="98">
        <f t="shared" ca="1" si="7"/>
        <v>0.5</v>
      </c>
      <c r="G14" s="98">
        <f t="shared" ca="1" si="7"/>
        <v>0.4</v>
      </c>
      <c r="H14" s="98">
        <f t="shared" ca="1" si="7"/>
        <v>0.10536243435999999</v>
      </c>
      <c r="I14" s="98">
        <f t="shared" ca="1" si="7"/>
        <v>0.10009999999999999</v>
      </c>
      <c r="J14" s="98" t="e">
        <f t="shared" ca="1" si="7"/>
        <v>#N/A</v>
      </c>
      <c r="K14" s="98">
        <f t="shared" ca="1" si="7"/>
        <v>0.1</v>
      </c>
      <c r="L14" s="99">
        <f t="shared" ca="1" si="8"/>
        <v>-0.34436200000000006</v>
      </c>
      <c r="M14" s="99"/>
    </row>
    <row r="15" spans="1:39" x14ac:dyDescent="0.3">
      <c r="B15">
        <f t="shared" si="9"/>
        <v>0.15000000000000002</v>
      </c>
      <c r="C15" s="98">
        <f t="shared" ca="1" si="6"/>
        <v>0.7</v>
      </c>
      <c r="D15" s="98">
        <f t="shared" ca="1" si="6"/>
        <v>0.91933985000000007</v>
      </c>
      <c r="E15" s="98">
        <f t="shared" ca="1" si="7"/>
        <v>0.5</v>
      </c>
      <c r="F15" s="98">
        <f t="shared" ca="1" si="7"/>
        <v>0.5</v>
      </c>
      <c r="G15" s="98">
        <f t="shared" ca="1" si="7"/>
        <v>0.4</v>
      </c>
      <c r="H15" s="98">
        <f t="shared" ca="1" si="7"/>
        <v>0.12126500110500001</v>
      </c>
      <c r="I15" s="98">
        <f t="shared" ca="1" si="7"/>
        <v>0.10009999999999999</v>
      </c>
      <c r="J15" s="98" t="e">
        <f t="shared" ca="1" si="7"/>
        <v>#N/A</v>
      </c>
      <c r="K15" s="98">
        <f t="shared" ca="1" si="7"/>
        <v>0.1</v>
      </c>
      <c r="L15" s="99">
        <f t="shared" ca="1" si="8"/>
        <v>-0.31334264285714308</v>
      </c>
      <c r="M15" s="99"/>
    </row>
    <row r="16" spans="1:39" x14ac:dyDescent="0.3">
      <c r="B16">
        <f t="shared" si="9"/>
        <v>0.2</v>
      </c>
      <c r="C16" s="98">
        <f t="shared" ca="1" si="6"/>
        <v>0.7</v>
      </c>
      <c r="D16" s="98">
        <f t="shared" ca="1" si="6"/>
        <v>0.90173919999999996</v>
      </c>
      <c r="E16" s="98">
        <f t="shared" ca="1" si="7"/>
        <v>0.5</v>
      </c>
      <c r="F16" s="98">
        <f t="shared" ca="1" si="7"/>
        <v>0.5</v>
      </c>
      <c r="G16" s="98">
        <f t="shared" ca="1" si="7"/>
        <v>0.4</v>
      </c>
      <c r="H16" s="98">
        <f t="shared" ca="1" si="7"/>
        <v>0.13713395500000003</v>
      </c>
      <c r="I16" s="98">
        <f t="shared" ca="1" si="7"/>
        <v>0.10009999999999999</v>
      </c>
      <c r="J16" s="98" t="e">
        <f t="shared" ca="1" si="7"/>
        <v>#N/A</v>
      </c>
      <c r="K16" s="98">
        <f t="shared" ca="1" si="7"/>
        <v>0.1</v>
      </c>
      <c r="L16" s="99">
        <f t="shared" ca="1" si="8"/>
        <v>-0.28819885714285709</v>
      </c>
      <c r="M16" s="99"/>
    </row>
    <row r="17" spans="2:13" x14ac:dyDescent="0.3">
      <c r="B17">
        <f t="shared" si="9"/>
        <v>0.25</v>
      </c>
      <c r="C17" s="98">
        <f t="shared" ca="1" si="6"/>
        <v>0.7</v>
      </c>
      <c r="D17" s="98">
        <f t="shared" ca="1" si="6"/>
        <v>0.88803125000000016</v>
      </c>
      <c r="E17" s="98">
        <f t="shared" ca="1" si="7"/>
        <v>0.5</v>
      </c>
      <c r="F17" s="98">
        <f t="shared" ca="1" si="7"/>
        <v>0.5</v>
      </c>
      <c r="G17" s="98">
        <f t="shared" ca="1" si="7"/>
        <v>0.4</v>
      </c>
      <c r="H17" s="98">
        <f t="shared" ca="1" si="7"/>
        <v>0.153726198625</v>
      </c>
      <c r="I17" s="98">
        <f t="shared" ca="1" si="7"/>
        <v>0.10009999999999999</v>
      </c>
      <c r="J17" s="98" t="e">
        <f t="shared" ca="1" si="7"/>
        <v>#N/A</v>
      </c>
      <c r="K17" s="98">
        <f t="shared" ca="1" si="7"/>
        <v>0.1</v>
      </c>
      <c r="L17" s="99">
        <f t="shared" ca="1" si="8"/>
        <v>-0.26861607142857169</v>
      </c>
      <c r="M17" s="99"/>
    </row>
    <row r="18" spans="2:13" x14ac:dyDescent="0.3">
      <c r="B18">
        <f t="shared" si="9"/>
        <v>0.3</v>
      </c>
      <c r="C18" s="98">
        <f t="shared" ca="1" si="6"/>
        <v>0.7</v>
      </c>
      <c r="D18" s="98">
        <f t="shared" ca="1" si="6"/>
        <v>0.87799579999999999</v>
      </c>
      <c r="E18" s="98">
        <f t="shared" ca="1" si="7"/>
        <v>0.5</v>
      </c>
      <c r="F18" s="98">
        <f t="shared" ca="1" si="7"/>
        <v>0.5</v>
      </c>
      <c r="G18" s="98">
        <f t="shared" ca="1" si="7"/>
        <v>0.4</v>
      </c>
      <c r="H18" s="98">
        <f t="shared" ca="1" si="7"/>
        <v>0.17179863456</v>
      </c>
      <c r="I18" s="98">
        <f t="shared" ca="1" si="7"/>
        <v>0.10009999999999999</v>
      </c>
      <c r="J18" s="98" t="e">
        <f t="shared" ca="1" si="7"/>
        <v>#N/A</v>
      </c>
      <c r="K18" s="98">
        <f t="shared" ca="1" si="7"/>
        <v>0.1</v>
      </c>
      <c r="L18" s="99">
        <f t="shared" ca="1" si="8"/>
        <v>-0.25427971428571428</v>
      </c>
      <c r="M18" s="99"/>
    </row>
    <row r="19" spans="2:13" x14ac:dyDescent="0.3">
      <c r="B19">
        <f t="shared" si="9"/>
        <v>0.35</v>
      </c>
      <c r="C19" s="98">
        <f t="shared" ca="1" si="6"/>
        <v>0.7</v>
      </c>
      <c r="D19" s="98">
        <f t="shared" ca="1" si="6"/>
        <v>0.87141265000000001</v>
      </c>
      <c r="E19" s="98">
        <f t="shared" ca="1" si="7"/>
        <v>0.5</v>
      </c>
      <c r="F19" s="98">
        <f t="shared" ca="1" si="7"/>
        <v>0.5</v>
      </c>
      <c r="G19" s="98">
        <f t="shared" ca="1" si="7"/>
        <v>0.4</v>
      </c>
      <c r="H19" s="98">
        <f t="shared" ca="1" si="7"/>
        <v>0.19210816538500003</v>
      </c>
      <c r="I19" s="98">
        <f t="shared" ca="1" si="7"/>
        <v>0.10310502871112499</v>
      </c>
      <c r="J19" s="98" t="e">
        <f t="shared" ca="1" si="7"/>
        <v>#N/A</v>
      </c>
      <c r="K19" s="98">
        <f t="shared" ca="1" si="7"/>
        <v>0.1</v>
      </c>
      <c r="L19" s="99">
        <f t="shared" ca="1" si="8"/>
        <v>-0.24487521428571446</v>
      </c>
      <c r="M19" s="99"/>
    </row>
    <row r="20" spans="2:13" x14ac:dyDescent="0.3">
      <c r="B20">
        <f t="shared" si="9"/>
        <v>0.39999999999999997</v>
      </c>
      <c r="C20" s="98">
        <f t="shared" ca="1" si="6"/>
        <v>0.7</v>
      </c>
      <c r="D20" s="98">
        <f t="shared" ca="1" si="6"/>
        <v>0.871</v>
      </c>
      <c r="E20" s="98">
        <f t="shared" ca="1" si="7"/>
        <v>0.5</v>
      </c>
      <c r="F20" s="98">
        <f t="shared" ca="1" si="7"/>
        <v>0.5</v>
      </c>
      <c r="G20" s="98">
        <f t="shared" ca="1" si="7"/>
        <v>0.4</v>
      </c>
      <c r="H20" s="98">
        <f t="shared" ca="1" si="7"/>
        <v>0.21541169367999996</v>
      </c>
      <c r="I20" s="98">
        <f t="shared" ca="1" si="7"/>
        <v>0.12470905147199998</v>
      </c>
      <c r="J20" s="98" t="e">
        <f t="shared" ca="1" si="7"/>
        <v>#N/A</v>
      </c>
      <c r="K20" s="98">
        <f t="shared" ca="1" si="7"/>
        <v>0.1</v>
      </c>
      <c r="L20" s="99">
        <f t="shared" ca="1" si="8"/>
        <v>-0.24428571428571444</v>
      </c>
      <c r="M20" s="99"/>
    </row>
    <row r="21" spans="2:13" x14ac:dyDescent="0.3">
      <c r="B21">
        <f t="shared" si="9"/>
        <v>0.44999999999999996</v>
      </c>
      <c r="C21" s="98">
        <f t="shared" ca="1" si="6"/>
        <v>0.71177386250000008</v>
      </c>
      <c r="D21" s="98">
        <f t="shared" ca="1" si="6"/>
        <v>0.871</v>
      </c>
      <c r="E21" s="98">
        <f t="shared" ca="1" si="7"/>
        <v>0.5</v>
      </c>
      <c r="F21" s="98">
        <f t="shared" ca="1" si="7"/>
        <v>0.5</v>
      </c>
      <c r="G21" s="98">
        <f t="shared" ca="1" si="7"/>
        <v>0.4</v>
      </c>
      <c r="H21" s="98">
        <f t="shared" ca="1" si="7"/>
        <v>0.24246612202499995</v>
      </c>
      <c r="I21" s="98">
        <f t="shared" ca="1" si="7"/>
        <v>0.15161088257087496</v>
      </c>
      <c r="J21" s="98" t="e">
        <f t="shared" ca="1" si="7"/>
        <v>#N/A</v>
      </c>
      <c r="K21" s="98">
        <f t="shared" ca="1" si="7"/>
        <v>0.1</v>
      </c>
      <c r="L21" s="99">
        <f t="shared" ca="1" si="8"/>
        <v>-0.22370326572647903</v>
      </c>
      <c r="M21" s="99"/>
    </row>
    <row r="22" spans="2:13" x14ac:dyDescent="0.3">
      <c r="B22">
        <f t="shared" si="9"/>
        <v>0.49999999999999994</v>
      </c>
      <c r="C22" s="98">
        <f t="shared" ca="1" si="6"/>
        <v>0.75373749999999995</v>
      </c>
      <c r="D22" s="98">
        <f t="shared" ca="1" si="6"/>
        <v>0.871</v>
      </c>
      <c r="E22" s="98">
        <f t="shared" ca="1" si="7"/>
        <v>0.53629999999999989</v>
      </c>
      <c r="F22" s="98">
        <f t="shared" ca="1" si="7"/>
        <v>0.5</v>
      </c>
      <c r="G22" s="98">
        <f t="shared" ca="1" si="7"/>
        <v>0.4</v>
      </c>
      <c r="H22" s="98">
        <f t="shared" ca="1" si="7"/>
        <v>0.27402835299999995</v>
      </c>
      <c r="I22" s="98">
        <f t="shared" ca="1" si="7"/>
        <v>0.18451832687499997</v>
      </c>
      <c r="J22" s="98" t="e">
        <f t="shared" ca="1" si="7"/>
        <v>#N/A</v>
      </c>
      <c r="K22" s="98">
        <f t="shared" ca="1" si="7"/>
        <v>0.12499999999999996</v>
      </c>
      <c r="L22" s="99">
        <f t="shared" ca="1" si="8"/>
        <v>-0.15557471931541156</v>
      </c>
      <c r="M22" s="99"/>
    </row>
    <row r="23" spans="2:13" x14ac:dyDescent="0.3">
      <c r="B23">
        <f t="shared" si="9"/>
        <v>0.54999999999999993</v>
      </c>
      <c r="C23" s="98">
        <f t="shared" ca="1" si="6"/>
        <v>0.79225338750000007</v>
      </c>
      <c r="D23" s="98">
        <f t="shared" ca="1" si="6"/>
        <v>0.87519905000000009</v>
      </c>
      <c r="E23" s="98">
        <f t="shared" ca="1" si="7"/>
        <v>0.58451632499999995</v>
      </c>
      <c r="F23" s="98">
        <f t="shared" ca="1" si="7"/>
        <v>0.5</v>
      </c>
      <c r="G23" s="98">
        <f t="shared" ca="1" si="7"/>
        <v>0.41980386249999979</v>
      </c>
      <c r="H23" s="98">
        <f t="shared" ca="1" si="7"/>
        <v>0.31085528918499994</v>
      </c>
      <c r="I23" s="98">
        <f t="shared" ca="1" si="7"/>
        <v>0.22413918925162496</v>
      </c>
      <c r="J23" s="98" t="e">
        <f t="shared" ca="1" si="7"/>
        <v>#N/A</v>
      </c>
      <c r="K23" s="98">
        <f t="shared" ca="1" si="7"/>
        <v>0.16637499999999994</v>
      </c>
      <c r="L23" s="99">
        <f t="shared" ca="1" si="8"/>
        <v>-0.1046958761031489</v>
      </c>
      <c r="M23" s="99"/>
    </row>
    <row r="24" spans="2:13" x14ac:dyDescent="0.3">
      <c r="B24">
        <f t="shared" si="9"/>
        <v>0.6</v>
      </c>
      <c r="C24" s="98">
        <f t="shared" ca="1" si="6"/>
        <v>0.82741759999999986</v>
      </c>
      <c r="D24" s="98">
        <f t="shared" ca="1" si="6"/>
        <v>0.88257440000000009</v>
      </c>
      <c r="E24" s="98">
        <f t="shared" ca="1" si="7"/>
        <v>0.63297359999999991</v>
      </c>
      <c r="F24" s="98">
        <f t="shared" ca="1" si="7"/>
        <v>0.5</v>
      </c>
      <c r="G24" s="98">
        <f t="shared" ca="1" si="7"/>
        <v>0.47677839999999994</v>
      </c>
      <c r="H24" s="98">
        <f t="shared" ca="1" si="7"/>
        <v>0.35370383315999998</v>
      </c>
      <c r="I24" s="98">
        <f t="shared" ca="1" si="7"/>
        <v>0.27118127456800001</v>
      </c>
      <c r="J24" s="98" t="e">
        <f t="shared" ca="1" si="7"/>
        <v>#N/A</v>
      </c>
      <c r="K24" s="98">
        <f t="shared" ca="1" si="7"/>
        <v>0.216</v>
      </c>
      <c r="L24" s="99">
        <f t="shared" ca="1" si="8"/>
        <v>-6.6661381145385556E-2</v>
      </c>
      <c r="M24" s="99"/>
    </row>
    <row r="25" spans="2:13" x14ac:dyDescent="0.3">
      <c r="B25">
        <f t="shared" si="9"/>
        <v>0.65</v>
      </c>
      <c r="C25" s="98">
        <f t="shared" ca="1" si="6"/>
        <v>0.85932621250000008</v>
      </c>
      <c r="D25" s="98">
        <f t="shared" ca="1" si="6"/>
        <v>0.89208085000000004</v>
      </c>
      <c r="E25" s="98">
        <f t="shared" ca="1" si="7"/>
        <v>0.68142177500000001</v>
      </c>
      <c r="F25" s="98">
        <f t="shared" ca="1" si="7"/>
        <v>0.54523908750000005</v>
      </c>
      <c r="G25" s="98">
        <f t="shared" ca="1" si="7"/>
        <v>0.53692053749999991</v>
      </c>
      <c r="H25" s="98">
        <f t="shared" ca="1" si="7"/>
        <v>0.40333088750500007</v>
      </c>
      <c r="I25" s="98">
        <f t="shared" ca="1" si="7"/>
        <v>0.32635238769137509</v>
      </c>
      <c r="J25" s="98" t="e">
        <f t="shared" ca="1" si="7"/>
        <v>#N/A</v>
      </c>
      <c r="K25" s="98">
        <f t="shared" ca="1" si="7"/>
        <v>0.27462500000000006</v>
      </c>
      <c r="L25" s="99">
        <f t="shared" ca="1" si="8"/>
        <v>-3.8116651189666673E-2</v>
      </c>
      <c r="M25" s="99"/>
    </row>
    <row r="26" spans="2:13" x14ac:dyDescent="0.3">
      <c r="B26">
        <f t="shared" si="9"/>
        <v>0.70000000000000007</v>
      </c>
      <c r="C26" s="98">
        <f t="shared" ca="1" si="6"/>
        <v>0.88807530000000012</v>
      </c>
      <c r="D26" s="98">
        <f t="shared" ca="1" si="6"/>
        <v>0.90349819999999992</v>
      </c>
      <c r="E26" s="98">
        <f t="shared" ca="1" si="7"/>
        <v>0.72961080000000011</v>
      </c>
      <c r="F26" s="98">
        <f t="shared" ca="1" si="7"/>
        <v>0.60476430000000003</v>
      </c>
      <c r="G26" s="98">
        <f t="shared" ca="1" si="7"/>
        <v>0.59966470000000005</v>
      </c>
      <c r="H26" s="98">
        <f t="shared" ca="1" si="7"/>
        <v>0.46049335480000009</v>
      </c>
      <c r="I26" s="98">
        <f t="shared" ca="1" si="7"/>
        <v>0.39036033348900012</v>
      </c>
      <c r="J26" s="98" t="e">
        <f t="shared" ca="1" si="7"/>
        <v>#N/A</v>
      </c>
      <c r="K26" s="98">
        <f t="shared" ca="1" si="7"/>
        <v>0.34300000000000008</v>
      </c>
      <c r="L26" s="99">
        <f t="shared" ca="1" si="8"/>
        <v>-1.736665798497028E-2</v>
      </c>
      <c r="M26" s="99"/>
    </row>
    <row r="27" spans="2:13" x14ac:dyDescent="0.3">
      <c r="B27">
        <f t="shared" si="9"/>
        <v>0.75000000000000011</v>
      </c>
      <c r="C27" s="98">
        <f t="shared" ca="1" si="6"/>
        <v>0.91376093749999998</v>
      </c>
      <c r="D27" s="98">
        <f t="shared" ca="1" si="6"/>
        <v>0.91660624999999996</v>
      </c>
      <c r="E27" s="98">
        <f t="shared" ca="1" si="7"/>
        <v>0.77729062500000012</v>
      </c>
      <c r="F27" s="98">
        <f t="shared" ca="1" si="7"/>
        <v>0.66707656250000014</v>
      </c>
      <c r="G27" s="98">
        <f t="shared" ca="1" si="7"/>
        <v>0.66444531250000005</v>
      </c>
      <c r="H27" s="98">
        <f t="shared" ca="1" si="7"/>
        <v>0.52594813762500014</v>
      </c>
      <c r="I27" s="98">
        <f t="shared" ca="1" si="7"/>
        <v>0.46391291682812524</v>
      </c>
      <c r="J27" s="98" t="e">
        <f t="shared" ca="1" si="7"/>
        <v>#N/A</v>
      </c>
      <c r="K27" s="98">
        <f t="shared" ca="1" si="7"/>
        <v>0.42187500000000022</v>
      </c>
      <c r="L27" s="99">
        <f t="shared" ca="1" si="8"/>
        <v>-3.113847816459181E-3</v>
      </c>
      <c r="M27" s="99"/>
    </row>
    <row r="28" spans="2:13" x14ac:dyDescent="0.3">
      <c r="B28">
        <f t="shared" si="9"/>
        <v>0.80000000000000016</v>
      </c>
      <c r="C28" s="98">
        <f t="shared" ca="1" si="6"/>
        <v>0.93647920000000018</v>
      </c>
      <c r="D28" s="98">
        <f t="shared" ca="1" si="6"/>
        <v>0.93118480000000003</v>
      </c>
      <c r="E28" s="98">
        <f t="shared" ca="1" si="6"/>
        <v>0.82421120000000014</v>
      </c>
      <c r="F28" s="98">
        <f t="shared" ca="1" si="6"/>
        <v>0.73156320000000008</v>
      </c>
      <c r="G28" s="98">
        <f t="shared" ca="1" si="6"/>
        <v>0.73069680000000015</v>
      </c>
      <c r="H28" s="98">
        <f t="shared" ca="1" si="6"/>
        <v>0.60045213856000013</v>
      </c>
      <c r="I28" s="98">
        <f t="shared" ca="1" si="6"/>
        <v>0.54771794257600026</v>
      </c>
      <c r="J28" s="98" t="e">
        <f t="shared" ca="1" si="6"/>
        <v>#N/A</v>
      </c>
      <c r="K28" s="98">
        <f t="shared" ca="1" si="6"/>
        <v>0.51200000000000023</v>
      </c>
      <c r="L28" s="99">
        <f t="shared" ca="1" si="8"/>
        <v>5.6535158495780724E-3</v>
      </c>
      <c r="M28" s="99"/>
    </row>
    <row r="29" spans="2:13" x14ac:dyDescent="0.3">
      <c r="B29">
        <f t="shared" si="9"/>
        <v>0.8500000000000002</v>
      </c>
      <c r="C29" s="98">
        <f t="shared" ca="1" si="6"/>
        <v>0.95632616250000024</v>
      </c>
      <c r="D29" s="98">
        <f t="shared" ca="1" si="6"/>
        <v>0.94701365000000004</v>
      </c>
      <c r="E29" s="98">
        <f t="shared" ca="1" si="6"/>
        <v>0.87012247500000006</v>
      </c>
      <c r="F29" s="98">
        <f t="shared" ca="1" si="6"/>
        <v>0.79761153750000036</v>
      </c>
      <c r="G29" s="98">
        <f t="shared" ca="1" si="6"/>
        <v>0.79785358750000002</v>
      </c>
      <c r="H29" s="98">
        <f t="shared" ca="1" si="6"/>
        <v>0.68476226018500042</v>
      </c>
      <c r="I29" s="98">
        <f t="shared" ca="1" si="6"/>
        <v>0.64248321559987542</v>
      </c>
      <c r="J29" s="98" t="e">
        <f t="shared" ca="1" si="6"/>
        <v>#N/A</v>
      </c>
      <c r="K29" s="98">
        <f t="shared" ca="1" si="6"/>
        <v>0.61412500000000048</v>
      </c>
      <c r="L29" s="99">
        <f t="shared" ca="1" si="8"/>
        <v>9.7377995763032743E-3</v>
      </c>
      <c r="M29" s="99"/>
    </row>
    <row r="30" spans="2:13" x14ac:dyDescent="0.3">
      <c r="B30">
        <f t="shared" si="9"/>
        <v>0.90000000000000024</v>
      </c>
      <c r="C30" s="98">
        <f t="shared" ca="1" si="6"/>
        <v>0.97339790000000015</v>
      </c>
      <c r="D30" s="98">
        <f t="shared" ca="1" si="6"/>
        <v>0.96387260000000008</v>
      </c>
      <c r="E30" s="98">
        <f t="shared" ca="1" si="6"/>
        <v>0.91477440000000032</v>
      </c>
      <c r="F30" s="98">
        <f t="shared" ca="1" si="6"/>
        <v>0.86460890000000024</v>
      </c>
      <c r="G30" s="98">
        <f t="shared" ca="1" si="6"/>
        <v>0.86535010000000034</v>
      </c>
      <c r="H30" s="98">
        <f t="shared" ca="1" si="6"/>
        <v>0.7796354050800004</v>
      </c>
      <c r="I30" s="98">
        <f t="shared" ca="1" si="6"/>
        <v>0.74891654076700054</v>
      </c>
      <c r="J30" s="98" t="e">
        <f t="shared" ca="1" si="6"/>
        <v>#N/A</v>
      </c>
      <c r="K30" s="98">
        <f t="shared" ca="1" si="6"/>
        <v>0.72900000000000054</v>
      </c>
      <c r="L30" s="99">
        <f t="shared" ca="1" si="8"/>
        <v>9.7856179882862548E-3</v>
      </c>
      <c r="M30" s="99"/>
    </row>
    <row r="31" spans="2:13" x14ac:dyDescent="0.3">
      <c r="B31">
        <f t="shared" si="9"/>
        <v>0.95000000000000029</v>
      </c>
      <c r="C31" s="98">
        <f t="shared" ca="1" si="6"/>
        <v>0.9877904875000002</v>
      </c>
      <c r="D31" s="98">
        <f t="shared" ca="1" si="6"/>
        <v>0.98154145000000004</v>
      </c>
      <c r="E31" s="98">
        <f t="shared" ca="1" si="6"/>
        <v>0.95791692500000036</v>
      </c>
      <c r="F31" s="98">
        <f t="shared" ca="1" si="6"/>
        <v>0.93194261250000043</v>
      </c>
      <c r="G31" s="98">
        <f t="shared" ca="1" si="6"/>
        <v>0.93262076250000014</v>
      </c>
      <c r="H31" s="98">
        <f t="shared" ca="1" si="6"/>
        <v>0.88582847582500057</v>
      </c>
      <c r="I31" s="98">
        <f t="shared" ca="1" si="6"/>
        <v>0.86772572294462569</v>
      </c>
      <c r="J31" s="98" t="e">
        <f t="shared" ca="1" si="6"/>
        <v>#N/A</v>
      </c>
      <c r="K31" s="98">
        <f t="shared" ca="1" si="6"/>
        <v>0.85737500000000078</v>
      </c>
      <c r="L31" s="99">
        <f t="shared" ca="1" si="8"/>
        <v>6.3262782736609458E-3</v>
      </c>
      <c r="M31" s="99"/>
    </row>
    <row r="32" spans="2:13" x14ac:dyDescent="0.3">
      <c r="B32">
        <f t="shared" si="9"/>
        <v>1.0000000000000002</v>
      </c>
      <c r="C32" s="98">
        <f t="shared" ca="1" si="6"/>
        <v>0.99960000000000016</v>
      </c>
      <c r="D32" s="98">
        <f t="shared" ca="1" si="6"/>
        <v>0.99980000000000002</v>
      </c>
      <c r="E32" s="98">
        <f t="shared" ca="1" si="6"/>
        <v>0.9993000000000003</v>
      </c>
      <c r="F32" s="98">
        <f t="shared" ca="1" si="6"/>
        <v>0.999</v>
      </c>
      <c r="G32" s="98">
        <f t="shared" ca="1" si="6"/>
        <v>0.99909999999999999</v>
      </c>
      <c r="H32" s="98">
        <f t="shared" ca="1" si="6"/>
        <v>1</v>
      </c>
      <c r="I32" s="98">
        <f t="shared" ca="1" si="6"/>
        <v>0.99961856700000074</v>
      </c>
      <c r="J32" s="98" t="e">
        <f t="shared" ca="1" si="6"/>
        <v>#N/A</v>
      </c>
      <c r="K32" s="98">
        <f t="shared" ca="1" si="6"/>
        <v>1.0000000000000007</v>
      </c>
      <c r="L32" s="99">
        <f t="shared" ca="1" si="8"/>
        <v>-2.0008003201277269E-4</v>
      </c>
      <c r="M32" s="99"/>
    </row>
    <row r="33" spans="3:13" x14ac:dyDescent="0.3">
      <c r="C33" s="98"/>
      <c r="D33" s="98"/>
      <c r="E33" s="98"/>
      <c r="F33" s="98"/>
      <c r="G33" s="98"/>
      <c r="H33" s="98"/>
      <c r="I33" s="98"/>
      <c r="J33" s="98"/>
      <c r="K33" s="98"/>
      <c r="L33" s="99"/>
      <c r="M33" s="99"/>
    </row>
    <row r="34" spans="3:13" x14ac:dyDescent="0.3">
      <c r="C34" s="98"/>
      <c r="D34" s="98"/>
      <c r="E34" s="98"/>
      <c r="F34" s="98"/>
      <c r="G34" s="98"/>
      <c r="H34" s="98"/>
      <c r="I34" s="98"/>
      <c r="J34" s="98"/>
      <c r="K34" s="98"/>
      <c r="L34" s="99"/>
      <c r="M34" s="99"/>
    </row>
    <row r="35" spans="3:13" x14ac:dyDescent="0.3">
      <c r="C35" s="98"/>
      <c r="D35" s="98"/>
      <c r="E35" s="98"/>
      <c r="F35" s="98"/>
      <c r="G35" s="98"/>
      <c r="H35" s="98"/>
      <c r="I35" s="98"/>
      <c r="J35" s="98"/>
      <c r="K35" s="98"/>
      <c r="L35" s="99"/>
      <c r="M35" s="99"/>
    </row>
    <row r="36" spans="3:13" x14ac:dyDescent="0.3">
      <c r="C36" s="98"/>
      <c r="D36" s="98"/>
      <c r="E36" s="98"/>
      <c r="F36" s="98"/>
      <c r="G36" s="98"/>
      <c r="H36" s="98"/>
      <c r="I36" s="98"/>
      <c r="J36" s="98"/>
      <c r="K36" s="98"/>
      <c r="L36" s="99"/>
      <c r="M36" s="99"/>
    </row>
    <row r="37" spans="3:13" x14ac:dyDescent="0.3">
      <c r="C37" s="98"/>
      <c r="D37" s="98"/>
      <c r="E37" s="98"/>
      <c r="F37" s="98"/>
      <c r="G37" s="98"/>
      <c r="H37" s="98"/>
      <c r="I37" s="98"/>
      <c r="J37" s="98"/>
      <c r="K37" s="98"/>
      <c r="L37" s="99"/>
      <c r="M37" s="99"/>
    </row>
    <row r="38" spans="3:13" x14ac:dyDescent="0.3">
      <c r="C38" s="98"/>
      <c r="D38" s="98"/>
      <c r="E38" s="98"/>
      <c r="F38" s="98"/>
      <c r="G38" s="98"/>
      <c r="H38" s="98"/>
      <c r="I38" s="98"/>
      <c r="J38" s="98"/>
      <c r="K38" s="98"/>
      <c r="L38" s="99"/>
      <c r="M38" s="99"/>
    </row>
    <row r="39" spans="3:13" x14ac:dyDescent="0.3">
      <c r="C39" s="98"/>
      <c r="D39" s="98"/>
      <c r="E39" s="98"/>
      <c r="F39" s="98"/>
      <c r="G39" s="98"/>
      <c r="H39" s="98"/>
      <c r="I39" s="98"/>
      <c r="J39" s="98"/>
      <c r="K39" s="98"/>
      <c r="L39" s="99"/>
      <c r="M39" s="99"/>
    </row>
    <row r="40" spans="3:13" x14ac:dyDescent="0.3">
      <c r="C40" s="98"/>
      <c r="D40" s="98"/>
      <c r="E40" s="98"/>
      <c r="F40" s="98"/>
      <c r="G40" s="98"/>
      <c r="H40" s="98"/>
      <c r="I40" s="98"/>
      <c r="J40" s="98"/>
      <c r="K40" s="98"/>
      <c r="L40" s="99"/>
      <c r="M40" s="99"/>
    </row>
    <row r="41" spans="3:13" x14ac:dyDescent="0.3">
      <c r="C41" s="98"/>
      <c r="D41" s="98"/>
      <c r="E41" s="98"/>
      <c r="F41" s="98"/>
      <c r="G41" s="98"/>
      <c r="H41" s="98"/>
      <c r="I41" s="98"/>
      <c r="J41" s="98"/>
      <c r="K41" s="98"/>
      <c r="L41" s="99"/>
      <c r="M41" s="99"/>
    </row>
    <row r="42" spans="3:13" x14ac:dyDescent="0.3">
      <c r="C42" s="98"/>
      <c r="D42" s="98"/>
      <c r="E42" s="98"/>
      <c r="F42" s="98"/>
      <c r="G42" s="98"/>
      <c r="H42" s="98"/>
      <c r="I42" s="98"/>
      <c r="J42" s="98"/>
      <c r="K42" s="98"/>
      <c r="L42" s="99"/>
      <c r="M42" s="99"/>
    </row>
    <row r="43" spans="3:13" x14ac:dyDescent="0.3">
      <c r="C43" s="98"/>
      <c r="D43" s="98"/>
      <c r="E43" s="98"/>
      <c r="F43" s="98"/>
      <c r="G43" s="98"/>
      <c r="H43" s="98"/>
      <c r="I43" s="98"/>
      <c r="J43" s="98"/>
      <c r="K43" s="98"/>
      <c r="L43" s="99"/>
      <c r="M43" s="99"/>
    </row>
    <row r="44" spans="3:13" x14ac:dyDescent="0.3">
      <c r="C44" s="98"/>
      <c r="D44" s="98"/>
      <c r="E44" s="98"/>
      <c r="F44" s="98"/>
      <c r="G44" s="98"/>
      <c r="H44" s="98"/>
      <c r="I44" s="98"/>
      <c r="J44" s="98"/>
      <c r="K44" s="98"/>
      <c r="L44" s="99"/>
      <c r="M44" s="99"/>
    </row>
    <row r="45" spans="3:13" x14ac:dyDescent="0.3">
      <c r="C45" s="98"/>
      <c r="D45" s="98"/>
      <c r="E45" s="98"/>
      <c r="F45" s="98"/>
      <c r="G45" s="98"/>
      <c r="H45" s="98"/>
      <c r="I45" s="98"/>
      <c r="J45" s="98"/>
      <c r="K45" s="98"/>
      <c r="L45" s="99"/>
      <c r="M45" s="99"/>
    </row>
    <row r="46" spans="3:13" x14ac:dyDescent="0.3">
      <c r="C46" s="98"/>
      <c r="D46" s="98"/>
      <c r="E46" s="98"/>
      <c r="F46" s="98"/>
      <c r="G46" s="98"/>
      <c r="H46" s="98"/>
      <c r="I46" s="98"/>
      <c r="J46" s="98"/>
      <c r="K46" s="98"/>
      <c r="L46" s="99"/>
      <c r="M46" s="99"/>
    </row>
    <row r="47" spans="3:13" x14ac:dyDescent="0.3">
      <c r="C47" s="98"/>
      <c r="D47" s="98"/>
      <c r="E47" s="98"/>
      <c r="F47" s="98"/>
      <c r="G47" s="98"/>
      <c r="H47" s="98"/>
      <c r="I47" s="98"/>
      <c r="J47" s="98"/>
      <c r="K47" s="98"/>
      <c r="L47" s="99"/>
      <c r="M47" s="99"/>
    </row>
    <row r="48" spans="3:13" x14ac:dyDescent="0.3">
      <c r="C48" s="98"/>
      <c r="D48" s="98"/>
      <c r="E48" s="98"/>
      <c r="F48" s="98"/>
      <c r="G48" s="98"/>
      <c r="H48" s="98"/>
      <c r="I48" s="98"/>
      <c r="J48" s="98"/>
      <c r="K48" s="98"/>
      <c r="L48" s="99"/>
      <c r="M48" s="99"/>
    </row>
    <row r="49" spans="3:13" x14ac:dyDescent="0.3">
      <c r="C49" s="98"/>
      <c r="D49" s="98"/>
      <c r="E49" s="98"/>
      <c r="F49" s="98"/>
      <c r="G49" s="98"/>
      <c r="H49" s="98"/>
      <c r="I49" s="98"/>
      <c r="J49" s="98"/>
      <c r="K49" s="98"/>
      <c r="L49" s="99"/>
      <c r="M49" s="99"/>
    </row>
    <row r="50" spans="3:13" x14ac:dyDescent="0.3">
      <c r="C50" s="98"/>
      <c r="D50" s="98"/>
      <c r="E50" s="98"/>
      <c r="F50" s="98"/>
      <c r="G50" s="98"/>
      <c r="H50" s="98"/>
      <c r="I50" s="98"/>
      <c r="J50" s="98"/>
      <c r="K50" s="98"/>
      <c r="L50" s="99"/>
      <c r="M50" s="99"/>
    </row>
    <row r="51" spans="3:13" x14ac:dyDescent="0.3">
      <c r="C51" s="98"/>
      <c r="D51" s="98"/>
      <c r="E51" s="98"/>
      <c r="F51" s="98"/>
      <c r="G51" s="98"/>
      <c r="H51" s="98"/>
      <c r="I51" s="98"/>
      <c r="J51" s="98"/>
      <c r="K51" s="98"/>
      <c r="L51" s="99"/>
      <c r="M51" s="99"/>
    </row>
    <row r="52" spans="3:13" x14ac:dyDescent="0.3">
      <c r="C52" s="98"/>
      <c r="D52" s="98"/>
      <c r="E52" s="98"/>
      <c r="F52" s="98"/>
      <c r="G52" s="98"/>
      <c r="H52" s="98"/>
      <c r="I52" s="98"/>
      <c r="J52" s="98"/>
      <c r="K52" s="98"/>
      <c r="L52" s="99"/>
      <c r="M52" s="99"/>
    </row>
    <row r="53" spans="3:13" x14ac:dyDescent="0.3">
      <c r="C53" s="98"/>
      <c r="D53" s="98"/>
      <c r="E53" s="98"/>
      <c r="F53" s="98"/>
      <c r="G53" s="98"/>
      <c r="H53" s="98"/>
      <c r="I53" s="98"/>
      <c r="J53" s="98"/>
      <c r="K53" s="98"/>
      <c r="L53" s="99"/>
      <c r="M53" s="99"/>
    </row>
    <row r="54" spans="3:13" x14ac:dyDescent="0.3">
      <c r="C54" s="98"/>
      <c r="D54" s="98"/>
      <c r="E54" s="98"/>
      <c r="F54" s="98"/>
      <c r="G54" s="98"/>
      <c r="H54" s="98"/>
      <c r="I54" s="98"/>
      <c r="J54" s="98"/>
      <c r="K54" s="98"/>
      <c r="L54" s="99"/>
      <c r="M54" s="99"/>
    </row>
    <row r="55" spans="3:13" x14ac:dyDescent="0.3">
      <c r="C55" s="98"/>
      <c r="D55" s="98"/>
      <c r="E55" s="98"/>
      <c r="F55" s="98"/>
      <c r="G55" s="98"/>
      <c r="H55" s="98"/>
      <c r="I55" s="98"/>
      <c r="J55" s="98"/>
      <c r="K55" s="98"/>
      <c r="L55" s="99"/>
      <c r="M55" s="99"/>
    </row>
    <row r="56" spans="3:13" x14ac:dyDescent="0.3">
      <c r="C56" s="98"/>
      <c r="D56" s="98"/>
      <c r="E56" s="98"/>
      <c r="F56" s="98"/>
      <c r="G56" s="98"/>
      <c r="H56" s="98"/>
      <c r="I56" s="98"/>
      <c r="J56" s="98"/>
      <c r="K56" s="98"/>
      <c r="L56" s="99"/>
      <c r="M56" s="99"/>
    </row>
    <row r="57" spans="3:13" x14ac:dyDescent="0.3">
      <c r="C57" s="98"/>
      <c r="D57" s="98"/>
      <c r="E57" s="98"/>
      <c r="F57" s="98"/>
      <c r="G57" s="98"/>
      <c r="H57" s="98"/>
      <c r="I57" s="98"/>
      <c r="J57" s="98"/>
      <c r="K57" s="98"/>
      <c r="L57" s="99"/>
      <c r="M57" s="99"/>
    </row>
    <row r="58" spans="3:13" x14ac:dyDescent="0.3">
      <c r="C58" s="98"/>
      <c r="D58" s="98"/>
      <c r="E58" s="98"/>
      <c r="F58" s="98"/>
      <c r="G58" s="98"/>
      <c r="H58" s="98"/>
      <c r="I58" s="98"/>
      <c r="J58" s="98"/>
      <c r="K58" s="98"/>
      <c r="L58" s="99"/>
      <c r="M58" s="99"/>
    </row>
    <row r="59" spans="3:13" x14ac:dyDescent="0.3">
      <c r="C59" s="98"/>
      <c r="D59" s="98"/>
      <c r="E59" s="98"/>
      <c r="F59" s="98"/>
      <c r="G59" s="98"/>
      <c r="H59" s="98"/>
      <c r="I59" s="98"/>
      <c r="J59" s="98"/>
      <c r="K59" s="98"/>
      <c r="L59" s="99"/>
      <c r="M59" s="99"/>
    </row>
    <row r="60" spans="3:13" x14ac:dyDescent="0.3">
      <c r="C60" s="98"/>
      <c r="D60" s="98"/>
      <c r="E60" s="98"/>
      <c r="F60" s="98"/>
      <c r="G60" s="98"/>
      <c r="H60" s="98"/>
      <c r="I60" s="98"/>
      <c r="J60" s="98"/>
      <c r="K60" s="98"/>
      <c r="L60" s="99"/>
      <c r="M60" s="99"/>
    </row>
    <row r="61" spans="3:13" x14ac:dyDescent="0.3">
      <c r="C61" s="98"/>
      <c r="D61" s="98"/>
      <c r="E61" s="98"/>
      <c r="F61" s="98"/>
      <c r="G61" s="98"/>
      <c r="H61" s="98"/>
      <c r="I61" s="98"/>
      <c r="J61" s="98"/>
      <c r="K61" s="98"/>
      <c r="L61" s="99"/>
      <c r="M61" s="99"/>
    </row>
    <row r="62" spans="3:13" x14ac:dyDescent="0.3">
      <c r="C62" s="98"/>
      <c r="D62" s="98"/>
      <c r="E62" s="98"/>
      <c r="F62" s="98"/>
      <c r="G62" s="98"/>
      <c r="H62" s="98"/>
      <c r="I62" s="98"/>
      <c r="J62" s="98"/>
      <c r="K62" s="98"/>
      <c r="L62" s="99"/>
      <c r="M62" s="99"/>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4.4" x14ac:dyDescent="0.3"/>
  <cols>
    <col min="2" max="2" width="39.5546875" customWidth="1"/>
    <col min="8" max="8" width="14.88671875" customWidth="1"/>
    <col min="9" max="10" width="13.5546875" customWidth="1"/>
  </cols>
  <sheetData>
    <row r="1" spans="2:10" x14ac:dyDescent="0.3">
      <c r="C1" t="s">
        <v>17</v>
      </c>
      <c r="D1" t="s">
        <v>18</v>
      </c>
      <c r="E1" t="s">
        <v>19</v>
      </c>
      <c r="F1" t="s">
        <v>20</v>
      </c>
      <c r="H1" t="s">
        <v>148</v>
      </c>
      <c r="I1" s="96" t="s">
        <v>714</v>
      </c>
      <c r="J1" s="96" t="s">
        <v>715</v>
      </c>
    </row>
    <row r="2" spans="2:10" x14ac:dyDescent="0.3">
      <c r="B2" t="s">
        <v>716</v>
      </c>
      <c r="C2" s="110">
        <v>0</v>
      </c>
      <c r="D2" s="110">
        <v>0.5726</v>
      </c>
      <c r="E2" s="110">
        <v>-0.30099999999999999</v>
      </c>
      <c r="F2" s="110">
        <v>0.73470000000000002</v>
      </c>
      <c r="H2">
        <v>1</v>
      </c>
      <c r="I2">
        <f t="shared" ref="I2:I18" si="0">$C$2+$D$2*H2+$E$2*H2^2+$F$2*H2^3</f>
        <v>1.0063</v>
      </c>
      <c r="J2">
        <f t="shared" ref="J2:J18" si="1">$C$3+$D$3*H2+$E$3*H2^2+$F$3*H2^3</f>
        <v>1.0059</v>
      </c>
    </row>
    <row r="3" spans="2:10" x14ac:dyDescent="0.3">
      <c r="B3" t="s">
        <v>717</v>
      </c>
      <c r="C3" s="110">
        <v>0</v>
      </c>
      <c r="D3" s="110">
        <v>2.0500000000000001E-2</v>
      </c>
      <c r="E3" s="110">
        <v>0.41010000000000002</v>
      </c>
      <c r="F3" s="110">
        <v>0.57530000000000003</v>
      </c>
      <c r="H3">
        <v>0.95</v>
      </c>
      <c r="I3">
        <f t="shared" si="0"/>
        <v>0.90223091249999987</v>
      </c>
      <c r="J3">
        <f t="shared" si="1"/>
        <v>0.88283808749999992</v>
      </c>
    </row>
    <row r="4" spans="2:10" x14ac:dyDescent="0.3">
      <c r="B4" t="s">
        <v>718</v>
      </c>
      <c r="C4" s="110">
        <v>0.10299999999999999</v>
      </c>
      <c r="D4" s="110">
        <v>-0.04</v>
      </c>
      <c r="E4" s="110">
        <v>0.76700000000000002</v>
      </c>
      <c r="F4" s="110">
        <v>0.16789999999999999</v>
      </c>
      <c r="H4">
        <v>0.9</v>
      </c>
      <c r="I4">
        <f t="shared" si="0"/>
        <v>0.80712630000000019</v>
      </c>
      <c r="J4">
        <f t="shared" si="1"/>
        <v>0.77002470000000023</v>
      </c>
    </row>
    <row r="5" spans="2:10" x14ac:dyDescent="0.3">
      <c r="B5" t="s">
        <v>719</v>
      </c>
      <c r="C5" s="110">
        <v>2.7300000000000001E-2</v>
      </c>
      <c r="D5" s="110">
        <v>-0.13170000000000001</v>
      </c>
      <c r="E5" s="110">
        <v>0.66420000000000001</v>
      </c>
      <c r="F5" s="110">
        <v>0.44450000000000001</v>
      </c>
      <c r="H5">
        <v>0.85</v>
      </c>
      <c r="I5">
        <f t="shared" si="0"/>
        <v>0.72043513749999999</v>
      </c>
      <c r="J5">
        <f t="shared" si="1"/>
        <v>0.66702836249999997</v>
      </c>
    </row>
    <row r="6" spans="2:10" x14ac:dyDescent="0.3">
      <c r="H6">
        <v>0.8</v>
      </c>
      <c r="I6">
        <f t="shared" si="0"/>
        <v>0.64160640000000013</v>
      </c>
      <c r="J6">
        <f t="shared" si="1"/>
        <v>0.57341760000000019</v>
      </c>
    </row>
    <row r="7" spans="2:10" x14ac:dyDescent="0.3">
      <c r="H7">
        <v>0.75</v>
      </c>
      <c r="I7">
        <f t="shared" si="0"/>
        <v>0.57008906250000002</v>
      </c>
      <c r="J7">
        <f t="shared" si="1"/>
        <v>0.48876093750000005</v>
      </c>
    </row>
    <row r="8" spans="2:10" x14ac:dyDescent="0.3">
      <c r="H8">
        <v>0.7</v>
      </c>
      <c r="I8">
        <f t="shared" si="0"/>
        <v>0.50533209999999995</v>
      </c>
      <c r="J8">
        <f t="shared" si="1"/>
        <v>0.41262689999999996</v>
      </c>
    </row>
    <row r="9" spans="2:10" x14ac:dyDescent="0.3">
      <c r="H9">
        <v>0.65</v>
      </c>
      <c r="I9">
        <f t="shared" si="0"/>
        <v>0.44678448750000005</v>
      </c>
      <c r="J9">
        <f t="shared" si="1"/>
        <v>0.34458401250000009</v>
      </c>
    </row>
    <row r="10" spans="2:10" x14ac:dyDescent="0.3">
      <c r="H10">
        <v>0.6</v>
      </c>
      <c r="I10">
        <f t="shared" si="0"/>
        <v>0.3938952</v>
      </c>
      <c r="J10">
        <f t="shared" si="1"/>
        <v>0.28420080000000003</v>
      </c>
    </row>
    <row r="11" spans="2:10" x14ac:dyDescent="0.3">
      <c r="H11">
        <v>0.55000000000000004</v>
      </c>
      <c r="I11">
        <f t="shared" si="0"/>
        <v>0.34611321250000004</v>
      </c>
      <c r="J11">
        <f t="shared" si="1"/>
        <v>0.23104578750000004</v>
      </c>
    </row>
    <row r="12" spans="2:10" x14ac:dyDescent="0.3">
      <c r="H12">
        <v>0.5</v>
      </c>
      <c r="I12">
        <f t="shared" si="0"/>
        <v>0.30288750000000003</v>
      </c>
      <c r="J12">
        <f t="shared" si="1"/>
        <v>0.1846875</v>
      </c>
    </row>
    <row r="13" spans="2:10" x14ac:dyDescent="0.3">
      <c r="H13">
        <v>0.45</v>
      </c>
      <c r="I13">
        <f t="shared" si="0"/>
        <v>0.26366703750000003</v>
      </c>
      <c r="J13">
        <f t="shared" si="1"/>
        <v>0.14469446250000001</v>
      </c>
    </row>
    <row r="14" spans="2:10" x14ac:dyDescent="0.3">
      <c r="H14">
        <v>0.39999999999999902</v>
      </c>
      <c r="I14">
        <f t="shared" si="0"/>
        <v>0.22790079999999935</v>
      </c>
      <c r="J14">
        <f t="shared" si="1"/>
        <v>0.11063519999999941</v>
      </c>
    </row>
    <row r="15" spans="2:10" x14ac:dyDescent="0.3">
      <c r="H15">
        <v>0.34999999999999898</v>
      </c>
      <c r="I15">
        <f t="shared" si="0"/>
        <v>0.19503776249999938</v>
      </c>
      <c r="J15">
        <f t="shared" si="1"/>
        <v>8.2078237499999485E-2</v>
      </c>
    </row>
    <row r="16" spans="2:10" x14ac:dyDescent="0.3">
      <c r="H16">
        <v>0.29999999999999899</v>
      </c>
      <c r="I16">
        <f t="shared" si="0"/>
        <v>0.16452689999999942</v>
      </c>
      <c r="J16">
        <f t="shared" si="1"/>
        <v>5.8592099999999578E-2</v>
      </c>
    </row>
    <row r="17" spans="8:10" x14ac:dyDescent="0.3">
      <c r="H17">
        <v>0.249999999999999</v>
      </c>
      <c r="I17">
        <f t="shared" si="0"/>
        <v>0.13581718749999944</v>
      </c>
      <c r="J17">
        <f t="shared" si="1"/>
        <v>3.9745312499999672E-2</v>
      </c>
    </row>
    <row r="18" spans="8:10" x14ac:dyDescent="0.3">
      <c r="H18" s="111">
        <v>0.19999999999999901</v>
      </c>
      <c r="I18" s="111">
        <f t="shared" si="0"/>
        <v>0.10835759999999946</v>
      </c>
      <c r="J18" s="111">
        <f t="shared" si="1"/>
        <v>2.5106399999999751E-2</v>
      </c>
    </row>
    <row r="19" spans="8:10" x14ac:dyDescent="0.3">
      <c r="H19" s="111">
        <v>0.149999999999999</v>
      </c>
      <c r="I19" s="111">
        <f t="shared" ref="I19:J22" si="2">I18</f>
        <v>0.10835759999999946</v>
      </c>
      <c r="J19" s="111">
        <f t="shared" si="2"/>
        <v>2.5106399999999751E-2</v>
      </c>
    </row>
    <row r="20" spans="8:10" x14ac:dyDescent="0.3">
      <c r="H20" s="111">
        <v>9.9999999999999006E-2</v>
      </c>
      <c r="I20" s="111">
        <f t="shared" si="2"/>
        <v>0.10835759999999946</v>
      </c>
      <c r="J20" s="111">
        <f t="shared" si="2"/>
        <v>2.5106399999999751E-2</v>
      </c>
    </row>
    <row r="21" spans="8:10" x14ac:dyDescent="0.3">
      <c r="H21" s="111">
        <v>4.9999999999998997E-2</v>
      </c>
      <c r="I21" s="111">
        <f t="shared" si="2"/>
        <v>0.10835759999999946</v>
      </c>
      <c r="J21" s="111">
        <f t="shared" si="2"/>
        <v>2.5106399999999751E-2</v>
      </c>
    </row>
    <row r="22" spans="8:10" x14ac:dyDescent="0.3">
      <c r="H22" s="111">
        <v>0</v>
      </c>
      <c r="I22" s="111">
        <f t="shared" si="2"/>
        <v>0.10835759999999946</v>
      </c>
      <c r="J22" s="111">
        <f t="shared" si="2"/>
        <v>2.5106399999999751E-2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W90"/>
  <sheetViews>
    <sheetView topLeftCell="A42" zoomScaleNormal="100" workbookViewId="0">
      <selection activeCell="H56" sqref="H56"/>
    </sheetView>
  </sheetViews>
  <sheetFormatPr defaultRowHeight="14.4" x14ac:dyDescent="0.3"/>
  <cols>
    <col min="1" max="1" width="12.33203125" customWidth="1"/>
    <col min="2" max="6" width="10.33203125" customWidth="1"/>
    <col min="7" max="7" width="12.109375" customWidth="1"/>
    <col min="11" max="11" width="9.109375" style="100"/>
    <col min="13" max="13" width="13.88671875" customWidth="1"/>
    <col min="19" max="19" width="11.88671875" customWidth="1"/>
    <col min="23" max="23" width="9.109375" style="100"/>
  </cols>
  <sheetData>
    <row r="1" spans="1:23" x14ac:dyDescent="0.3">
      <c r="A1" t="s">
        <v>928</v>
      </c>
    </row>
    <row r="3" spans="1:23" x14ac:dyDescent="0.3">
      <c r="A3" s="271" t="s">
        <v>1128</v>
      </c>
      <c r="B3" s="265"/>
      <c r="C3" s="265"/>
      <c r="D3" s="265"/>
      <c r="E3" s="265"/>
      <c r="F3" s="265"/>
      <c r="G3" s="265"/>
      <c r="H3" s="265"/>
      <c r="I3" s="265"/>
      <c r="J3" s="265"/>
      <c r="K3" s="266"/>
      <c r="L3" s="265"/>
      <c r="M3" s="265"/>
      <c r="N3" s="265"/>
      <c r="O3" s="265"/>
      <c r="P3" s="265"/>
      <c r="Q3" s="265"/>
      <c r="R3" s="265"/>
      <c r="S3" s="265"/>
      <c r="T3" s="265"/>
      <c r="U3" s="265"/>
      <c r="V3" s="265"/>
      <c r="W3" s="266"/>
    </row>
    <row r="5" spans="1:23" x14ac:dyDescent="0.3">
      <c r="R5">
        <v>0.05</v>
      </c>
      <c r="S5" t="s">
        <v>1129</v>
      </c>
    </row>
    <row r="6" spans="1:23" x14ac:dyDescent="0.3">
      <c r="A6" t="s">
        <v>690</v>
      </c>
      <c r="B6" s="264">
        <v>13</v>
      </c>
      <c r="F6">
        <v>2.5000000000000001E-2</v>
      </c>
      <c r="G6" t="s">
        <v>1129</v>
      </c>
      <c r="H6" s="98"/>
      <c r="M6" t="s">
        <v>690</v>
      </c>
      <c r="N6" s="264">
        <v>14</v>
      </c>
      <c r="O6" s="269">
        <f>INT(R6/R5+0.5)*R5</f>
        <v>13.950000000000001</v>
      </c>
      <c r="P6" t="s">
        <v>1130</v>
      </c>
      <c r="Q6" s="138">
        <v>13.4</v>
      </c>
      <c r="R6" s="268">
        <f>Q6/T6</f>
        <v>13.958333333333334</v>
      </c>
      <c r="S6" t="s">
        <v>1131</v>
      </c>
      <c r="T6" s="98">
        <v>0.96</v>
      </c>
    </row>
    <row r="7" spans="1:23" x14ac:dyDescent="0.3">
      <c r="A7" t="s">
        <v>689</v>
      </c>
      <c r="B7" s="264">
        <f>ROUND(F7,1)</f>
        <v>10.8</v>
      </c>
      <c r="C7" t="s">
        <v>929</v>
      </c>
      <c r="F7" s="139">
        <f>MIN(-0.0194*B6^2+1.0864*B6,13)</f>
        <v>10.8446</v>
      </c>
      <c r="H7" s="98"/>
      <c r="M7" t="s">
        <v>689</v>
      </c>
      <c r="N7" s="264">
        <f>INT(R7/R5+0.5)*R5</f>
        <v>11.4</v>
      </c>
      <c r="O7" t="s">
        <v>929</v>
      </c>
      <c r="R7" s="267">
        <f>MIN(-0.0194*N6^2+1.0864*N6,13)</f>
        <v>11.4072</v>
      </c>
      <c r="T7" s="98"/>
    </row>
    <row r="8" spans="1:23" x14ac:dyDescent="0.3">
      <c r="A8" t="s">
        <v>1134</v>
      </c>
      <c r="H8" s="98"/>
      <c r="M8" t="s">
        <v>1134</v>
      </c>
      <c r="T8" s="98"/>
    </row>
    <row r="9" spans="1:23" x14ac:dyDescent="0.3">
      <c r="A9" t="s">
        <v>17</v>
      </c>
      <c r="B9">
        <v>1.0451999999999999</v>
      </c>
      <c r="H9" s="98"/>
      <c r="M9" t="s">
        <v>17</v>
      </c>
      <c r="N9">
        <v>1.0451999999999999</v>
      </c>
      <c r="T9" s="98"/>
    </row>
    <row r="10" spans="1:23" x14ac:dyDescent="0.3">
      <c r="A10" t="s">
        <v>18</v>
      </c>
      <c r="B10">
        <v>1.15E-2</v>
      </c>
      <c r="H10" s="98"/>
      <c r="M10" t="s">
        <v>18</v>
      </c>
      <c r="N10">
        <v>1.15E-2</v>
      </c>
      <c r="T10" s="98"/>
    </row>
    <row r="11" spans="1:23" x14ac:dyDescent="0.3">
      <c r="A11" t="s">
        <v>19</v>
      </c>
      <c r="B11">
        <v>2.5099999999999998E-4</v>
      </c>
      <c r="H11" s="98"/>
      <c r="M11" t="s">
        <v>19</v>
      </c>
      <c r="N11">
        <v>2.5099999999999998E-4</v>
      </c>
      <c r="T11" s="98"/>
    </row>
    <row r="12" spans="1:23" x14ac:dyDescent="0.3">
      <c r="H12" t="s">
        <v>930</v>
      </c>
      <c r="T12" t="s">
        <v>930</v>
      </c>
    </row>
    <row r="13" spans="1:23" x14ac:dyDescent="0.3">
      <c r="A13" t="s">
        <v>931</v>
      </c>
      <c r="B13" t="s">
        <v>932</v>
      </c>
      <c r="J13" t="s">
        <v>933</v>
      </c>
      <c r="M13" t="s">
        <v>931</v>
      </c>
      <c r="N13" t="s">
        <v>932</v>
      </c>
      <c r="V13" t="s">
        <v>933</v>
      </c>
    </row>
    <row r="14" spans="1:23" x14ac:dyDescent="0.3">
      <c r="A14" t="s">
        <v>709</v>
      </c>
      <c r="B14" t="s">
        <v>934</v>
      </c>
      <c r="C14" t="s">
        <v>689</v>
      </c>
      <c r="D14" t="s">
        <v>935</v>
      </c>
      <c r="E14" t="s">
        <v>936</v>
      </c>
      <c r="F14" t="s">
        <v>937</v>
      </c>
      <c r="H14" t="s">
        <v>938</v>
      </c>
      <c r="I14" t="s">
        <v>939</v>
      </c>
      <c r="J14" s="98" t="s">
        <v>940</v>
      </c>
      <c r="M14" t="s">
        <v>709</v>
      </c>
      <c r="N14" t="s">
        <v>934</v>
      </c>
      <c r="O14" t="s">
        <v>689</v>
      </c>
      <c r="P14" t="s">
        <v>935</v>
      </c>
      <c r="Q14" t="s">
        <v>936</v>
      </c>
      <c r="R14" t="s">
        <v>937</v>
      </c>
      <c r="T14" t="s">
        <v>938</v>
      </c>
      <c r="U14" t="s">
        <v>939</v>
      </c>
      <c r="V14" s="98" t="s">
        <v>940</v>
      </c>
    </row>
    <row r="15" spans="1:23" x14ac:dyDescent="0.3">
      <c r="A15">
        <v>67</v>
      </c>
      <c r="B15">
        <v>95</v>
      </c>
      <c r="C15" s="98">
        <f>B7</f>
        <v>10.8</v>
      </c>
      <c r="D15" s="98">
        <f>($B$9*C15)+($B$10*C15^2)+($B$11*C15^3)</f>
        <v>12.945707711999999</v>
      </c>
      <c r="E15" s="98">
        <f>D15/3.413</f>
        <v>3.7930582220920011</v>
      </c>
      <c r="F15" s="98">
        <f>1/E15</f>
        <v>0.26363950708050715</v>
      </c>
      <c r="G15" s="98"/>
      <c r="H15" s="98">
        <f t="shared" ref="H15:I23" si="0">(A15-32)/1.8</f>
        <v>19.444444444444443</v>
      </c>
      <c r="I15" s="98">
        <f t="shared" si="0"/>
        <v>35</v>
      </c>
      <c r="J15" s="110">
        <f>F15/$F$15</f>
        <v>1</v>
      </c>
      <c r="K15" s="100" t="str">
        <f>" "&amp;ROUND(J15,6)&amp;","</f>
        <v xml:space="preserve"> 1,</v>
      </c>
      <c r="M15">
        <v>67</v>
      </c>
      <c r="N15">
        <v>95</v>
      </c>
      <c r="O15" s="98">
        <f>N7</f>
        <v>11.4</v>
      </c>
      <c r="P15" s="98">
        <f t="shared" ref="P15:P23" si="1">($N$9*O15)+($N$10*O15^2)+($N$11*O15^3)</f>
        <v>13.781687544</v>
      </c>
      <c r="Q15" s="98">
        <f>P15/3.413</f>
        <v>4.0379981084090248</v>
      </c>
      <c r="R15" s="98">
        <f>1/Q15</f>
        <v>0.24764746618318773</v>
      </c>
      <c r="S15" s="98"/>
      <c r="T15" s="98">
        <f t="shared" ref="T15:T23" si="2">(M15-32)/1.8</f>
        <v>19.444444444444443</v>
      </c>
      <c r="U15" s="98">
        <f t="shared" ref="U15:U23" si="3">(N15-32)/1.8</f>
        <v>35</v>
      </c>
      <c r="V15" s="110">
        <f t="shared" ref="V15:V23" si="4">R15/$R$15</f>
        <v>1</v>
      </c>
      <c r="W15" s="100" t="str">
        <f>" "&amp;ROUND(V15,6)&amp;","</f>
        <v xml:space="preserve"> 1,</v>
      </c>
    </row>
    <row r="16" spans="1:23" x14ac:dyDescent="0.3">
      <c r="A16">
        <v>67</v>
      </c>
      <c r="B16">
        <v>82</v>
      </c>
      <c r="C16" s="98">
        <f>B6</f>
        <v>13</v>
      </c>
      <c r="D16" s="98">
        <f t="shared" ref="D16:D23" si="5">($B$9*C16)+($B$10*C16^2)+($B$11*C16^3)</f>
        <v>16.082546999999998</v>
      </c>
      <c r="E16" s="98">
        <f>D16/3.413</f>
        <v>4.7121438617052442</v>
      </c>
      <c r="F16" s="98">
        <f t="shared" ref="F16:F23" si="6">1/E16</f>
        <v>0.21221762945881645</v>
      </c>
      <c r="G16" s="98"/>
      <c r="H16" s="98">
        <f t="shared" si="0"/>
        <v>19.444444444444443</v>
      </c>
      <c r="I16" s="98">
        <f t="shared" si="0"/>
        <v>27.777777777777779</v>
      </c>
      <c r="J16" s="110">
        <f t="shared" ref="J16:J23" si="7">F16/$F$15</f>
        <v>0.80495382429163742</v>
      </c>
      <c r="K16" s="100" t="str">
        <f t="shared" ref="K16:K23" si="8">" "&amp;ROUND(J16,6)&amp;","</f>
        <v xml:space="preserve"> 0.804954,</v>
      </c>
      <c r="M16">
        <v>67</v>
      </c>
      <c r="N16">
        <v>82</v>
      </c>
      <c r="O16" s="98">
        <f>N6</f>
        <v>14</v>
      </c>
      <c r="P16" s="98">
        <f t="shared" si="1"/>
        <v>17.575544000000001</v>
      </c>
      <c r="Q16" s="98">
        <f>P16/3.413</f>
        <v>5.1495880457075893</v>
      </c>
      <c r="R16" s="98">
        <f t="shared" ref="R16:R23" si="9">1/Q16</f>
        <v>0.19419029078132657</v>
      </c>
      <c r="S16" s="98"/>
      <c r="T16" s="98">
        <f t="shared" si="2"/>
        <v>19.444444444444443</v>
      </c>
      <c r="U16" s="98">
        <f t="shared" si="3"/>
        <v>27.777777777777779</v>
      </c>
      <c r="V16" s="110">
        <f t="shared" si="4"/>
        <v>0.78414002684639517</v>
      </c>
      <c r="W16" s="100" t="str">
        <f t="shared" ref="W16:W23" si="10">" "&amp;ROUND(V16,6)&amp;","</f>
        <v xml:space="preserve"> 0.78414,</v>
      </c>
    </row>
    <row r="17" spans="1:23" x14ac:dyDescent="0.3">
      <c r="A17">
        <v>67</v>
      </c>
      <c r="B17">
        <v>110</v>
      </c>
      <c r="C17" s="98">
        <f>C15-1.8</f>
        <v>9</v>
      </c>
      <c r="D17" s="98">
        <f t="shared" si="5"/>
        <v>10.521278999999998</v>
      </c>
      <c r="E17" s="98">
        <f t="shared" ref="E17:E23" si="11">D17/3.413</f>
        <v>3.0827070026369761</v>
      </c>
      <c r="F17" s="98">
        <f t="shared" si="6"/>
        <v>0.32439021909788729</v>
      </c>
      <c r="G17" s="98"/>
      <c r="H17" s="98">
        <f t="shared" si="0"/>
        <v>19.444444444444443</v>
      </c>
      <c r="I17" s="98">
        <f t="shared" si="0"/>
        <v>43.333333333333336</v>
      </c>
      <c r="J17" s="110">
        <f t="shared" si="7"/>
        <v>1.2304309877154671</v>
      </c>
      <c r="K17" s="100" t="str">
        <f t="shared" si="8"/>
        <v xml:space="preserve"> 1.230431,</v>
      </c>
      <c r="M17">
        <v>67</v>
      </c>
      <c r="N17">
        <v>110</v>
      </c>
      <c r="O17" s="98">
        <f>O15-1.8</f>
        <v>9.6</v>
      </c>
      <c r="P17" s="98">
        <f t="shared" si="1"/>
        <v>11.315828735999999</v>
      </c>
      <c r="Q17" s="98">
        <f t="shared" ref="Q17:Q23" si="12">P17/3.413</f>
        <v>3.3155079800761791</v>
      </c>
      <c r="R17" s="98">
        <f t="shared" si="9"/>
        <v>0.30161290698417303</v>
      </c>
      <c r="S17" s="98"/>
      <c r="T17" s="98">
        <f t="shared" si="2"/>
        <v>19.444444444444443</v>
      </c>
      <c r="U17" s="98">
        <f t="shared" si="3"/>
        <v>43.333333333333336</v>
      </c>
      <c r="V17" s="110">
        <f t="shared" si="4"/>
        <v>1.2179123478738378</v>
      </c>
      <c r="W17" s="100" t="str">
        <f t="shared" si="10"/>
        <v xml:space="preserve"> 1.217912,</v>
      </c>
    </row>
    <row r="18" spans="1:23" x14ac:dyDescent="0.3">
      <c r="A18">
        <v>57</v>
      </c>
      <c r="B18">
        <v>95</v>
      </c>
      <c r="C18" s="98">
        <f>C15*0.877</f>
        <v>9.4716000000000005</v>
      </c>
      <c r="D18" s="98">
        <f t="shared" si="5"/>
        <v>11.144672070117478</v>
      </c>
      <c r="E18" s="98">
        <f t="shared" si="11"/>
        <v>3.2653595283086663</v>
      </c>
      <c r="F18" s="98">
        <f t="shared" si="6"/>
        <v>0.30624499119640969</v>
      </c>
      <c r="G18" s="98"/>
      <c r="H18" s="98">
        <f t="shared" si="0"/>
        <v>13.888888888888889</v>
      </c>
      <c r="I18" s="98">
        <f t="shared" si="0"/>
        <v>35</v>
      </c>
      <c r="J18" s="110">
        <f t="shared" si="7"/>
        <v>1.1616050818320343</v>
      </c>
      <c r="K18" s="100" t="str">
        <f t="shared" si="8"/>
        <v xml:space="preserve"> 1.161605,</v>
      </c>
      <c r="M18">
        <v>57</v>
      </c>
      <c r="N18">
        <v>95</v>
      </c>
      <c r="O18" s="98">
        <f>O15*0.877</f>
        <v>9.9977999999999998</v>
      </c>
      <c r="P18" s="98">
        <f t="shared" si="1"/>
        <v>11.850028992102526</v>
      </c>
      <c r="Q18" s="98">
        <f t="shared" si="12"/>
        <v>3.4720272464408226</v>
      </c>
      <c r="R18" s="98">
        <f t="shared" si="9"/>
        <v>0.28801617297937415</v>
      </c>
      <c r="S18" s="98"/>
      <c r="T18" s="98">
        <f t="shared" si="2"/>
        <v>13.888888888888889</v>
      </c>
      <c r="U18" s="98">
        <f t="shared" si="3"/>
        <v>35</v>
      </c>
      <c r="V18" s="110">
        <f t="shared" si="4"/>
        <v>1.1630087616819194</v>
      </c>
      <c r="W18" s="100" t="str">
        <f t="shared" si="10"/>
        <v xml:space="preserve"> 1.163009,</v>
      </c>
    </row>
    <row r="19" spans="1:23" x14ac:dyDescent="0.3">
      <c r="A19">
        <v>57</v>
      </c>
      <c r="B19">
        <v>82</v>
      </c>
      <c r="C19" s="98">
        <f>C16*0.877</f>
        <v>11.401</v>
      </c>
      <c r="D19" s="98">
        <f t="shared" si="5"/>
        <v>13.78309282396445</v>
      </c>
      <c r="E19" s="98">
        <f t="shared" si="11"/>
        <v>4.0384098517329186</v>
      </c>
      <c r="F19" s="98">
        <f t="shared" si="6"/>
        <v>0.24762221684133692</v>
      </c>
      <c r="G19" s="98"/>
      <c r="H19" s="98">
        <f t="shared" si="0"/>
        <v>13.888888888888889</v>
      </c>
      <c r="I19" s="98">
        <f t="shared" si="0"/>
        <v>27.777777777777779</v>
      </c>
      <c r="J19" s="110">
        <f t="shared" si="7"/>
        <v>0.93924548556268139</v>
      </c>
      <c r="K19" s="100" t="str">
        <f t="shared" si="8"/>
        <v xml:space="preserve"> 0.939245,</v>
      </c>
      <c r="M19">
        <v>57</v>
      </c>
      <c r="N19">
        <v>82</v>
      </c>
      <c r="O19" s="98">
        <f>O16*0.877</f>
        <v>12.278</v>
      </c>
      <c r="P19" s="98">
        <f t="shared" si="1"/>
        <v>15.031158192946952</v>
      </c>
      <c r="Q19" s="98">
        <f t="shared" si="12"/>
        <v>4.4040897137260338</v>
      </c>
      <c r="R19" s="98">
        <f t="shared" si="9"/>
        <v>0.22706167789528531</v>
      </c>
      <c r="S19" s="98"/>
      <c r="T19" s="98">
        <f t="shared" si="2"/>
        <v>13.888888888888889</v>
      </c>
      <c r="U19" s="98">
        <f t="shared" si="3"/>
        <v>27.777777777777779</v>
      </c>
      <c r="V19" s="110">
        <f t="shared" si="4"/>
        <v>0.91687462583334134</v>
      </c>
      <c r="W19" s="100" t="str">
        <f t="shared" si="10"/>
        <v xml:space="preserve"> 0.916875,</v>
      </c>
    </row>
    <row r="20" spans="1:23" x14ac:dyDescent="0.3">
      <c r="A20">
        <v>57</v>
      </c>
      <c r="B20">
        <v>110</v>
      </c>
      <c r="C20" s="98">
        <f>C17*0.877</f>
        <v>7.8929999999999998</v>
      </c>
      <c r="D20" s="98">
        <f t="shared" si="5"/>
        <v>9.0896313807902072</v>
      </c>
      <c r="E20" s="98">
        <f t="shared" si="11"/>
        <v>2.663238025429302</v>
      </c>
      <c r="F20" s="98">
        <f t="shared" si="6"/>
        <v>0.37548277339529368</v>
      </c>
      <c r="G20" s="98"/>
      <c r="H20" s="98">
        <f t="shared" si="0"/>
        <v>13.888888888888889</v>
      </c>
      <c r="I20" s="98">
        <f t="shared" si="0"/>
        <v>43.333333333333336</v>
      </c>
      <c r="J20" s="110">
        <f t="shared" si="7"/>
        <v>1.4242280208809264</v>
      </c>
      <c r="K20" s="100" t="str">
        <f t="shared" si="8"/>
        <v xml:space="preserve"> 1.424228,</v>
      </c>
      <c r="M20">
        <v>57</v>
      </c>
      <c r="N20">
        <v>110</v>
      </c>
      <c r="O20" s="98">
        <f>O17*0.877</f>
        <v>8.4192</v>
      </c>
      <c r="P20" s="98">
        <f t="shared" si="1"/>
        <v>9.7646926851142766</v>
      </c>
      <c r="Q20" s="98">
        <f t="shared" si="12"/>
        <v>2.8610292074756161</v>
      </c>
      <c r="R20" s="98">
        <f t="shared" si="9"/>
        <v>0.34952456877653976</v>
      </c>
      <c r="S20" s="98"/>
      <c r="T20" s="98">
        <f t="shared" si="2"/>
        <v>13.888888888888889</v>
      </c>
      <c r="U20" s="98">
        <f t="shared" si="3"/>
        <v>43.333333333333336</v>
      </c>
      <c r="V20" s="110">
        <f t="shared" si="4"/>
        <v>1.4113795475621476</v>
      </c>
      <c r="W20" s="100" t="str">
        <f t="shared" si="10"/>
        <v xml:space="preserve"> 1.41138,</v>
      </c>
    </row>
    <row r="21" spans="1:23" x14ac:dyDescent="0.3">
      <c r="A21">
        <v>77</v>
      </c>
      <c r="B21">
        <v>95</v>
      </c>
      <c r="C21" s="98">
        <f>C15*1.11</f>
        <v>11.988000000000001</v>
      </c>
      <c r="D21" s="98">
        <f t="shared" si="5"/>
        <v>14.614975372750271</v>
      </c>
      <c r="E21" s="98">
        <f t="shared" si="11"/>
        <v>4.2821492448726257</v>
      </c>
      <c r="F21" s="98">
        <f t="shared" si="6"/>
        <v>0.23352759159372677</v>
      </c>
      <c r="G21" s="98"/>
      <c r="H21" s="98">
        <f t="shared" si="0"/>
        <v>25</v>
      </c>
      <c r="I21" s="98">
        <f t="shared" si="0"/>
        <v>35</v>
      </c>
      <c r="J21" s="110">
        <f t="shared" si="7"/>
        <v>0.88578375137992815</v>
      </c>
      <c r="K21" s="100" t="str">
        <f t="shared" si="8"/>
        <v xml:space="preserve"> 0.885784,</v>
      </c>
      <c r="M21">
        <v>77</v>
      </c>
      <c r="N21">
        <v>95</v>
      </c>
      <c r="O21" s="98">
        <f>O15*1.11</f>
        <v>12.654000000000002</v>
      </c>
      <c r="P21" s="98">
        <f t="shared" si="1"/>
        <v>15.575961115068266</v>
      </c>
      <c r="Q21" s="98">
        <f t="shared" si="12"/>
        <v>4.5637155332752029</v>
      </c>
      <c r="R21" s="98">
        <f t="shared" si="9"/>
        <v>0.21911970470305334</v>
      </c>
      <c r="S21" s="98"/>
      <c r="T21" s="98">
        <f t="shared" si="2"/>
        <v>25</v>
      </c>
      <c r="U21" s="98">
        <f t="shared" si="3"/>
        <v>35</v>
      </c>
      <c r="V21" s="110">
        <f t="shared" si="4"/>
        <v>0.88480495310607354</v>
      </c>
      <c r="W21" s="100" t="str">
        <f t="shared" si="10"/>
        <v xml:space="preserve"> 0.884805,</v>
      </c>
    </row>
    <row r="22" spans="1:23" x14ac:dyDescent="0.3">
      <c r="A22">
        <v>77</v>
      </c>
      <c r="B22">
        <v>82</v>
      </c>
      <c r="C22" s="98">
        <f>C16*1.11</f>
        <v>14.430000000000001</v>
      </c>
      <c r="D22" s="98">
        <f t="shared" si="5"/>
        <v>18.230998362057001</v>
      </c>
      <c r="E22" s="98">
        <f t="shared" si="11"/>
        <v>5.3416344453726934</v>
      </c>
      <c r="F22" s="98">
        <f t="shared" si="6"/>
        <v>0.18720861755455237</v>
      </c>
      <c r="G22" s="98"/>
      <c r="H22" s="98">
        <f t="shared" si="0"/>
        <v>25</v>
      </c>
      <c r="I22" s="98">
        <f t="shared" si="0"/>
        <v>27.777777777777779</v>
      </c>
      <c r="J22" s="110">
        <f t="shared" si="7"/>
        <v>0.71009318606177185</v>
      </c>
      <c r="K22" s="100" t="str">
        <f t="shared" si="8"/>
        <v xml:space="preserve"> 0.710093,</v>
      </c>
      <c r="M22">
        <v>77</v>
      </c>
      <c r="N22">
        <v>82</v>
      </c>
      <c r="O22" s="98">
        <f>O16*1.11</f>
        <v>15.540000000000001</v>
      </c>
      <c r="P22" s="98">
        <f t="shared" si="1"/>
        <v>19.961509045464002</v>
      </c>
      <c r="Q22" s="98">
        <f t="shared" si="12"/>
        <v>5.8486695122953423</v>
      </c>
      <c r="R22" s="98">
        <f t="shared" si="9"/>
        <v>0.1709790573561652</v>
      </c>
      <c r="S22" s="98"/>
      <c r="T22" s="98">
        <f t="shared" si="2"/>
        <v>25</v>
      </c>
      <c r="U22" s="98">
        <f t="shared" si="3"/>
        <v>27.777777777777779</v>
      </c>
      <c r="V22" s="110">
        <f t="shared" si="4"/>
        <v>0.69041311018175322</v>
      </c>
      <c r="W22" s="100" t="str">
        <f t="shared" si="10"/>
        <v xml:space="preserve"> 0.690413,</v>
      </c>
    </row>
    <row r="23" spans="1:23" x14ac:dyDescent="0.3">
      <c r="A23">
        <v>77</v>
      </c>
      <c r="B23">
        <v>110</v>
      </c>
      <c r="C23" s="98">
        <f>C17*1.11</f>
        <v>9.99</v>
      </c>
      <c r="D23" s="98">
        <f t="shared" si="5"/>
        <v>11.839496902749</v>
      </c>
      <c r="E23" s="98">
        <f t="shared" si="11"/>
        <v>3.4689413720331088</v>
      </c>
      <c r="F23" s="98">
        <f t="shared" si="6"/>
        <v>0.28827238420980028</v>
      </c>
      <c r="G23" s="98"/>
      <c r="H23" s="98">
        <f t="shared" si="0"/>
        <v>25</v>
      </c>
      <c r="I23" s="98">
        <f t="shared" si="0"/>
        <v>43.333333333333336</v>
      </c>
      <c r="J23" s="110">
        <f t="shared" si="7"/>
        <v>1.0934339371290474</v>
      </c>
      <c r="K23" s="100" t="str">
        <f t="shared" si="8"/>
        <v xml:space="preserve"> 1.093434,</v>
      </c>
      <c r="M23">
        <v>77</v>
      </c>
      <c r="N23">
        <v>110</v>
      </c>
      <c r="O23" s="98">
        <f>O17*1.11</f>
        <v>10.656000000000001</v>
      </c>
      <c r="P23" s="98">
        <f t="shared" si="1"/>
        <v>12.747188151484416</v>
      </c>
      <c r="Q23" s="98">
        <f t="shared" si="12"/>
        <v>3.7348925143523046</v>
      </c>
      <c r="R23" s="98">
        <f t="shared" si="9"/>
        <v>0.26774532229702397</v>
      </c>
      <c r="S23" s="98"/>
      <c r="T23" s="98">
        <f t="shared" si="2"/>
        <v>25</v>
      </c>
      <c r="U23" s="98">
        <f t="shared" si="3"/>
        <v>43.333333333333336</v>
      </c>
      <c r="V23" s="110">
        <f t="shared" si="4"/>
        <v>1.0811551049707475</v>
      </c>
      <c r="W23" s="100" t="str">
        <f t="shared" si="10"/>
        <v xml:space="preserve"> 1.081155,</v>
      </c>
    </row>
    <row r="24" spans="1:23" x14ac:dyDescent="0.3">
      <c r="K24" s="100" t="str">
        <f>CONCATENATE(K15,K16,K17,K18,K19,K20,K21,K22,K23,)</f>
        <v xml:space="preserve"> 1, 0.804954, 1.230431, 1.161605, 0.939245, 1.424228, 0.885784, 0.710093, 1.093434,</v>
      </c>
      <c r="W24" s="100" t="str">
        <f>CONCATENATE(W15,W16,W17,W18,W19,W20,W21,W22,W23,)</f>
        <v xml:space="preserve"> 1, 0.78414, 1.217912, 1.163009, 0.916875, 1.41138, 0.884805, 0.690413, 1.081155,</v>
      </c>
    </row>
    <row r="25" spans="1:23" s="1" customFormat="1" x14ac:dyDescent="0.3">
      <c r="A25" s="271" t="s">
        <v>1138</v>
      </c>
      <c r="B25" s="271"/>
      <c r="C25" s="271"/>
      <c r="D25" s="271"/>
      <c r="E25" s="271"/>
      <c r="F25" s="271"/>
      <c r="G25" s="271"/>
      <c r="H25" s="271"/>
      <c r="I25" s="271"/>
      <c r="J25" s="271"/>
      <c r="K25" s="272"/>
      <c r="L25" s="271"/>
      <c r="M25" s="271"/>
      <c r="N25" s="271"/>
      <c r="O25" s="271"/>
      <c r="P25" s="271"/>
      <c r="Q25" s="271"/>
      <c r="R25" s="271"/>
      <c r="S25" s="271"/>
      <c r="T25" s="271"/>
      <c r="U25" s="271"/>
      <c r="V25" s="271"/>
      <c r="W25" s="272"/>
    </row>
    <row r="27" spans="1:23" x14ac:dyDescent="0.3">
      <c r="C27" t="s">
        <v>1135</v>
      </c>
      <c r="F27">
        <v>0.05</v>
      </c>
      <c r="G27" t="s">
        <v>1129</v>
      </c>
      <c r="H27" s="98"/>
      <c r="O27" t="s">
        <v>1135</v>
      </c>
      <c r="R27">
        <v>0.05</v>
      </c>
      <c r="S27" t="s">
        <v>1129</v>
      </c>
      <c r="T27" s="98"/>
    </row>
    <row r="28" spans="1:23" x14ac:dyDescent="0.3">
      <c r="A28" t="s">
        <v>690</v>
      </c>
      <c r="B28" s="264">
        <v>14</v>
      </c>
      <c r="C28" s="269">
        <f>INT(F28/F27+0.5)*F27</f>
        <v>13.950000000000001</v>
      </c>
      <c r="D28" t="s">
        <v>1130</v>
      </c>
      <c r="E28" s="138">
        <v>13.4</v>
      </c>
      <c r="F28" s="268">
        <f>E28/H28</f>
        <v>13.958333333333334</v>
      </c>
      <c r="G28" t="s">
        <v>1131</v>
      </c>
      <c r="H28" s="98">
        <v>0.96</v>
      </c>
      <c r="M28" t="s">
        <v>690</v>
      </c>
      <c r="N28" s="264">
        <v>14</v>
      </c>
      <c r="O28" s="269">
        <f>INT(R28/R27+0.5)*R27</f>
        <v>13.950000000000001</v>
      </c>
      <c r="P28" t="s">
        <v>1130</v>
      </c>
      <c r="Q28" s="138">
        <v>13.4</v>
      </c>
      <c r="R28" s="268">
        <f>Q28/T28</f>
        <v>13.958333333333334</v>
      </c>
      <c r="S28" t="s">
        <v>1131</v>
      </c>
      <c r="T28" s="98">
        <v>0.96</v>
      </c>
    </row>
    <row r="29" spans="1:23" x14ac:dyDescent="0.3">
      <c r="A29" t="s">
        <v>689</v>
      </c>
      <c r="B29" s="264">
        <v>12.2</v>
      </c>
      <c r="C29" s="269">
        <f>INT(F29/F27+0.5)*F27</f>
        <v>12.200000000000001</v>
      </c>
      <c r="D29" t="s">
        <v>1132</v>
      </c>
      <c r="E29" s="138">
        <v>11.7</v>
      </c>
      <c r="F29" s="268">
        <f>E29/H29</f>
        <v>12.1875</v>
      </c>
      <c r="G29" t="s">
        <v>1133</v>
      </c>
      <c r="H29" s="98">
        <v>0.96</v>
      </c>
      <c r="M29" t="s">
        <v>689</v>
      </c>
      <c r="N29" s="264">
        <v>11.7</v>
      </c>
      <c r="O29" s="269">
        <f>INT(R29/R27+0.5)*R27</f>
        <v>11.65</v>
      </c>
      <c r="P29" t="s">
        <v>1132</v>
      </c>
      <c r="Q29" s="138">
        <v>11.2</v>
      </c>
      <c r="R29" s="268">
        <f>Q29/T29</f>
        <v>11.666666666666666</v>
      </c>
      <c r="S29" t="s">
        <v>1133</v>
      </c>
      <c r="T29" s="98">
        <v>0.96</v>
      </c>
      <c r="U29" s="100"/>
      <c r="W29"/>
    </row>
    <row r="30" spans="1:23" x14ac:dyDescent="0.3">
      <c r="A30" t="s">
        <v>1134</v>
      </c>
      <c r="H30" s="98"/>
      <c r="M30" t="s">
        <v>1134</v>
      </c>
      <c r="T30" s="98"/>
    </row>
    <row r="31" spans="1:23" x14ac:dyDescent="0.3">
      <c r="A31" t="s">
        <v>17</v>
      </c>
      <c r="B31">
        <v>1.0451999999999999</v>
      </c>
      <c r="H31" s="98"/>
      <c r="M31" t="s">
        <v>17</v>
      </c>
      <c r="N31">
        <v>1.0451999999999999</v>
      </c>
      <c r="T31" s="98"/>
    </row>
    <row r="32" spans="1:23" x14ac:dyDescent="0.3">
      <c r="A32" t="s">
        <v>18</v>
      </c>
      <c r="B32">
        <v>1.15E-2</v>
      </c>
      <c r="H32" s="98"/>
      <c r="M32" t="s">
        <v>18</v>
      </c>
      <c r="N32">
        <v>1.15E-2</v>
      </c>
      <c r="T32" s="98"/>
    </row>
    <row r="33" spans="1:23" x14ac:dyDescent="0.3">
      <c r="A33" t="s">
        <v>19</v>
      </c>
      <c r="B33">
        <v>2.5099999999999998E-4</v>
      </c>
      <c r="H33" s="98"/>
      <c r="M33" t="s">
        <v>19</v>
      </c>
      <c r="N33">
        <v>2.5099999999999998E-4</v>
      </c>
      <c r="T33" s="98"/>
    </row>
    <row r="34" spans="1:23" x14ac:dyDescent="0.3">
      <c r="H34" t="s">
        <v>930</v>
      </c>
      <c r="T34" t="s">
        <v>930</v>
      </c>
    </row>
    <row r="35" spans="1:23" x14ac:dyDescent="0.3">
      <c r="A35" t="s">
        <v>931</v>
      </c>
      <c r="B35" t="s">
        <v>932</v>
      </c>
      <c r="J35" t="s">
        <v>933</v>
      </c>
      <c r="M35" t="s">
        <v>931</v>
      </c>
      <c r="N35" t="s">
        <v>932</v>
      </c>
      <c r="V35" t="s">
        <v>933</v>
      </c>
    </row>
    <row r="36" spans="1:23" x14ac:dyDescent="0.3">
      <c r="A36" t="s">
        <v>709</v>
      </c>
      <c r="B36" t="s">
        <v>934</v>
      </c>
      <c r="C36" t="s">
        <v>689</v>
      </c>
      <c r="D36" t="s">
        <v>935</v>
      </c>
      <c r="E36" t="s">
        <v>936</v>
      </c>
      <c r="F36" t="s">
        <v>937</v>
      </c>
      <c r="H36" t="s">
        <v>938</v>
      </c>
      <c r="I36" t="s">
        <v>939</v>
      </c>
      <c r="J36" s="98" t="s">
        <v>940</v>
      </c>
      <c r="M36" t="s">
        <v>709</v>
      </c>
      <c r="N36" t="s">
        <v>934</v>
      </c>
      <c r="O36" t="s">
        <v>689</v>
      </c>
      <c r="P36" t="s">
        <v>935</v>
      </c>
      <c r="Q36" t="s">
        <v>936</v>
      </c>
      <c r="R36" t="s">
        <v>937</v>
      </c>
      <c r="T36" t="s">
        <v>938</v>
      </c>
      <c r="U36" t="s">
        <v>939</v>
      </c>
      <c r="V36" s="98" t="s">
        <v>940</v>
      </c>
    </row>
    <row r="37" spans="1:23" ht="15" thickBot="1" x14ac:dyDescent="0.35">
      <c r="A37">
        <v>67</v>
      </c>
      <c r="B37">
        <v>95</v>
      </c>
      <c r="C37" s="270">
        <f>C29</f>
        <v>12.200000000000001</v>
      </c>
      <c r="D37" s="98">
        <f t="shared" ref="D37:D45" si="13">($B$31*C37)+($B$32*C37^2)+($B$33*C37^3)</f>
        <v>14.918877848000001</v>
      </c>
      <c r="E37" s="98">
        <f>D37/3.413</f>
        <v>4.3711918687371822</v>
      </c>
      <c r="F37" s="98">
        <f>1/E37</f>
        <v>0.22877055732831411</v>
      </c>
      <c r="G37" s="98"/>
      <c r="H37" s="98">
        <f t="shared" ref="H37:H45" si="14">(A37-32)/1.8</f>
        <v>19.444444444444443</v>
      </c>
      <c r="I37" s="98">
        <f t="shared" ref="I37:I45" si="15">(B37-32)/1.8</f>
        <v>35</v>
      </c>
      <c r="J37" s="110">
        <f t="shared" ref="J37:J45" si="16">F37/$F$37</f>
        <v>1</v>
      </c>
      <c r="K37" s="100" t="str">
        <f>" "&amp;ROUND(J37,6)&amp;","</f>
        <v xml:space="preserve"> 1,</v>
      </c>
      <c r="M37">
        <v>67</v>
      </c>
      <c r="N37">
        <v>95</v>
      </c>
      <c r="O37" s="270">
        <f>O29</f>
        <v>11.65</v>
      </c>
      <c r="P37" s="98">
        <f t="shared" ref="P37:P45" si="17">($N$31*O37)+($N$32*O37^2)+($N$33*O37^3)</f>
        <v>14.134261698374999</v>
      </c>
      <c r="Q37" s="98">
        <f>P37/3.413</f>
        <v>4.1413014059112214</v>
      </c>
      <c r="R37" s="98">
        <f>1/Q37</f>
        <v>0.24146998780929527</v>
      </c>
      <c r="S37" s="98"/>
      <c r="T37" s="98">
        <f t="shared" ref="T37:T45" si="18">(M37-32)/1.8</f>
        <v>19.444444444444443</v>
      </c>
      <c r="U37" s="98">
        <f t="shared" ref="U37:U45" si="19">(N37-32)/1.8</f>
        <v>35</v>
      </c>
      <c r="V37" s="110">
        <f t="shared" ref="V37:V45" si="20">R37/$R$37</f>
        <v>1</v>
      </c>
      <c r="W37" s="100" t="str">
        <f>" "&amp;ROUND(V37,6)&amp;","</f>
        <v xml:space="preserve"> 1,</v>
      </c>
    </row>
    <row r="38" spans="1:23" ht="15.6" thickTop="1" thickBot="1" x14ac:dyDescent="0.35">
      <c r="A38">
        <v>67</v>
      </c>
      <c r="B38">
        <v>82</v>
      </c>
      <c r="C38" s="270">
        <f>C28</f>
        <v>13.950000000000001</v>
      </c>
      <c r="D38" s="98">
        <f t="shared" si="13"/>
        <v>17.499859673625</v>
      </c>
      <c r="E38" s="98">
        <f>D38/3.413</f>
        <v>5.1274127376574867</v>
      </c>
      <c r="F38" s="98">
        <f t="shared" ref="F38:F45" si="21">1/E38</f>
        <v>0.19503013530696589</v>
      </c>
      <c r="G38" s="98"/>
      <c r="H38" s="98">
        <f t="shared" si="14"/>
        <v>19.444444444444443</v>
      </c>
      <c r="I38" s="98">
        <f t="shared" si="15"/>
        <v>27.777777777777779</v>
      </c>
      <c r="J38" s="110">
        <f t="shared" si="16"/>
        <v>0.8525141416125217</v>
      </c>
      <c r="K38" s="100" t="str">
        <f t="shared" ref="K38:K45" si="22">" "&amp;ROUND(J38,6)&amp;","</f>
        <v xml:space="preserve"> 0.852514,</v>
      </c>
      <c r="M38">
        <v>67</v>
      </c>
      <c r="N38">
        <v>82</v>
      </c>
      <c r="O38" s="270">
        <f>O28</f>
        <v>13.950000000000001</v>
      </c>
      <c r="P38" s="98">
        <f t="shared" si="17"/>
        <v>17.499859673625</v>
      </c>
      <c r="Q38" s="98">
        <f>P38/3.413</f>
        <v>5.1274127376574867</v>
      </c>
      <c r="R38" s="98">
        <f t="shared" ref="R38:R45" si="23">1/Q38</f>
        <v>0.19503013530696589</v>
      </c>
      <c r="S38" s="98"/>
      <c r="T38" s="98">
        <f t="shared" si="18"/>
        <v>19.444444444444443</v>
      </c>
      <c r="U38" s="98">
        <f t="shared" si="19"/>
        <v>27.777777777777779</v>
      </c>
      <c r="V38" s="110">
        <f t="shared" si="20"/>
        <v>0.80767857354179362</v>
      </c>
      <c r="W38" s="100" t="str">
        <f t="shared" ref="W38:W45" si="24">" "&amp;ROUND(V38,6)&amp;","</f>
        <v xml:space="preserve"> 0.807679,</v>
      </c>
    </row>
    <row r="39" spans="1:23" ht="15" thickTop="1" x14ac:dyDescent="0.3">
      <c r="A39">
        <v>67</v>
      </c>
      <c r="B39">
        <v>110</v>
      </c>
      <c r="C39" s="98">
        <f>C37-1.8</f>
        <v>10.4</v>
      </c>
      <c r="D39" s="98">
        <f t="shared" si="13"/>
        <v>12.396260864</v>
      </c>
      <c r="E39" s="98">
        <f t="shared" ref="E39:E45" si="25">D39/3.413</f>
        <v>3.6320717445062995</v>
      </c>
      <c r="F39" s="98">
        <f t="shared" si="21"/>
        <v>0.27532495785980904</v>
      </c>
      <c r="G39" s="98"/>
      <c r="H39" s="98">
        <f t="shared" si="14"/>
        <v>19.444444444444443</v>
      </c>
      <c r="I39" s="98">
        <f t="shared" si="15"/>
        <v>43.333333333333336</v>
      </c>
      <c r="J39" s="110">
        <f t="shared" si="16"/>
        <v>1.2034982170572046</v>
      </c>
      <c r="K39" s="100" t="str">
        <f t="shared" si="22"/>
        <v xml:space="preserve"> 1.203498,</v>
      </c>
      <c r="M39">
        <v>67</v>
      </c>
      <c r="N39">
        <v>110</v>
      </c>
      <c r="O39" s="98">
        <f>O37-1.8</f>
        <v>9.85</v>
      </c>
      <c r="P39" s="98">
        <f t="shared" si="17"/>
        <v>11.650852327874999</v>
      </c>
      <c r="Q39" s="98">
        <f t="shared" ref="Q39:Q45" si="26">P39/3.413</f>
        <v>3.4136690090462936</v>
      </c>
      <c r="R39" s="98">
        <f t="shared" si="23"/>
        <v>0.29293994155554604</v>
      </c>
      <c r="S39" s="98"/>
      <c r="T39" s="98">
        <f t="shared" si="18"/>
        <v>19.444444444444443</v>
      </c>
      <c r="U39" s="98">
        <f t="shared" si="19"/>
        <v>43.333333333333336</v>
      </c>
      <c r="V39" s="110">
        <f t="shared" si="20"/>
        <v>1.2131525918115338</v>
      </c>
      <c r="W39" s="100" t="str">
        <f t="shared" si="24"/>
        <v xml:space="preserve"> 1.213153,</v>
      </c>
    </row>
    <row r="40" spans="1:23" x14ac:dyDescent="0.3">
      <c r="A40">
        <v>57</v>
      </c>
      <c r="B40">
        <v>95</v>
      </c>
      <c r="C40" s="98">
        <f>C37*0.877</f>
        <v>10.699400000000001</v>
      </c>
      <c r="D40" s="98">
        <f t="shared" si="13"/>
        <v>12.806934293458502</v>
      </c>
      <c r="E40" s="98">
        <f t="shared" si="25"/>
        <v>3.7523979764015536</v>
      </c>
      <c r="F40" s="98">
        <f t="shared" si="21"/>
        <v>0.266496252873202</v>
      </c>
      <c r="G40" s="98"/>
      <c r="H40" s="98">
        <f t="shared" si="14"/>
        <v>13.888888888888889</v>
      </c>
      <c r="I40" s="98">
        <f t="shared" si="15"/>
        <v>35</v>
      </c>
      <c r="J40" s="110">
        <f t="shared" si="16"/>
        <v>1.1649062536082684</v>
      </c>
      <c r="K40" s="100" t="str">
        <f t="shared" si="22"/>
        <v xml:space="preserve"> 1.164906,</v>
      </c>
      <c r="M40">
        <v>57</v>
      </c>
      <c r="N40">
        <v>95</v>
      </c>
      <c r="O40" s="98">
        <f>O37*0.877</f>
        <v>10.21705</v>
      </c>
      <c r="P40" s="98">
        <f t="shared" si="17"/>
        <v>12.147025108238447</v>
      </c>
      <c r="Q40" s="98">
        <f t="shared" si="26"/>
        <v>3.5590463252969373</v>
      </c>
      <c r="R40" s="98">
        <f t="shared" si="23"/>
        <v>0.28097414548729377</v>
      </c>
      <c r="S40" s="98"/>
      <c r="T40" s="98">
        <f t="shared" si="18"/>
        <v>13.888888888888889</v>
      </c>
      <c r="U40" s="98">
        <f t="shared" si="19"/>
        <v>35</v>
      </c>
      <c r="V40" s="110">
        <f t="shared" si="20"/>
        <v>1.1635986237312337</v>
      </c>
      <c r="W40" s="100" t="str">
        <f t="shared" si="24"/>
        <v xml:space="preserve"> 1.163599,</v>
      </c>
    </row>
    <row r="41" spans="1:23" x14ac:dyDescent="0.3">
      <c r="A41">
        <v>57</v>
      </c>
      <c r="B41">
        <v>82</v>
      </c>
      <c r="C41" s="98">
        <f>C38*0.877</f>
        <v>12.234150000000001</v>
      </c>
      <c r="D41" s="98">
        <f t="shared" si="13"/>
        <v>14.968005466332821</v>
      </c>
      <c r="E41" s="98">
        <f t="shared" si="25"/>
        <v>4.3855861313603342</v>
      </c>
      <c r="F41" s="98">
        <f t="shared" si="21"/>
        <v>0.22801969224802729</v>
      </c>
      <c r="G41" s="98"/>
      <c r="H41" s="98">
        <f t="shared" si="14"/>
        <v>13.888888888888889</v>
      </c>
      <c r="I41" s="98">
        <f t="shared" si="15"/>
        <v>27.777777777777779</v>
      </c>
      <c r="J41" s="110">
        <f t="shared" si="16"/>
        <v>0.99671782466653158</v>
      </c>
      <c r="K41" s="100" t="str">
        <f t="shared" si="22"/>
        <v xml:space="preserve"> 0.996718,</v>
      </c>
      <c r="M41">
        <v>57</v>
      </c>
      <c r="N41">
        <v>82</v>
      </c>
      <c r="O41" s="98">
        <f>O38*0.877</f>
        <v>12.234150000000001</v>
      </c>
      <c r="P41" s="98">
        <f t="shared" si="17"/>
        <v>14.968005466332821</v>
      </c>
      <c r="Q41" s="98">
        <f t="shared" si="26"/>
        <v>4.3855861313603342</v>
      </c>
      <c r="R41" s="98">
        <f t="shared" si="23"/>
        <v>0.22801969224802729</v>
      </c>
      <c r="S41" s="98"/>
      <c r="T41" s="98">
        <f t="shared" si="18"/>
        <v>13.888888888888889</v>
      </c>
      <c r="U41" s="98">
        <f t="shared" si="19"/>
        <v>27.777777777777779</v>
      </c>
      <c r="V41" s="110">
        <f t="shared" si="20"/>
        <v>0.94429827208219941</v>
      </c>
      <c r="W41" s="100" t="str">
        <f t="shared" si="24"/>
        <v xml:space="preserve"> 0.944298,</v>
      </c>
    </row>
    <row r="42" spans="1:23" x14ac:dyDescent="0.3">
      <c r="A42">
        <v>57</v>
      </c>
      <c r="B42">
        <v>110</v>
      </c>
      <c r="C42" s="98">
        <f>C39*0.877</f>
        <v>9.1208000000000009</v>
      </c>
      <c r="D42" s="98">
        <f t="shared" si="13"/>
        <v>10.680179866541799</v>
      </c>
      <c r="E42" s="98">
        <f t="shared" si="25"/>
        <v>3.1292645375159096</v>
      </c>
      <c r="F42" s="98">
        <f t="shared" si="21"/>
        <v>0.31956390647427513</v>
      </c>
      <c r="G42" s="98"/>
      <c r="H42" s="98">
        <f t="shared" si="14"/>
        <v>13.888888888888889</v>
      </c>
      <c r="I42" s="98">
        <f t="shared" si="15"/>
        <v>43.333333333333336</v>
      </c>
      <c r="J42" s="110">
        <f t="shared" si="16"/>
        <v>1.3968751495222407</v>
      </c>
      <c r="K42" s="100" t="str">
        <f t="shared" si="22"/>
        <v xml:space="preserve"> 1.396875,</v>
      </c>
      <c r="M42">
        <v>57</v>
      </c>
      <c r="N42">
        <v>110</v>
      </c>
      <c r="O42" s="98">
        <f>O39*0.877</f>
        <v>8.6384499999999989</v>
      </c>
      <c r="P42" s="98">
        <f t="shared" si="17"/>
        <v>10.048871348521645</v>
      </c>
      <c r="Q42" s="98">
        <f t="shared" si="26"/>
        <v>2.9442928064815841</v>
      </c>
      <c r="R42" s="98">
        <f t="shared" si="23"/>
        <v>0.33964013286945982</v>
      </c>
      <c r="S42" s="98"/>
      <c r="T42" s="98">
        <f t="shared" si="18"/>
        <v>13.888888888888889</v>
      </c>
      <c r="U42" s="98">
        <f t="shared" si="19"/>
        <v>43.333333333333336</v>
      </c>
      <c r="V42" s="110">
        <f t="shared" si="20"/>
        <v>1.4065521597561681</v>
      </c>
      <c r="W42" s="100" t="str">
        <f t="shared" si="24"/>
        <v xml:space="preserve"> 1.406552,</v>
      </c>
    </row>
    <row r="43" spans="1:23" x14ac:dyDescent="0.3">
      <c r="A43">
        <v>77</v>
      </c>
      <c r="B43">
        <v>95</v>
      </c>
      <c r="C43" s="98">
        <f>C37*1.11</f>
        <v>13.542000000000002</v>
      </c>
      <c r="D43" s="98">
        <f t="shared" si="13"/>
        <v>16.886370600038088</v>
      </c>
      <c r="E43" s="98">
        <f t="shared" si="25"/>
        <v>4.9476620568526481</v>
      </c>
      <c r="F43" s="98">
        <f t="shared" si="21"/>
        <v>0.20211566362237141</v>
      </c>
      <c r="G43" s="98"/>
      <c r="H43" s="98">
        <f t="shared" si="14"/>
        <v>25</v>
      </c>
      <c r="I43" s="98">
        <f t="shared" si="15"/>
        <v>35</v>
      </c>
      <c r="J43" s="110">
        <f t="shared" si="16"/>
        <v>0.88348634537052939</v>
      </c>
      <c r="K43" s="100" t="str">
        <f t="shared" si="22"/>
        <v xml:space="preserve"> 0.883486,</v>
      </c>
      <c r="M43">
        <v>77</v>
      </c>
      <c r="N43">
        <v>95</v>
      </c>
      <c r="O43" s="98">
        <f>O37*1.11</f>
        <v>12.931500000000002</v>
      </c>
      <c r="P43" s="98">
        <f t="shared" si="17"/>
        <v>15.98185200813405</v>
      </c>
      <c r="Q43" s="98">
        <f t="shared" si="26"/>
        <v>4.6826404946188251</v>
      </c>
      <c r="R43" s="98">
        <f t="shared" si="23"/>
        <v>0.21355472433751327</v>
      </c>
      <c r="S43" s="98"/>
      <c r="T43" s="98">
        <f t="shared" si="18"/>
        <v>25</v>
      </c>
      <c r="U43" s="98">
        <f t="shared" si="19"/>
        <v>35</v>
      </c>
      <c r="V43" s="110">
        <f t="shared" si="20"/>
        <v>0.8843944801379271</v>
      </c>
      <c r="W43" s="100" t="str">
        <f t="shared" si="24"/>
        <v xml:space="preserve"> 0.884394,</v>
      </c>
    </row>
    <row r="44" spans="1:23" x14ac:dyDescent="0.3">
      <c r="A44">
        <v>77</v>
      </c>
      <c r="B44">
        <v>82</v>
      </c>
      <c r="C44" s="98">
        <f>C38*1.11</f>
        <v>15.484500000000002</v>
      </c>
      <c r="D44" s="98">
        <f t="shared" si="13"/>
        <v>19.873642763143181</v>
      </c>
      <c r="E44" s="98">
        <f t="shared" si="25"/>
        <v>5.8229249232766431</v>
      </c>
      <c r="F44" s="98">
        <f t="shared" si="21"/>
        <v>0.17173499799088698</v>
      </c>
      <c r="G44" s="98"/>
      <c r="H44" s="98">
        <f t="shared" si="14"/>
        <v>25</v>
      </c>
      <c r="I44" s="98">
        <f t="shared" si="15"/>
        <v>27.777777777777779</v>
      </c>
      <c r="J44" s="110">
        <f t="shared" si="16"/>
        <v>0.75068662679536147</v>
      </c>
      <c r="K44" s="100" t="str">
        <f t="shared" si="22"/>
        <v xml:space="preserve"> 0.750687,</v>
      </c>
      <c r="M44">
        <v>77</v>
      </c>
      <c r="N44">
        <v>82</v>
      </c>
      <c r="O44" s="98">
        <f>O38*1.11</f>
        <v>15.484500000000002</v>
      </c>
      <c r="P44" s="98">
        <f t="shared" si="17"/>
        <v>19.873642763143181</v>
      </c>
      <c r="Q44" s="98">
        <f t="shared" si="26"/>
        <v>5.8229249232766431</v>
      </c>
      <c r="R44" s="98">
        <f t="shared" si="23"/>
        <v>0.17173499799088698</v>
      </c>
      <c r="S44" s="98"/>
      <c r="T44" s="98">
        <f t="shared" si="18"/>
        <v>25</v>
      </c>
      <c r="U44" s="98">
        <f t="shared" si="19"/>
        <v>27.777777777777779</v>
      </c>
      <c r="V44" s="110">
        <f t="shared" si="20"/>
        <v>0.71120638862382102</v>
      </c>
      <c r="W44" s="100" t="str">
        <f t="shared" si="24"/>
        <v xml:space="preserve"> 0.711206,</v>
      </c>
    </row>
    <row r="45" spans="1:23" x14ac:dyDescent="0.3">
      <c r="A45">
        <v>77</v>
      </c>
      <c r="B45">
        <v>110</v>
      </c>
      <c r="C45" s="98">
        <f>C39*1.11</f>
        <v>11.544000000000002</v>
      </c>
      <c r="D45" s="98">
        <f t="shared" si="13"/>
        <v>13.984462182173187</v>
      </c>
      <c r="E45" s="98">
        <f t="shared" si="25"/>
        <v>4.0974105426818603</v>
      </c>
      <c r="F45" s="98">
        <f t="shared" si="21"/>
        <v>0.24405657904747674</v>
      </c>
      <c r="G45" s="98"/>
      <c r="H45" s="98">
        <f t="shared" si="14"/>
        <v>25</v>
      </c>
      <c r="I45" s="98">
        <f t="shared" si="15"/>
        <v>43.333333333333336</v>
      </c>
      <c r="J45" s="110">
        <f t="shared" si="16"/>
        <v>1.0668181338441436</v>
      </c>
      <c r="K45" s="100" t="str">
        <f t="shared" si="22"/>
        <v xml:space="preserve"> 1.066818,</v>
      </c>
      <c r="M45">
        <v>77</v>
      </c>
      <c r="N45">
        <v>110</v>
      </c>
      <c r="O45" s="98">
        <f>O39*1.11</f>
        <v>10.9335</v>
      </c>
      <c r="P45" s="98">
        <f t="shared" si="17"/>
        <v>13.130479097057764</v>
      </c>
      <c r="Q45" s="98">
        <f t="shared" si="26"/>
        <v>3.8471957506761689</v>
      </c>
      <c r="R45" s="98">
        <f t="shared" si="23"/>
        <v>0.25992958632901475</v>
      </c>
      <c r="S45" s="98"/>
      <c r="T45" s="98">
        <f t="shared" si="18"/>
        <v>25</v>
      </c>
      <c r="U45" s="98">
        <f t="shared" si="19"/>
        <v>43.333333333333336</v>
      </c>
      <c r="V45" s="110">
        <f t="shared" si="20"/>
        <v>1.076446761302271</v>
      </c>
      <c r="W45" s="100" t="str">
        <f t="shared" si="24"/>
        <v xml:space="preserve"> 1.076447,</v>
      </c>
    </row>
    <row r="46" spans="1:23" x14ac:dyDescent="0.3">
      <c r="K46" s="100" t="str">
        <f>CONCATENATE(K37,K38,K39,K40,K41,K42,K43,K44,K45,)</f>
        <v xml:space="preserve"> 1, 0.852514, 1.203498, 1.164906, 0.996718, 1.396875, 0.883486, 0.750687, 1.066818,</v>
      </c>
      <c r="W46" s="100" t="str">
        <f>CONCATENATE(W37,W38,W39,W40,W41,W42,W43,W44,W45,)</f>
        <v xml:space="preserve"> 1, 0.807679, 1.213153, 1.163599, 0.944298, 1.406552, 0.884394, 0.711206, 1.076447,</v>
      </c>
    </row>
    <row r="47" spans="1:23" s="1" customFormat="1" x14ac:dyDescent="0.3">
      <c r="A47" s="271" t="s">
        <v>1139</v>
      </c>
      <c r="B47" s="271"/>
      <c r="C47" s="271"/>
      <c r="D47" s="271"/>
      <c r="E47" s="271"/>
      <c r="F47" s="271"/>
      <c r="G47" s="271"/>
      <c r="H47" s="271"/>
      <c r="I47" s="271"/>
      <c r="J47" s="271"/>
      <c r="K47" s="272"/>
      <c r="L47" s="271"/>
      <c r="M47" s="271"/>
      <c r="N47" s="271"/>
      <c r="O47" s="271"/>
      <c r="P47" s="271"/>
      <c r="Q47" s="271"/>
      <c r="R47" s="271"/>
      <c r="S47" s="271"/>
      <c r="T47" s="271"/>
      <c r="U47" s="271"/>
      <c r="V47" s="271"/>
      <c r="W47" s="272"/>
    </row>
    <row r="49" spans="1:23" x14ac:dyDescent="0.3">
      <c r="C49" t="s">
        <v>1135</v>
      </c>
      <c r="F49">
        <v>0.05</v>
      </c>
      <c r="G49" t="s">
        <v>1129</v>
      </c>
      <c r="H49" s="98"/>
      <c r="O49" t="s">
        <v>1135</v>
      </c>
      <c r="R49">
        <v>0.05</v>
      </c>
      <c r="S49" t="s">
        <v>1129</v>
      </c>
      <c r="T49" s="98"/>
    </row>
    <row r="50" spans="1:23" x14ac:dyDescent="0.3">
      <c r="A50" t="s">
        <v>690</v>
      </c>
      <c r="B50" s="264">
        <v>15</v>
      </c>
      <c r="C50" s="269">
        <f>INT(F50/F49+0.5)*F49</f>
        <v>15.05</v>
      </c>
      <c r="D50" t="s">
        <v>1130</v>
      </c>
      <c r="E50" s="138">
        <v>14.3</v>
      </c>
      <c r="F50" s="268">
        <f>E50/H50</f>
        <v>15.05263157894737</v>
      </c>
      <c r="G50" t="s">
        <v>1131</v>
      </c>
      <c r="H50" s="98">
        <v>0.95</v>
      </c>
      <c r="M50" t="s">
        <v>690</v>
      </c>
      <c r="N50" s="264">
        <v>15</v>
      </c>
      <c r="O50" s="269">
        <f>INT(R50/R49+0.5)*R49</f>
        <v>15.05</v>
      </c>
      <c r="P50" t="s">
        <v>1130</v>
      </c>
      <c r="Q50" s="138">
        <v>14.3</v>
      </c>
      <c r="R50" s="268">
        <f>Q50/T50</f>
        <v>15.05263157894737</v>
      </c>
      <c r="S50" t="s">
        <v>1131</v>
      </c>
      <c r="T50" s="98">
        <v>0.95</v>
      </c>
    </row>
    <row r="51" spans="1:23" x14ac:dyDescent="0.3">
      <c r="A51" t="s">
        <v>689</v>
      </c>
      <c r="B51" s="264">
        <v>12.2</v>
      </c>
      <c r="C51" s="269">
        <f>INT(F51/F49+0.5)*F49</f>
        <v>12.200000000000001</v>
      </c>
      <c r="D51" t="s">
        <v>1132</v>
      </c>
      <c r="E51" s="138">
        <v>11.7</v>
      </c>
      <c r="F51" s="268">
        <f>E51/H51</f>
        <v>12.1875</v>
      </c>
      <c r="G51" t="s">
        <v>1133</v>
      </c>
      <c r="H51" s="98">
        <v>0.96</v>
      </c>
      <c r="M51" t="s">
        <v>689</v>
      </c>
      <c r="N51" s="264">
        <v>11.7</v>
      </c>
      <c r="O51" s="269">
        <f>INT(R51/R49+0.5)*R49</f>
        <v>11.65</v>
      </c>
      <c r="P51" t="s">
        <v>1132</v>
      </c>
      <c r="Q51" s="138">
        <v>11.2</v>
      </c>
      <c r="R51" s="268">
        <f>Q51/T51</f>
        <v>11.666666666666666</v>
      </c>
      <c r="S51" t="s">
        <v>1133</v>
      </c>
      <c r="T51" s="98">
        <v>0.96</v>
      </c>
      <c r="U51" s="100"/>
      <c r="W51"/>
    </row>
    <row r="52" spans="1:23" x14ac:dyDescent="0.3">
      <c r="A52" t="s">
        <v>1134</v>
      </c>
      <c r="H52" s="98"/>
      <c r="M52" t="s">
        <v>1134</v>
      </c>
      <c r="T52" s="98"/>
    </row>
    <row r="53" spans="1:23" x14ac:dyDescent="0.3">
      <c r="A53" t="s">
        <v>17</v>
      </c>
      <c r="B53">
        <v>1.0451999999999999</v>
      </c>
      <c r="H53" s="98"/>
      <c r="M53" t="s">
        <v>17</v>
      </c>
      <c r="N53">
        <v>1.0451999999999999</v>
      </c>
      <c r="T53" s="98"/>
    </row>
    <row r="54" spans="1:23" x14ac:dyDescent="0.3">
      <c r="A54" t="s">
        <v>18</v>
      </c>
      <c r="B54">
        <v>1.15E-2</v>
      </c>
      <c r="H54" s="98"/>
      <c r="M54" t="s">
        <v>18</v>
      </c>
      <c r="N54">
        <v>1.15E-2</v>
      </c>
      <c r="T54" s="98"/>
    </row>
    <row r="55" spans="1:23" x14ac:dyDescent="0.3">
      <c r="A55" t="s">
        <v>19</v>
      </c>
      <c r="B55">
        <v>2.5099999999999998E-4</v>
      </c>
      <c r="H55" s="98"/>
      <c r="M55" t="s">
        <v>19</v>
      </c>
      <c r="N55">
        <v>2.5099999999999998E-4</v>
      </c>
      <c r="T55" s="98"/>
    </row>
    <row r="56" spans="1:23" x14ac:dyDescent="0.3">
      <c r="H56" t="s">
        <v>930</v>
      </c>
      <c r="T56" t="s">
        <v>930</v>
      </c>
    </row>
    <row r="57" spans="1:23" x14ac:dyDescent="0.3">
      <c r="A57" t="s">
        <v>931</v>
      </c>
      <c r="B57" t="s">
        <v>932</v>
      </c>
      <c r="J57" t="s">
        <v>933</v>
      </c>
      <c r="M57" t="s">
        <v>931</v>
      </c>
      <c r="N57" t="s">
        <v>932</v>
      </c>
      <c r="V57" t="s">
        <v>933</v>
      </c>
    </row>
    <row r="58" spans="1:23" x14ac:dyDescent="0.3">
      <c r="A58" t="s">
        <v>709</v>
      </c>
      <c r="B58" t="s">
        <v>934</v>
      </c>
      <c r="C58" t="s">
        <v>689</v>
      </c>
      <c r="D58" t="s">
        <v>935</v>
      </c>
      <c r="E58" t="s">
        <v>936</v>
      </c>
      <c r="F58" t="s">
        <v>937</v>
      </c>
      <c r="H58" t="s">
        <v>938</v>
      </c>
      <c r="I58" t="s">
        <v>939</v>
      </c>
      <c r="J58" s="98" t="s">
        <v>940</v>
      </c>
      <c r="M58" t="s">
        <v>709</v>
      </c>
      <c r="N58" t="s">
        <v>934</v>
      </c>
      <c r="O58" t="s">
        <v>689</v>
      </c>
      <c r="P58" t="s">
        <v>935</v>
      </c>
      <c r="Q58" t="s">
        <v>936</v>
      </c>
      <c r="R58" t="s">
        <v>937</v>
      </c>
      <c r="T58" t="s">
        <v>938</v>
      </c>
      <c r="U58" t="s">
        <v>939</v>
      </c>
      <c r="V58" s="98" t="s">
        <v>940</v>
      </c>
    </row>
    <row r="59" spans="1:23" ht="15" thickBot="1" x14ac:dyDescent="0.35">
      <c r="A59">
        <v>67</v>
      </c>
      <c r="B59">
        <v>95</v>
      </c>
      <c r="C59" s="270">
        <f>C51</f>
        <v>12.200000000000001</v>
      </c>
      <c r="D59" s="98">
        <f t="shared" ref="D59:D67" si="27">($B$31*C59)+($B$32*C59^2)+($B$33*C59^3)</f>
        <v>14.918877848000001</v>
      </c>
      <c r="E59" s="98">
        <f>D59/3.413</f>
        <v>4.3711918687371822</v>
      </c>
      <c r="F59" s="98">
        <f>1/E59</f>
        <v>0.22877055732831411</v>
      </c>
      <c r="G59" s="98"/>
      <c r="H59" s="98">
        <f t="shared" ref="H59:H67" si="28">(A59-32)/1.8</f>
        <v>19.444444444444443</v>
      </c>
      <c r="I59" s="98">
        <f t="shared" ref="I59:I67" si="29">(B59-32)/1.8</f>
        <v>35</v>
      </c>
      <c r="J59" s="110">
        <f t="shared" ref="J59:J67" si="30">F59/$F$37</f>
        <v>1</v>
      </c>
      <c r="K59" s="100" t="str">
        <f>" "&amp;ROUND(J59,6)&amp;","</f>
        <v xml:space="preserve"> 1,</v>
      </c>
      <c r="M59">
        <v>67</v>
      </c>
      <c r="N59">
        <v>95</v>
      </c>
      <c r="O59" s="270">
        <f>O51</f>
        <v>11.65</v>
      </c>
      <c r="P59" s="98">
        <f t="shared" ref="P59:P67" si="31">($N$31*O59)+($N$32*O59^2)+($N$33*O59^3)</f>
        <v>14.134261698374999</v>
      </c>
      <c r="Q59" s="98">
        <f>P59/3.413</f>
        <v>4.1413014059112214</v>
      </c>
      <c r="R59" s="98">
        <f>1/Q59</f>
        <v>0.24146998780929527</v>
      </c>
      <c r="S59" s="98"/>
      <c r="T59" s="98">
        <f t="shared" ref="T59:T67" si="32">(M59-32)/1.8</f>
        <v>19.444444444444443</v>
      </c>
      <c r="U59" s="98">
        <f t="shared" ref="U59:U67" si="33">(N59-32)/1.8</f>
        <v>35</v>
      </c>
      <c r="V59" s="110">
        <f t="shared" ref="V59:V67" si="34">R59/$R$37</f>
        <v>1</v>
      </c>
      <c r="W59" s="100" t="str">
        <f>" "&amp;ROUND(V59,6)&amp;","</f>
        <v xml:space="preserve"> 1,</v>
      </c>
    </row>
    <row r="60" spans="1:23" ht="15.6" thickTop="1" thickBot="1" x14ac:dyDescent="0.35">
      <c r="A60">
        <v>67</v>
      </c>
      <c r="B60">
        <v>82</v>
      </c>
      <c r="C60" s="270">
        <f>C50</f>
        <v>15.05</v>
      </c>
      <c r="D60" s="98">
        <f t="shared" si="27"/>
        <v>19.190663268874999</v>
      </c>
      <c r="E60" s="98">
        <f>D60/3.413</f>
        <v>5.6228137324567831</v>
      </c>
      <c r="F60" s="98">
        <f t="shared" ref="F60:F67" si="35">1/E60</f>
        <v>0.17784690149482663</v>
      </c>
      <c r="G60" s="98"/>
      <c r="H60" s="98">
        <f t="shared" si="28"/>
        <v>19.444444444444443</v>
      </c>
      <c r="I60" s="98">
        <f t="shared" si="29"/>
        <v>27.777777777777779</v>
      </c>
      <c r="J60" s="110">
        <f t="shared" si="30"/>
        <v>0.7774029296942887</v>
      </c>
      <c r="K60" s="100" t="str">
        <f t="shared" ref="K60:K67" si="36">" "&amp;ROUND(J60,6)&amp;","</f>
        <v xml:space="preserve"> 0.777403,</v>
      </c>
      <c r="M60">
        <v>67</v>
      </c>
      <c r="N60">
        <v>82</v>
      </c>
      <c r="O60" s="270">
        <f>O50</f>
        <v>15.05</v>
      </c>
      <c r="P60" s="98">
        <f t="shared" si="31"/>
        <v>19.190663268874999</v>
      </c>
      <c r="Q60" s="98">
        <f>P60/3.413</f>
        <v>5.6228137324567831</v>
      </c>
      <c r="R60" s="98">
        <f t="shared" ref="R60:R67" si="37">1/Q60</f>
        <v>0.17784690149482663</v>
      </c>
      <c r="S60" s="98"/>
      <c r="T60" s="98">
        <f t="shared" si="32"/>
        <v>19.444444444444443</v>
      </c>
      <c r="U60" s="98">
        <f t="shared" si="33"/>
        <v>27.777777777777779</v>
      </c>
      <c r="V60" s="110">
        <f t="shared" si="34"/>
        <v>0.73651762319748004</v>
      </c>
      <c r="W60" s="100" t="str">
        <f t="shared" ref="W60:W67" si="38">" "&amp;ROUND(V60,6)&amp;","</f>
        <v xml:space="preserve"> 0.736518,</v>
      </c>
    </row>
    <row r="61" spans="1:23" ht="15" thickTop="1" x14ac:dyDescent="0.3">
      <c r="A61">
        <v>67</v>
      </c>
      <c r="B61">
        <v>110</v>
      </c>
      <c r="C61" s="98">
        <f>C59-1.8</f>
        <v>10.4</v>
      </c>
      <c r="D61" s="98">
        <f t="shared" si="27"/>
        <v>12.396260864</v>
      </c>
      <c r="E61" s="98">
        <f t="shared" ref="E61:E67" si="39">D61/3.413</f>
        <v>3.6320717445062995</v>
      </c>
      <c r="F61" s="98">
        <f t="shared" si="35"/>
        <v>0.27532495785980904</v>
      </c>
      <c r="G61" s="98"/>
      <c r="H61" s="98">
        <f t="shared" si="28"/>
        <v>19.444444444444443</v>
      </c>
      <c r="I61" s="98">
        <f t="shared" si="29"/>
        <v>43.333333333333336</v>
      </c>
      <c r="J61" s="110">
        <f t="shared" si="30"/>
        <v>1.2034982170572046</v>
      </c>
      <c r="K61" s="100" t="str">
        <f t="shared" si="36"/>
        <v xml:space="preserve"> 1.203498,</v>
      </c>
      <c r="M61">
        <v>67</v>
      </c>
      <c r="N61">
        <v>110</v>
      </c>
      <c r="O61" s="98">
        <f>O59-1.8</f>
        <v>9.85</v>
      </c>
      <c r="P61" s="98">
        <f t="shared" si="31"/>
        <v>11.650852327874999</v>
      </c>
      <c r="Q61" s="98">
        <f t="shared" ref="Q61:Q67" si="40">P61/3.413</f>
        <v>3.4136690090462936</v>
      </c>
      <c r="R61" s="98">
        <f t="shared" si="37"/>
        <v>0.29293994155554604</v>
      </c>
      <c r="S61" s="98"/>
      <c r="T61" s="98">
        <f t="shared" si="32"/>
        <v>19.444444444444443</v>
      </c>
      <c r="U61" s="98">
        <f t="shared" si="33"/>
        <v>43.333333333333336</v>
      </c>
      <c r="V61" s="110">
        <f t="shared" si="34"/>
        <v>1.2131525918115338</v>
      </c>
      <c r="W61" s="100" t="str">
        <f t="shared" si="38"/>
        <v xml:space="preserve"> 1.213153,</v>
      </c>
    </row>
    <row r="62" spans="1:23" x14ac:dyDescent="0.3">
      <c r="A62">
        <v>57</v>
      </c>
      <c r="B62">
        <v>95</v>
      </c>
      <c r="C62" s="98">
        <f>C59*0.877</f>
        <v>10.699400000000001</v>
      </c>
      <c r="D62" s="98">
        <f t="shared" si="27"/>
        <v>12.806934293458502</v>
      </c>
      <c r="E62" s="98">
        <f t="shared" si="39"/>
        <v>3.7523979764015536</v>
      </c>
      <c r="F62" s="98">
        <f t="shared" si="35"/>
        <v>0.266496252873202</v>
      </c>
      <c r="G62" s="98"/>
      <c r="H62" s="98">
        <f t="shared" si="28"/>
        <v>13.888888888888889</v>
      </c>
      <c r="I62" s="98">
        <f t="shared" si="29"/>
        <v>35</v>
      </c>
      <c r="J62" s="110">
        <f t="shared" si="30"/>
        <v>1.1649062536082684</v>
      </c>
      <c r="K62" s="100" t="str">
        <f t="shared" si="36"/>
        <v xml:space="preserve"> 1.164906,</v>
      </c>
      <c r="M62">
        <v>57</v>
      </c>
      <c r="N62">
        <v>95</v>
      </c>
      <c r="O62" s="98">
        <f>O59*0.877</f>
        <v>10.21705</v>
      </c>
      <c r="P62" s="98">
        <f t="shared" si="31"/>
        <v>12.147025108238447</v>
      </c>
      <c r="Q62" s="98">
        <f t="shared" si="40"/>
        <v>3.5590463252969373</v>
      </c>
      <c r="R62" s="98">
        <f t="shared" si="37"/>
        <v>0.28097414548729377</v>
      </c>
      <c r="S62" s="98"/>
      <c r="T62" s="98">
        <f t="shared" si="32"/>
        <v>13.888888888888889</v>
      </c>
      <c r="U62" s="98">
        <f t="shared" si="33"/>
        <v>35</v>
      </c>
      <c r="V62" s="110">
        <f t="shared" si="34"/>
        <v>1.1635986237312337</v>
      </c>
      <c r="W62" s="100" t="str">
        <f t="shared" si="38"/>
        <v xml:space="preserve"> 1.163599,</v>
      </c>
    </row>
    <row r="63" spans="1:23" x14ac:dyDescent="0.3">
      <c r="A63">
        <v>57</v>
      </c>
      <c r="B63">
        <v>82</v>
      </c>
      <c r="C63" s="98">
        <f>C60*0.877</f>
        <v>13.19885</v>
      </c>
      <c r="D63" s="98">
        <f t="shared" si="27"/>
        <v>16.375989993225488</v>
      </c>
      <c r="E63" s="98">
        <f t="shared" si="39"/>
        <v>4.7981218849181042</v>
      </c>
      <c r="F63" s="98">
        <f t="shared" si="35"/>
        <v>0.20841488065221758</v>
      </c>
      <c r="G63" s="98"/>
      <c r="H63" s="98">
        <f t="shared" si="28"/>
        <v>13.888888888888889</v>
      </c>
      <c r="I63" s="98">
        <f t="shared" si="29"/>
        <v>27.777777777777779</v>
      </c>
      <c r="J63" s="110">
        <f t="shared" si="30"/>
        <v>0.91102143163080374</v>
      </c>
      <c r="K63" s="100" t="str">
        <f t="shared" si="36"/>
        <v xml:space="preserve"> 0.911021,</v>
      </c>
      <c r="M63">
        <v>57</v>
      </c>
      <c r="N63">
        <v>82</v>
      </c>
      <c r="O63" s="98">
        <f>O60*0.877</f>
        <v>13.19885</v>
      </c>
      <c r="P63" s="98">
        <f t="shared" si="31"/>
        <v>16.375989993225488</v>
      </c>
      <c r="Q63" s="98">
        <f t="shared" si="40"/>
        <v>4.7981218849181042</v>
      </c>
      <c r="R63" s="98">
        <f t="shared" si="37"/>
        <v>0.20841488065221758</v>
      </c>
      <c r="S63" s="98"/>
      <c r="T63" s="98">
        <f t="shared" si="32"/>
        <v>13.888888888888889</v>
      </c>
      <c r="U63" s="98">
        <f t="shared" si="33"/>
        <v>27.777777777777779</v>
      </c>
      <c r="V63" s="110">
        <f t="shared" si="34"/>
        <v>0.86310883825784812</v>
      </c>
      <c r="W63" s="100" t="str">
        <f t="shared" si="38"/>
        <v xml:space="preserve"> 0.863109,</v>
      </c>
    </row>
    <row r="64" spans="1:23" x14ac:dyDescent="0.3">
      <c r="A64">
        <v>57</v>
      </c>
      <c r="B64">
        <v>110</v>
      </c>
      <c r="C64" s="98">
        <f>C61*0.877</f>
        <v>9.1208000000000009</v>
      </c>
      <c r="D64" s="98">
        <f t="shared" si="27"/>
        <v>10.680179866541799</v>
      </c>
      <c r="E64" s="98">
        <f t="shared" si="39"/>
        <v>3.1292645375159096</v>
      </c>
      <c r="F64" s="98">
        <f t="shared" si="35"/>
        <v>0.31956390647427513</v>
      </c>
      <c r="G64" s="98"/>
      <c r="H64" s="98">
        <f t="shared" si="28"/>
        <v>13.888888888888889</v>
      </c>
      <c r="I64" s="98">
        <f t="shared" si="29"/>
        <v>43.333333333333336</v>
      </c>
      <c r="J64" s="110">
        <f t="shared" si="30"/>
        <v>1.3968751495222407</v>
      </c>
      <c r="K64" s="100" t="str">
        <f t="shared" si="36"/>
        <v xml:space="preserve"> 1.396875,</v>
      </c>
      <c r="M64">
        <v>57</v>
      </c>
      <c r="N64">
        <v>110</v>
      </c>
      <c r="O64" s="98">
        <f>O61*0.877</f>
        <v>8.6384499999999989</v>
      </c>
      <c r="P64" s="98">
        <f t="shared" si="31"/>
        <v>10.048871348521645</v>
      </c>
      <c r="Q64" s="98">
        <f t="shared" si="40"/>
        <v>2.9442928064815841</v>
      </c>
      <c r="R64" s="98">
        <f t="shared" si="37"/>
        <v>0.33964013286945982</v>
      </c>
      <c r="S64" s="98"/>
      <c r="T64" s="98">
        <f t="shared" si="32"/>
        <v>13.888888888888889</v>
      </c>
      <c r="U64" s="98">
        <f t="shared" si="33"/>
        <v>43.333333333333336</v>
      </c>
      <c r="V64" s="110">
        <f t="shared" si="34"/>
        <v>1.4065521597561681</v>
      </c>
      <c r="W64" s="100" t="str">
        <f t="shared" si="38"/>
        <v xml:space="preserve"> 1.406552,</v>
      </c>
    </row>
    <row r="65" spans="1:23" x14ac:dyDescent="0.3">
      <c r="A65">
        <v>77</v>
      </c>
      <c r="B65">
        <v>95</v>
      </c>
      <c r="C65" s="98">
        <f>C59*1.11</f>
        <v>13.542000000000002</v>
      </c>
      <c r="D65" s="98">
        <f t="shared" si="27"/>
        <v>16.886370600038088</v>
      </c>
      <c r="E65" s="98">
        <f t="shared" si="39"/>
        <v>4.9476620568526481</v>
      </c>
      <c r="F65" s="98">
        <f t="shared" si="35"/>
        <v>0.20211566362237141</v>
      </c>
      <c r="G65" s="98"/>
      <c r="H65" s="98">
        <f t="shared" si="28"/>
        <v>25</v>
      </c>
      <c r="I65" s="98">
        <f t="shared" si="29"/>
        <v>35</v>
      </c>
      <c r="J65" s="110">
        <f t="shared" si="30"/>
        <v>0.88348634537052939</v>
      </c>
      <c r="K65" s="100" t="str">
        <f t="shared" si="36"/>
        <v xml:space="preserve"> 0.883486,</v>
      </c>
      <c r="M65">
        <v>77</v>
      </c>
      <c r="N65">
        <v>95</v>
      </c>
      <c r="O65" s="98">
        <f>O59*1.11</f>
        <v>12.931500000000002</v>
      </c>
      <c r="P65" s="98">
        <f t="shared" si="31"/>
        <v>15.98185200813405</v>
      </c>
      <c r="Q65" s="98">
        <f t="shared" si="40"/>
        <v>4.6826404946188251</v>
      </c>
      <c r="R65" s="98">
        <f t="shared" si="37"/>
        <v>0.21355472433751327</v>
      </c>
      <c r="S65" s="98"/>
      <c r="T65" s="98">
        <f t="shared" si="32"/>
        <v>25</v>
      </c>
      <c r="U65" s="98">
        <f t="shared" si="33"/>
        <v>35</v>
      </c>
      <c r="V65" s="110">
        <f t="shared" si="34"/>
        <v>0.8843944801379271</v>
      </c>
      <c r="W65" s="100" t="str">
        <f t="shared" si="38"/>
        <v xml:space="preserve"> 0.884394,</v>
      </c>
    </row>
    <row r="66" spans="1:23" x14ac:dyDescent="0.3">
      <c r="A66">
        <v>77</v>
      </c>
      <c r="B66">
        <v>82</v>
      </c>
      <c r="C66" s="98">
        <f>C60*1.11</f>
        <v>16.705500000000001</v>
      </c>
      <c r="D66" s="98">
        <f t="shared" si="27"/>
        <v>21.840115114248533</v>
      </c>
      <c r="E66" s="98">
        <f t="shared" si="39"/>
        <v>6.3990961366095913</v>
      </c>
      <c r="F66" s="98">
        <f t="shared" si="35"/>
        <v>0.15627207009423461</v>
      </c>
      <c r="G66" s="98"/>
      <c r="H66" s="98">
        <f t="shared" si="28"/>
        <v>25</v>
      </c>
      <c r="I66" s="98">
        <f t="shared" si="29"/>
        <v>27.777777777777779</v>
      </c>
      <c r="J66" s="110">
        <f t="shared" si="30"/>
        <v>0.68309520210664532</v>
      </c>
      <c r="K66" s="100" t="str">
        <f t="shared" si="36"/>
        <v xml:space="preserve"> 0.683095,</v>
      </c>
      <c r="M66">
        <v>77</v>
      </c>
      <c r="N66">
        <v>82</v>
      </c>
      <c r="O66" s="98">
        <f>O60*1.11</f>
        <v>16.705500000000001</v>
      </c>
      <c r="P66" s="98">
        <f t="shared" si="31"/>
        <v>21.840115114248533</v>
      </c>
      <c r="Q66" s="98">
        <f t="shared" si="40"/>
        <v>6.3990961366095913</v>
      </c>
      <c r="R66" s="98">
        <f t="shared" si="37"/>
        <v>0.15627207009423461</v>
      </c>
      <c r="S66" s="98"/>
      <c r="T66" s="98">
        <f t="shared" si="32"/>
        <v>25</v>
      </c>
      <c r="U66" s="98">
        <f t="shared" si="33"/>
        <v>27.777777777777779</v>
      </c>
      <c r="V66" s="110">
        <f t="shared" si="34"/>
        <v>0.64716974358591073</v>
      </c>
      <c r="W66" s="100" t="str">
        <f t="shared" si="38"/>
        <v xml:space="preserve"> 0.64717,</v>
      </c>
    </row>
    <row r="67" spans="1:23" x14ac:dyDescent="0.3">
      <c r="A67">
        <v>77</v>
      </c>
      <c r="B67">
        <v>110</v>
      </c>
      <c r="C67" s="98">
        <f>C61*1.11</f>
        <v>11.544000000000002</v>
      </c>
      <c r="D67" s="98">
        <f t="shared" si="27"/>
        <v>13.984462182173187</v>
      </c>
      <c r="E67" s="98">
        <f t="shared" si="39"/>
        <v>4.0974105426818603</v>
      </c>
      <c r="F67" s="98">
        <f t="shared" si="35"/>
        <v>0.24405657904747674</v>
      </c>
      <c r="G67" s="98"/>
      <c r="H67" s="98">
        <f t="shared" si="28"/>
        <v>25</v>
      </c>
      <c r="I67" s="98">
        <f t="shared" si="29"/>
        <v>43.333333333333336</v>
      </c>
      <c r="J67" s="110">
        <f t="shared" si="30"/>
        <v>1.0668181338441436</v>
      </c>
      <c r="K67" s="100" t="str">
        <f t="shared" si="36"/>
        <v xml:space="preserve"> 1.066818,</v>
      </c>
      <c r="M67">
        <v>77</v>
      </c>
      <c r="N67">
        <v>110</v>
      </c>
      <c r="O67" s="98">
        <f>O61*1.11</f>
        <v>10.9335</v>
      </c>
      <c r="P67" s="98">
        <f t="shared" si="31"/>
        <v>13.130479097057764</v>
      </c>
      <c r="Q67" s="98">
        <f t="shared" si="40"/>
        <v>3.8471957506761689</v>
      </c>
      <c r="R67" s="98">
        <f t="shared" si="37"/>
        <v>0.25992958632901475</v>
      </c>
      <c r="S67" s="98"/>
      <c r="T67" s="98">
        <f t="shared" si="32"/>
        <v>25</v>
      </c>
      <c r="U67" s="98">
        <f t="shared" si="33"/>
        <v>43.333333333333336</v>
      </c>
      <c r="V67" s="110">
        <f t="shared" si="34"/>
        <v>1.076446761302271</v>
      </c>
      <c r="W67" s="100" t="str">
        <f t="shared" si="38"/>
        <v xml:space="preserve"> 1.076447,</v>
      </c>
    </row>
    <row r="68" spans="1:23" x14ac:dyDescent="0.3">
      <c r="K68" s="100" t="str">
        <f>CONCATENATE(K59,K60,K61,K62,K63,K64,K65,K66,K67,)</f>
        <v xml:space="preserve"> 1, 0.777403, 1.203498, 1.164906, 0.911021, 1.396875, 0.883486, 0.683095, 1.066818,</v>
      </c>
      <c r="W68" s="100" t="str">
        <f>CONCATENATE(W59,W60,W61,W62,W63,W64,W65,W66,W67,)</f>
        <v xml:space="preserve"> 1, 0.736518, 1.213153, 1.163599, 0.863109, 1.406552, 0.884394, 0.64717, 1.076447,</v>
      </c>
    </row>
    <row r="69" spans="1:23" x14ac:dyDescent="0.3">
      <c r="A69" s="271" t="s">
        <v>1140</v>
      </c>
      <c r="B69" s="265"/>
      <c r="C69" s="265"/>
      <c r="D69" s="265"/>
      <c r="E69" s="265"/>
      <c r="F69" s="265"/>
      <c r="G69" s="265"/>
      <c r="H69" s="265"/>
      <c r="I69" s="265"/>
      <c r="J69" s="265"/>
      <c r="K69" s="266"/>
      <c r="L69" s="265"/>
      <c r="M69" s="265"/>
      <c r="N69" s="265"/>
      <c r="O69" s="265"/>
      <c r="P69" s="265"/>
      <c r="Q69" s="265"/>
      <c r="R69" s="265"/>
      <c r="S69" s="265"/>
      <c r="T69" s="265"/>
      <c r="U69" s="265"/>
      <c r="V69" s="265"/>
      <c r="W69" s="266"/>
    </row>
    <row r="70" spans="1:23" x14ac:dyDescent="0.3">
      <c r="W70"/>
    </row>
    <row r="71" spans="1:23" x14ac:dyDescent="0.3">
      <c r="F71">
        <v>0.05</v>
      </c>
      <c r="G71" t="s">
        <v>1129</v>
      </c>
      <c r="W71"/>
    </row>
    <row r="72" spans="1:23" x14ac:dyDescent="0.3">
      <c r="A72" t="s">
        <v>690</v>
      </c>
      <c r="B72" s="273">
        <v>15</v>
      </c>
      <c r="C72" s="269">
        <f>INT(F72/F71+0.5)*F71</f>
        <v>15.05</v>
      </c>
      <c r="D72" t="s">
        <v>1130</v>
      </c>
      <c r="E72" s="138">
        <v>14.3</v>
      </c>
      <c r="F72" s="268">
        <f>E72/H72</f>
        <v>15.05263157894737</v>
      </c>
      <c r="G72" t="s">
        <v>1131</v>
      </c>
      <c r="H72" s="98">
        <v>0.95</v>
      </c>
      <c r="W72"/>
    </row>
    <row r="73" spans="1:23" x14ac:dyDescent="0.3">
      <c r="A73" t="s">
        <v>689</v>
      </c>
      <c r="B73" s="273">
        <f>INT(F73/F71+0.5)*F71</f>
        <v>11.950000000000001</v>
      </c>
      <c r="C73" t="s">
        <v>929</v>
      </c>
      <c r="F73" s="267">
        <f>MIN(-0.0194*B72^2+1.0864*B72,13)</f>
        <v>11.930999999999999</v>
      </c>
      <c r="H73" s="98"/>
      <c r="W73"/>
    </row>
    <row r="74" spans="1:23" x14ac:dyDescent="0.3">
      <c r="A74" t="s">
        <v>1134</v>
      </c>
      <c r="H74" s="98"/>
      <c r="W74"/>
    </row>
    <row r="75" spans="1:23" x14ac:dyDescent="0.3">
      <c r="A75" t="s">
        <v>17</v>
      </c>
      <c r="B75">
        <v>1.0451999999999999</v>
      </c>
      <c r="H75" s="98"/>
      <c r="W75"/>
    </row>
    <row r="76" spans="1:23" x14ac:dyDescent="0.3">
      <c r="A76" t="s">
        <v>18</v>
      </c>
      <c r="B76">
        <v>1.15E-2</v>
      </c>
      <c r="H76" s="98"/>
      <c r="W76"/>
    </row>
    <row r="77" spans="1:23" x14ac:dyDescent="0.3">
      <c r="A77" t="s">
        <v>19</v>
      </c>
      <c r="B77">
        <v>2.5099999999999998E-4</v>
      </c>
      <c r="H77" s="98"/>
      <c r="W77"/>
    </row>
    <row r="78" spans="1:23" x14ac:dyDescent="0.3">
      <c r="H78" t="s">
        <v>930</v>
      </c>
      <c r="W78"/>
    </row>
    <row r="79" spans="1:23" x14ac:dyDescent="0.3">
      <c r="A79" t="s">
        <v>931</v>
      </c>
      <c r="B79" t="s">
        <v>932</v>
      </c>
      <c r="J79" t="s">
        <v>933</v>
      </c>
      <c r="W79"/>
    </row>
    <row r="80" spans="1:23" x14ac:dyDescent="0.3">
      <c r="A80" t="s">
        <v>709</v>
      </c>
      <c r="B80" t="s">
        <v>934</v>
      </c>
      <c r="C80" t="s">
        <v>689</v>
      </c>
      <c r="D80" t="s">
        <v>935</v>
      </c>
      <c r="E80" t="s">
        <v>936</v>
      </c>
      <c r="F80" t="s">
        <v>937</v>
      </c>
      <c r="H80" t="s">
        <v>938</v>
      </c>
      <c r="I80" t="s">
        <v>939</v>
      </c>
      <c r="J80" s="98" t="s">
        <v>940</v>
      </c>
      <c r="W80"/>
    </row>
    <row r="81" spans="1:23" ht="15" thickBot="1" x14ac:dyDescent="0.35">
      <c r="A81">
        <v>67</v>
      </c>
      <c r="B81">
        <v>95</v>
      </c>
      <c r="C81" s="270">
        <f>B73</f>
        <v>11.950000000000001</v>
      </c>
      <c r="D81" s="98">
        <f t="shared" ref="D81:D89" si="41">($N$9*C81)+($N$10*C81^2)+($N$11*C81^3)</f>
        <v>14.560697708625002</v>
      </c>
      <c r="E81" s="98">
        <f>D81/3.413</f>
        <v>4.266246032412834</v>
      </c>
      <c r="F81" s="98">
        <f>1/E81</f>
        <v>0.23439810840783515</v>
      </c>
      <c r="G81" s="98"/>
      <c r="H81" s="98">
        <f t="shared" ref="H81:H89" si="42">(A81-32)/1.8</f>
        <v>19.444444444444443</v>
      </c>
      <c r="I81" s="98">
        <f t="shared" ref="I81:I89" si="43">(B81-32)/1.8</f>
        <v>35</v>
      </c>
      <c r="J81" s="110">
        <f t="shared" ref="J81:J89" si="44">F81/$R$15</f>
        <v>0.94649911836549194</v>
      </c>
      <c r="K81" s="100" t="str">
        <f>" "&amp;ROUND(J81,6)&amp;","</f>
        <v xml:space="preserve"> 0.946499,</v>
      </c>
      <c r="W81"/>
    </row>
    <row r="82" spans="1:23" ht="15.6" thickTop="1" thickBot="1" x14ac:dyDescent="0.35">
      <c r="A82">
        <v>67</v>
      </c>
      <c r="B82">
        <v>82</v>
      </c>
      <c r="C82" s="270">
        <f>C72</f>
        <v>15.05</v>
      </c>
      <c r="D82" s="98">
        <f t="shared" si="41"/>
        <v>19.190663268874999</v>
      </c>
      <c r="E82" s="98">
        <f>D82/3.413</f>
        <v>5.6228137324567831</v>
      </c>
      <c r="F82" s="98">
        <f t="shared" ref="F82:F89" si="45">1/E82</f>
        <v>0.17784690149482663</v>
      </c>
      <c r="G82" s="98"/>
      <c r="H82" s="98">
        <f t="shared" si="42"/>
        <v>19.444444444444443</v>
      </c>
      <c r="I82" s="98">
        <f t="shared" si="43"/>
        <v>27.777777777777779</v>
      </c>
      <c r="J82" s="110">
        <f t="shared" si="44"/>
        <v>0.7181454518225161</v>
      </c>
      <c r="K82" s="100" t="str">
        <f t="shared" ref="K82:K89" si="46">" "&amp;ROUND(J82,6)&amp;","</f>
        <v xml:space="preserve"> 0.718145,</v>
      </c>
      <c r="W82"/>
    </row>
    <row r="83" spans="1:23" ht="15" thickTop="1" x14ac:dyDescent="0.3">
      <c r="A83">
        <v>67</v>
      </c>
      <c r="B83">
        <v>110</v>
      </c>
      <c r="C83" s="98">
        <f>C81-1.8</f>
        <v>10.15</v>
      </c>
      <c r="D83" s="98">
        <f t="shared" si="41"/>
        <v>12.056004022125</v>
      </c>
      <c r="E83" s="98">
        <f t="shared" ref="E83:E89" si="47">D83/3.413</f>
        <v>3.5323773870861417</v>
      </c>
      <c r="F83" s="98">
        <f t="shared" si="45"/>
        <v>0.2830954596345947</v>
      </c>
      <c r="G83" s="98"/>
      <c r="H83" s="98">
        <f t="shared" si="42"/>
        <v>19.444444444444443</v>
      </c>
      <c r="I83" s="98">
        <f t="shared" si="43"/>
        <v>43.333333333333336</v>
      </c>
      <c r="J83" s="110">
        <f t="shared" si="44"/>
        <v>1.143138930503677</v>
      </c>
      <c r="K83" s="100" t="str">
        <f t="shared" si="46"/>
        <v xml:space="preserve"> 1.143139,</v>
      </c>
      <c r="W83"/>
    </row>
    <row r="84" spans="1:23" x14ac:dyDescent="0.3">
      <c r="A84">
        <v>57</v>
      </c>
      <c r="B84">
        <v>95</v>
      </c>
      <c r="C84" s="98">
        <f>C81*0.877</f>
        <v>10.48015</v>
      </c>
      <c r="D84" s="98">
        <f t="shared" si="41"/>
        <v>12.505857612371987</v>
      </c>
      <c r="E84" s="98">
        <f t="shared" si="47"/>
        <v>3.6641833027752675</v>
      </c>
      <c r="F84" s="98">
        <f t="shared" si="45"/>
        <v>0.27291211093140344</v>
      </c>
      <c r="G84" s="98"/>
      <c r="H84" s="98">
        <f t="shared" si="42"/>
        <v>13.888888888888889</v>
      </c>
      <c r="I84" s="98">
        <f t="shared" si="43"/>
        <v>35</v>
      </c>
      <c r="J84" s="110">
        <f t="shared" si="44"/>
        <v>1.1020185877029212</v>
      </c>
      <c r="K84" s="100" t="str">
        <f t="shared" si="46"/>
        <v xml:space="preserve"> 1.102019,</v>
      </c>
      <c r="W84"/>
    </row>
    <row r="85" spans="1:23" x14ac:dyDescent="0.3">
      <c r="A85">
        <v>57</v>
      </c>
      <c r="B85">
        <v>82</v>
      </c>
      <c r="C85" s="98">
        <f>C82*0.877</f>
        <v>13.19885</v>
      </c>
      <c r="D85" s="98">
        <f t="shared" si="41"/>
        <v>16.375989993225488</v>
      </c>
      <c r="E85" s="98">
        <f t="shared" si="47"/>
        <v>4.7981218849181042</v>
      </c>
      <c r="F85" s="98">
        <f t="shared" si="45"/>
        <v>0.20841488065221758</v>
      </c>
      <c r="G85" s="98"/>
      <c r="H85" s="98">
        <f t="shared" si="42"/>
        <v>13.888888888888889</v>
      </c>
      <c r="I85" s="98">
        <f t="shared" si="43"/>
        <v>27.777777777777779</v>
      </c>
      <c r="J85" s="110">
        <f t="shared" si="44"/>
        <v>0.84157889383794726</v>
      </c>
      <c r="K85" s="100" t="str">
        <f t="shared" si="46"/>
        <v xml:space="preserve"> 0.841579,</v>
      </c>
      <c r="W85"/>
    </row>
    <row r="86" spans="1:23" x14ac:dyDescent="0.3">
      <c r="A86">
        <v>57</v>
      </c>
      <c r="B86">
        <v>110</v>
      </c>
      <c r="C86" s="98">
        <f>C83*0.877</f>
        <v>8.9015500000000003</v>
      </c>
      <c r="D86" s="98">
        <f t="shared" si="41"/>
        <v>10.392172057682018</v>
      </c>
      <c r="E86" s="98">
        <f t="shared" si="47"/>
        <v>3.0448790089897506</v>
      </c>
      <c r="F86" s="98">
        <f t="shared" si="45"/>
        <v>0.32842027451586209</v>
      </c>
      <c r="G86" s="98"/>
      <c r="H86" s="98">
        <f t="shared" si="42"/>
        <v>13.888888888888889</v>
      </c>
      <c r="I86" s="98">
        <f t="shared" si="43"/>
        <v>43.333333333333336</v>
      </c>
      <c r="J86" s="110">
        <f t="shared" si="44"/>
        <v>1.3261604472582238</v>
      </c>
      <c r="K86" s="100" t="str">
        <f t="shared" si="46"/>
        <v xml:space="preserve"> 1.32616,</v>
      </c>
      <c r="W86"/>
    </row>
    <row r="87" spans="1:23" x14ac:dyDescent="0.3">
      <c r="A87">
        <v>77</v>
      </c>
      <c r="B87">
        <v>95</v>
      </c>
      <c r="C87" s="98">
        <f>C81*1.11</f>
        <v>13.264500000000002</v>
      </c>
      <c r="D87" s="98">
        <f t="shared" si="41"/>
        <v>16.473241404888267</v>
      </c>
      <c r="E87" s="98">
        <f t="shared" si="47"/>
        <v>4.8266162920856335</v>
      </c>
      <c r="F87" s="98">
        <f t="shared" si="45"/>
        <v>0.20718448276896051</v>
      </c>
      <c r="G87" s="98"/>
      <c r="H87" s="98">
        <f t="shared" si="42"/>
        <v>25</v>
      </c>
      <c r="I87" s="98">
        <f t="shared" si="43"/>
        <v>35</v>
      </c>
      <c r="J87" s="110">
        <f t="shared" si="44"/>
        <v>0.8366105495127647</v>
      </c>
      <c r="K87" s="100" t="str">
        <f t="shared" si="46"/>
        <v xml:space="preserve"> 0.836611,</v>
      </c>
      <c r="W87"/>
    </row>
    <row r="88" spans="1:23" x14ac:dyDescent="0.3">
      <c r="A88">
        <v>77</v>
      </c>
      <c r="B88">
        <v>82</v>
      </c>
      <c r="C88" s="98">
        <f>C82*1.11</f>
        <v>16.705500000000001</v>
      </c>
      <c r="D88" s="98">
        <f t="shared" si="41"/>
        <v>21.840115114248533</v>
      </c>
      <c r="E88" s="98">
        <f t="shared" si="47"/>
        <v>6.3990961366095913</v>
      </c>
      <c r="F88" s="98">
        <f t="shared" si="45"/>
        <v>0.15627207009423461</v>
      </c>
      <c r="G88" s="98"/>
      <c r="H88" s="98">
        <f t="shared" si="42"/>
        <v>25</v>
      </c>
      <c r="I88" s="98">
        <f t="shared" si="43"/>
        <v>27.777777777777779</v>
      </c>
      <c r="J88" s="110">
        <f t="shared" si="44"/>
        <v>0.63102632343768184</v>
      </c>
      <c r="K88" s="100" t="str">
        <f t="shared" si="46"/>
        <v xml:space="preserve"> 0.631026,</v>
      </c>
      <c r="W88"/>
    </row>
    <row r="89" spans="1:23" x14ac:dyDescent="0.3">
      <c r="A89">
        <v>77</v>
      </c>
      <c r="B89">
        <v>110</v>
      </c>
      <c r="C89" s="98">
        <f>C83*1.11</f>
        <v>11.266500000000001</v>
      </c>
      <c r="D89" s="98">
        <f t="shared" si="41"/>
        <v>13.594442698456586</v>
      </c>
      <c r="E89" s="98">
        <f t="shared" si="47"/>
        <v>3.9831358624250179</v>
      </c>
      <c r="F89" s="98">
        <f t="shared" si="45"/>
        <v>0.25105847114920621</v>
      </c>
      <c r="G89" s="98"/>
      <c r="H89" s="98">
        <f t="shared" si="42"/>
        <v>25</v>
      </c>
      <c r="I89" s="98">
        <f t="shared" si="43"/>
        <v>43.333333333333336</v>
      </c>
      <c r="J89" s="110">
        <f t="shared" si="44"/>
        <v>1.0137736316005563</v>
      </c>
      <c r="K89" s="100" t="str">
        <f t="shared" si="46"/>
        <v xml:space="preserve"> 1.013774,</v>
      </c>
      <c r="W89"/>
    </row>
    <row r="90" spans="1:23" x14ac:dyDescent="0.3">
      <c r="K90" s="100" t="str">
        <f>CONCATENATE(K81,K82,K83,K84,K85,K86,K87,K88,K89,)</f>
        <v xml:space="preserve"> 0.946499, 0.718145, 1.143139, 1.102019, 0.841579, 1.32616, 0.836611, 0.631026, 1.013774,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09375" defaultRowHeight="14.4" outlineLevelRow="1" x14ac:dyDescent="0.3"/>
  <cols>
    <col min="1" max="1" width="3.5546875" style="16" customWidth="1"/>
    <col min="2" max="2" width="9.44140625" style="13" bestFit="1" customWidth="1"/>
    <col min="3" max="3" width="9.44140625" style="13" customWidth="1"/>
    <col min="4" max="4" width="37.33203125" style="13" bestFit="1" customWidth="1"/>
    <col min="5" max="5" width="23.88671875" style="18" customWidth="1"/>
    <col min="6" max="6" width="21.5546875" style="18" customWidth="1"/>
    <col min="7" max="7" width="12.5546875" style="18" bestFit="1" customWidth="1"/>
    <col min="8" max="8" width="13.6640625" style="22" customWidth="1"/>
    <col min="9" max="9" width="17.33203125" style="13" customWidth="1"/>
    <col min="10" max="10" width="184.6640625" style="13" customWidth="1"/>
    <col min="11" max="16384" width="9.109375" style="13"/>
  </cols>
  <sheetData>
    <row r="2" spans="1:10" x14ac:dyDescent="0.3">
      <c r="B2" s="13" t="s">
        <v>420</v>
      </c>
      <c r="H2" s="13"/>
    </row>
    <row r="6" spans="1:10" x14ac:dyDescent="0.3">
      <c r="H6" s="13"/>
    </row>
    <row r="11" spans="1:10" x14ac:dyDescent="0.3">
      <c r="G11" s="296" t="s">
        <v>27</v>
      </c>
      <c r="H11" s="296"/>
      <c r="I11" s="296"/>
    </row>
    <row r="12" spans="1:10" x14ac:dyDescent="0.3">
      <c r="G12" s="19" t="s">
        <v>264</v>
      </c>
      <c r="H12" s="296" t="s">
        <v>265</v>
      </c>
      <c r="I12" s="296"/>
    </row>
    <row r="13" spans="1:10" x14ac:dyDescent="0.3">
      <c r="B13" s="16" t="s">
        <v>419</v>
      </c>
      <c r="C13" s="16" t="s">
        <v>437</v>
      </c>
      <c r="D13" s="16" t="s">
        <v>161</v>
      </c>
      <c r="E13" s="16" t="s">
        <v>164</v>
      </c>
      <c r="F13" s="16" t="s">
        <v>163</v>
      </c>
      <c r="G13" s="19" t="s">
        <v>114</v>
      </c>
      <c r="H13" s="20" t="s">
        <v>114</v>
      </c>
      <c r="I13" s="20" t="s">
        <v>115</v>
      </c>
      <c r="J13" s="16" t="s">
        <v>262</v>
      </c>
    </row>
    <row r="14" spans="1:10" x14ac:dyDescent="0.3">
      <c r="D14" s="16"/>
      <c r="E14" s="16"/>
      <c r="F14" s="16"/>
      <c r="H14" s="16"/>
      <c r="I14" s="16"/>
    </row>
    <row r="15" spans="1:10" x14ac:dyDescent="0.3">
      <c r="A15" s="16" t="s">
        <v>268</v>
      </c>
      <c r="D15" s="16"/>
      <c r="E15" s="16"/>
      <c r="F15" s="16"/>
      <c r="H15" s="16"/>
      <c r="I15" s="16"/>
    </row>
    <row r="16" spans="1:10" ht="45" x14ac:dyDescent="0.3">
      <c r="B16" s="21" t="s">
        <v>421</v>
      </c>
      <c r="C16" s="21" t="s">
        <v>438</v>
      </c>
      <c r="D16" s="21" t="s">
        <v>259</v>
      </c>
      <c r="E16" s="21" t="s">
        <v>526</v>
      </c>
      <c r="F16" s="21" t="s">
        <v>428</v>
      </c>
      <c r="G16" s="15" t="s">
        <v>275</v>
      </c>
      <c r="H16" s="15" t="s">
        <v>120</v>
      </c>
      <c r="I16" s="21"/>
      <c r="J16" s="15" t="s">
        <v>263</v>
      </c>
    </row>
    <row r="17" spans="1:10" x14ac:dyDescent="0.3">
      <c r="A17" s="16" t="s">
        <v>386</v>
      </c>
      <c r="B17" s="21"/>
      <c r="C17" s="21"/>
      <c r="D17" s="21"/>
      <c r="E17" s="21"/>
      <c r="F17" s="21"/>
      <c r="G17" s="15"/>
      <c r="H17" s="15"/>
      <c r="I17" s="21"/>
      <c r="J17" s="15"/>
    </row>
    <row r="18" spans="1:10" ht="43.2" x14ac:dyDescent="0.3">
      <c r="B18" s="21" t="s">
        <v>422</v>
      </c>
      <c r="C18" s="21"/>
      <c r="D18" s="21" t="s">
        <v>387</v>
      </c>
      <c r="E18" s="15" t="s">
        <v>528</v>
      </c>
      <c r="F18" s="21" t="s">
        <v>230</v>
      </c>
      <c r="G18" s="15" t="s">
        <v>275</v>
      </c>
      <c r="H18" s="15" t="s">
        <v>148</v>
      </c>
      <c r="I18" s="21"/>
      <c r="J18" s="15" t="s">
        <v>388</v>
      </c>
    </row>
    <row r="19" spans="1:10" x14ac:dyDescent="0.3">
      <c r="A19" s="16" t="s">
        <v>308</v>
      </c>
      <c r="B19" s="21"/>
      <c r="C19" s="21"/>
      <c r="D19" s="21"/>
      <c r="E19" s="21"/>
      <c r="F19" s="21"/>
      <c r="G19" s="15"/>
      <c r="H19" s="15"/>
      <c r="I19" s="21"/>
      <c r="J19" s="15"/>
    </row>
    <row r="20" spans="1:10" ht="43.2" x14ac:dyDescent="0.3">
      <c r="B20" s="21" t="s">
        <v>423</v>
      </c>
      <c r="C20" s="21"/>
      <c r="D20" s="15" t="s">
        <v>171</v>
      </c>
      <c r="E20" s="15" t="s">
        <v>267</v>
      </c>
      <c r="F20" s="15" t="s">
        <v>165</v>
      </c>
      <c r="G20" s="15" t="s">
        <v>160</v>
      </c>
      <c r="H20" s="15" t="s">
        <v>116</v>
      </c>
      <c r="I20" s="21" t="s">
        <v>461</v>
      </c>
      <c r="J20" s="15" t="s">
        <v>328</v>
      </c>
    </row>
    <row r="21" spans="1:10" ht="43.2" outlineLevel="1" x14ac:dyDescent="0.3">
      <c r="E21" s="22" t="s">
        <v>170</v>
      </c>
      <c r="F21" s="22" t="s">
        <v>230</v>
      </c>
      <c r="G21" s="22" t="s">
        <v>160</v>
      </c>
      <c r="H21" s="22" t="s">
        <v>120</v>
      </c>
      <c r="J21" s="22" t="s">
        <v>329</v>
      </c>
    </row>
    <row r="22" spans="1:10" ht="43.2" outlineLevel="1" x14ac:dyDescent="0.3">
      <c r="E22" s="22" t="s">
        <v>169</v>
      </c>
      <c r="F22" s="22" t="s">
        <v>165</v>
      </c>
      <c r="G22" s="22" t="s">
        <v>288</v>
      </c>
      <c r="H22" s="22" t="s">
        <v>116</v>
      </c>
      <c r="I22" s="22" t="s">
        <v>461</v>
      </c>
      <c r="J22" s="22" t="s">
        <v>330</v>
      </c>
    </row>
    <row r="23" spans="1:10" ht="57.6" outlineLevel="1" x14ac:dyDescent="0.3">
      <c r="E23" s="22" t="s">
        <v>168</v>
      </c>
      <c r="F23" s="22" t="s">
        <v>535</v>
      </c>
      <c r="G23" s="22" t="s">
        <v>288</v>
      </c>
      <c r="H23" s="22" t="s">
        <v>120</v>
      </c>
      <c r="J23" s="22" t="s">
        <v>331</v>
      </c>
    </row>
    <row r="24" spans="1:10" ht="43.2" outlineLevel="1" x14ac:dyDescent="0.3">
      <c r="E24" s="22" t="s">
        <v>167</v>
      </c>
      <c r="F24" s="22" t="s">
        <v>535</v>
      </c>
      <c r="G24" s="22" t="s">
        <v>288</v>
      </c>
      <c r="H24" s="22" t="s">
        <v>160</v>
      </c>
      <c r="J24" s="22" t="s">
        <v>453</v>
      </c>
    </row>
    <row r="25" spans="1:10" ht="61.5" customHeight="1" x14ac:dyDescent="0.3">
      <c r="B25" s="13" t="s">
        <v>424</v>
      </c>
      <c r="D25" s="22" t="s">
        <v>503</v>
      </c>
      <c r="E25" s="22" t="s">
        <v>319</v>
      </c>
      <c r="F25" s="23" t="s">
        <v>322</v>
      </c>
      <c r="G25" s="22" t="s">
        <v>450</v>
      </c>
      <c r="H25" s="22" t="s">
        <v>515</v>
      </c>
      <c r="I25" s="22"/>
      <c r="J25" s="22" t="s">
        <v>326</v>
      </c>
    </row>
    <row r="26" spans="1:10" ht="72" outlineLevel="1" x14ac:dyDescent="0.3">
      <c r="D26" s="22"/>
      <c r="E26" s="22" t="s">
        <v>320</v>
      </c>
      <c r="F26" s="23" t="s">
        <v>517</v>
      </c>
      <c r="G26" s="22" t="s">
        <v>451</v>
      </c>
      <c r="H26" s="22" t="s">
        <v>516</v>
      </c>
      <c r="I26" s="22"/>
      <c r="J26" s="22" t="s">
        <v>327</v>
      </c>
    </row>
    <row r="27" spans="1:10" ht="61.5" customHeight="1" outlineLevel="1" x14ac:dyDescent="0.3">
      <c r="E27" s="22" t="s">
        <v>321</v>
      </c>
      <c r="F27" s="23" t="s">
        <v>322</v>
      </c>
      <c r="G27" s="22" t="s">
        <v>275</v>
      </c>
      <c r="H27" s="22" t="s">
        <v>515</v>
      </c>
      <c r="I27" s="22"/>
      <c r="J27" s="22" t="s">
        <v>326</v>
      </c>
    </row>
    <row r="28" spans="1:10" ht="61.5" customHeight="1" x14ac:dyDescent="0.3">
      <c r="B28" s="21" t="s">
        <v>423</v>
      </c>
      <c r="C28" s="21"/>
      <c r="D28" s="15" t="s">
        <v>287</v>
      </c>
      <c r="E28" s="15" t="s">
        <v>267</v>
      </c>
      <c r="F28" s="15" t="s">
        <v>165</v>
      </c>
      <c r="G28" s="15" t="s">
        <v>160</v>
      </c>
      <c r="H28" s="15" t="s">
        <v>116</v>
      </c>
      <c r="I28" s="21" t="s">
        <v>461</v>
      </c>
      <c r="J28" s="15" t="s">
        <v>269</v>
      </c>
    </row>
    <row r="29" spans="1:10" ht="61.5" customHeight="1" outlineLevel="1" x14ac:dyDescent="0.3">
      <c r="E29" s="22" t="s">
        <v>170</v>
      </c>
      <c r="F29" s="22" t="s">
        <v>230</v>
      </c>
      <c r="G29" s="22" t="s">
        <v>160</v>
      </c>
      <c r="H29" s="22" t="s">
        <v>120</v>
      </c>
      <c r="J29" s="22" t="s">
        <v>270</v>
      </c>
    </row>
    <row r="30" spans="1:10" ht="61.5" customHeight="1" outlineLevel="1" x14ac:dyDescent="0.3">
      <c r="E30" s="22" t="s">
        <v>169</v>
      </c>
      <c r="F30" s="22" t="s">
        <v>165</v>
      </c>
      <c r="G30" s="22" t="s">
        <v>288</v>
      </c>
      <c r="H30" s="22" t="s">
        <v>116</v>
      </c>
      <c r="I30" s="22" t="s">
        <v>461</v>
      </c>
      <c r="J30" s="22" t="s">
        <v>309</v>
      </c>
    </row>
    <row r="31" spans="1:10" ht="61.5" customHeight="1" outlineLevel="1" x14ac:dyDescent="0.3">
      <c r="E31" s="22" t="s">
        <v>168</v>
      </c>
      <c r="F31" s="22" t="s">
        <v>535</v>
      </c>
      <c r="G31" s="22" t="s">
        <v>288</v>
      </c>
      <c r="H31" s="22" t="s">
        <v>120</v>
      </c>
      <c r="J31" s="22" t="s">
        <v>271</v>
      </c>
    </row>
    <row r="32" spans="1:10" ht="43.2" outlineLevel="1" x14ac:dyDescent="0.3">
      <c r="E32" s="22" t="s">
        <v>167</v>
      </c>
      <c r="F32" s="22" t="s">
        <v>535</v>
      </c>
      <c r="G32" s="22" t="s">
        <v>288</v>
      </c>
      <c r="H32" s="22" t="s">
        <v>160</v>
      </c>
      <c r="J32" s="22" t="s">
        <v>452</v>
      </c>
    </row>
    <row r="33" spans="1:10" ht="61.5" customHeight="1" outlineLevel="1" x14ac:dyDescent="0.3">
      <c r="E33" s="22" t="s">
        <v>332</v>
      </c>
      <c r="F33" s="15" t="s">
        <v>165</v>
      </c>
      <c r="G33" s="15" t="s">
        <v>160</v>
      </c>
      <c r="H33" s="15" t="s">
        <v>116</v>
      </c>
      <c r="I33" s="21" t="s">
        <v>461</v>
      </c>
      <c r="J33" s="22" t="s">
        <v>334</v>
      </c>
    </row>
    <row r="34" spans="1:10" ht="61.5" customHeight="1" outlineLevel="1" x14ac:dyDescent="0.3">
      <c r="E34" s="22" t="s">
        <v>333</v>
      </c>
      <c r="F34" s="22" t="s">
        <v>165</v>
      </c>
      <c r="G34" s="22" t="s">
        <v>288</v>
      </c>
      <c r="H34" s="22" t="s">
        <v>116</v>
      </c>
      <c r="I34" s="22" t="s">
        <v>461</v>
      </c>
      <c r="J34" s="22" t="s">
        <v>335</v>
      </c>
    </row>
    <row r="35" spans="1:10" x14ac:dyDescent="0.3">
      <c r="A35" s="16" t="s">
        <v>298</v>
      </c>
      <c r="E35" s="22"/>
      <c r="F35" s="22"/>
      <c r="G35" s="22"/>
      <c r="J35" s="22"/>
    </row>
    <row r="36" spans="1:10" ht="43.2" x14ac:dyDescent="0.3">
      <c r="B36" s="13" t="s">
        <v>425</v>
      </c>
      <c r="D36" s="22" t="s">
        <v>166</v>
      </c>
      <c r="E36" s="22" t="s">
        <v>167</v>
      </c>
      <c r="F36" s="22" t="s">
        <v>535</v>
      </c>
      <c r="G36" s="22" t="s">
        <v>295</v>
      </c>
      <c r="H36" s="22" t="s">
        <v>160</v>
      </c>
      <c r="J36" s="22" t="s">
        <v>311</v>
      </c>
    </row>
    <row r="37" spans="1:10" ht="57.6" x14ac:dyDescent="0.3">
      <c r="B37" s="13" t="s">
        <v>426</v>
      </c>
      <c r="D37" s="22" t="s">
        <v>310</v>
      </c>
      <c r="E37" s="22" t="s">
        <v>172</v>
      </c>
      <c r="F37" s="22" t="s">
        <v>536</v>
      </c>
      <c r="G37" s="22" t="s">
        <v>160</v>
      </c>
      <c r="H37" s="22" t="s">
        <v>460</v>
      </c>
      <c r="I37" s="24" t="s">
        <v>418</v>
      </c>
      <c r="J37" s="22" t="s">
        <v>312</v>
      </c>
    </row>
    <row r="38" spans="1:10" ht="43.2" outlineLevel="1" x14ac:dyDescent="0.3">
      <c r="E38" s="22" t="s">
        <v>173</v>
      </c>
      <c r="F38" s="22" t="s">
        <v>535</v>
      </c>
      <c r="G38" s="22"/>
      <c r="J38" s="22" t="s">
        <v>313</v>
      </c>
    </row>
    <row r="39" spans="1:10" ht="72" outlineLevel="1" x14ac:dyDescent="0.3">
      <c r="E39" s="22" t="s">
        <v>169</v>
      </c>
      <c r="F39" s="22" t="s">
        <v>536</v>
      </c>
      <c r="G39" s="22"/>
      <c r="J39" s="22" t="s">
        <v>314</v>
      </c>
    </row>
    <row r="40" spans="1:10" ht="43.2" outlineLevel="1" x14ac:dyDescent="0.3">
      <c r="E40" s="22" t="s">
        <v>168</v>
      </c>
      <c r="F40" s="22" t="s">
        <v>535</v>
      </c>
      <c r="G40" s="22"/>
      <c r="J40" s="22" t="s">
        <v>315</v>
      </c>
    </row>
    <row r="41" spans="1:10" ht="57.6" outlineLevel="1" x14ac:dyDescent="0.3">
      <c r="E41" s="22" t="s">
        <v>167</v>
      </c>
      <c r="F41" s="22" t="s">
        <v>535</v>
      </c>
      <c r="G41" s="22"/>
      <c r="J41" s="22" t="s">
        <v>316</v>
      </c>
    </row>
    <row r="42" spans="1:10" ht="57.6" outlineLevel="1" x14ac:dyDescent="0.3">
      <c r="E42" s="22" t="s">
        <v>174</v>
      </c>
      <c r="F42" s="22" t="s">
        <v>165</v>
      </c>
      <c r="G42" s="22"/>
      <c r="J42" s="22" t="s">
        <v>317</v>
      </c>
    </row>
    <row r="43" spans="1:10" ht="57.6" x14ac:dyDescent="0.3">
      <c r="B43" s="13" t="s">
        <v>427</v>
      </c>
      <c r="D43" s="22" t="s">
        <v>336</v>
      </c>
      <c r="E43" s="22" t="s">
        <v>337</v>
      </c>
      <c r="F43" s="23" t="s">
        <v>322</v>
      </c>
      <c r="G43" s="22" t="s">
        <v>160</v>
      </c>
      <c r="H43" s="22" t="s">
        <v>515</v>
      </c>
      <c r="I43" s="22"/>
      <c r="J43" s="22" t="s">
        <v>339</v>
      </c>
    </row>
    <row r="44" spans="1:10" ht="43.2" outlineLevel="1" x14ac:dyDescent="0.3">
      <c r="E44" s="22" t="s">
        <v>338</v>
      </c>
      <c r="F44" s="23" t="s">
        <v>322</v>
      </c>
      <c r="G44" s="22" t="s">
        <v>275</v>
      </c>
      <c r="H44" s="59"/>
      <c r="I44" s="22"/>
      <c r="J44" s="22" t="s">
        <v>325</v>
      </c>
    </row>
    <row r="45" spans="1:10" x14ac:dyDescent="0.3">
      <c r="A45" s="16" t="s">
        <v>363</v>
      </c>
      <c r="B45" s="25"/>
      <c r="C45" s="25"/>
      <c r="D45" s="25"/>
      <c r="E45" s="26"/>
      <c r="F45" s="26"/>
      <c r="G45" s="26"/>
      <c r="H45" s="26"/>
      <c r="I45" s="25"/>
      <c r="J45" s="25"/>
    </row>
    <row r="46" spans="1:10" ht="86.4" x14ac:dyDescent="0.3">
      <c r="B46" s="13" t="s">
        <v>179</v>
      </c>
      <c r="D46" s="13" t="s">
        <v>178</v>
      </c>
      <c r="E46" s="22" t="s">
        <v>237</v>
      </c>
      <c r="F46" s="22" t="s">
        <v>537</v>
      </c>
      <c r="G46" s="24" t="s">
        <v>365</v>
      </c>
      <c r="H46" s="24" t="s">
        <v>160</v>
      </c>
      <c r="J46" s="22" t="s">
        <v>367</v>
      </c>
    </row>
    <row r="47" spans="1:10" x14ac:dyDescent="0.3">
      <c r="E47" s="22"/>
      <c r="F47" s="22"/>
      <c r="G47" s="24"/>
      <c r="H47" s="24"/>
      <c r="J47" s="22"/>
    </row>
    <row r="48" spans="1:10" ht="72" x14ac:dyDescent="0.3">
      <c r="B48" s="13" t="s">
        <v>236</v>
      </c>
      <c r="D48" s="13" t="s">
        <v>180</v>
      </c>
      <c r="E48" s="22" t="s">
        <v>366</v>
      </c>
      <c r="F48" s="22" t="s">
        <v>162</v>
      </c>
      <c r="G48" s="22" t="s">
        <v>295</v>
      </c>
      <c r="H48" s="22" t="s">
        <v>160</v>
      </c>
      <c r="J48" s="22" t="s">
        <v>368</v>
      </c>
    </row>
    <row r="49" spans="1:10" x14ac:dyDescent="0.3">
      <c r="A49" s="16" t="s">
        <v>370</v>
      </c>
      <c r="E49" s="22"/>
      <c r="F49" s="22"/>
      <c r="G49" s="22"/>
      <c r="J49" s="22"/>
    </row>
    <row r="50" spans="1:10" ht="28.8" x14ac:dyDescent="0.3">
      <c r="B50" s="13" t="s">
        <v>197</v>
      </c>
      <c r="D50" s="13" t="s">
        <v>195</v>
      </c>
      <c r="E50" s="22" t="s">
        <v>246</v>
      </c>
      <c r="F50" s="22" t="s">
        <v>200</v>
      </c>
      <c r="G50" s="22" t="s">
        <v>160</v>
      </c>
      <c r="H50" s="22" t="s">
        <v>439</v>
      </c>
      <c r="J50" s="22" t="s">
        <v>196</v>
      </c>
    </row>
    <row r="51" spans="1:10" ht="28.8" x14ac:dyDescent="0.3">
      <c r="E51" s="22" t="s">
        <v>198</v>
      </c>
      <c r="F51" s="22" t="s">
        <v>200</v>
      </c>
      <c r="G51" s="22"/>
      <c r="H51" s="22" t="s">
        <v>160</v>
      </c>
      <c r="J51" s="22" t="s">
        <v>199</v>
      </c>
    </row>
    <row r="52" spans="1:10" ht="28.8" x14ac:dyDescent="0.3">
      <c r="E52" s="22" t="s">
        <v>247</v>
      </c>
      <c r="F52" s="22"/>
      <c r="G52" s="22"/>
      <c r="J52" s="22" t="s">
        <v>201</v>
      </c>
    </row>
    <row r="53" spans="1:10" x14ac:dyDescent="0.3">
      <c r="E53" s="22"/>
      <c r="F53" s="22" t="s">
        <v>165</v>
      </c>
      <c r="G53" s="22"/>
    </row>
    <row r="54" spans="1:10" ht="43.2" x14ac:dyDescent="0.3">
      <c r="B54" s="13" t="s">
        <v>203</v>
      </c>
      <c r="D54" s="13" t="s">
        <v>202</v>
      </c>
      <c r="E54" s="22" t="s">
        <v>248</v>
      </c>
      <c r="F54" s="22" t="s">
        <v>165</v>
      </c>
      <c r="G54" s="22"/>
      <c r="J54" s="22" t="s">
        <v>377</v>
      </c>
    </row>
    <row r="55" spans="1:10" ht="57.6" x14ac:dyDescent="0.3">
      <c r="E55" s="22" t="s">
        <v>249</v>
      </c>
      <c r="F55" s="22" t="s">
        <v>165</v>
      </c>
      <c r="G55" s="22"/>
      <c r="J55" s="22" t="s">
        <v>378</v>
      </c>
    </row>
    <row r="56" spans="1:10" ht="100.8" x14ac:dyDescent="0.3">
      <c r="E56" s="22" t="s">
        <v>250</v>
      </c>
      <c r="F56" s="22" t="s">
        <v>200</v>
      </c>
      <c r="G56" s="22"/>
      <c r="J56" s="22" t="s">
        <v>379</v>
      </c>
    </row>
    <row r="57" spans="1:10" ht="72" x14ac:dyDescent="0.3">
      <c r="B57" s="13" t="s">
        <v>211</v>
      </c>
      <c r="D57" s="22" t="s">
        <v>204</v>
      </c>
      <c r="E57" s="22" t="s">
        <v>248</v>
      </c>
      <c r="F57" s="22" t="s">
        <v>165</v>
      </c>
      <c r="G57" s="22"/>
      <c r="J57" s="22" t="s">
        <v>205</v>
      </c>
    </row>
    <row r="58" spans="1:10" ht="72" x14ac:dyDescent="0.3">
      <c r="E58" s="22" t="s">
        <v>249</v>
      </c>
      <c r="F58" s="22" t="s">
        <v>165</v>
      </c>
      <c r="G58" s="22"/>
      <c r="J58" s="22" t="s">
        <v>206</v>
      </c>
    </row>
    <row r="59" spans="1:10" ht="167.25" customHeight="1" x14ac:dyDescent="0.3">
      <c r="E59" s="22" t="s">
        <v>250</v>
      </c>
      <c r="F59" s="22" t="s">
        <v>207</v>
      </c>
      <c r="G59" s="22"/>
      <c r="J59" s="22" t="s">
        <v>208</v>
      </c>
    </row>
    <row r="60" spans="1:10" x14ac:dyDescent="0.3">
      <c r="A60" s="16" t="s">
        <v>389</v>
      </c>
      <c r="E60" s="22"/>
      <c r="F60" s="22"/>
      <c r="G60" s="22"/>
      <c r="J60" s="22"/>
    </row>
    <row r="61" spans="1:10" ht="43.2" x14ac:dyDescent="0.3">
      <c r="B61" s="25" t="s">
        <v>182</v>
      </c>
      <c r="C61" s="25"/>
      <c r="D61" s="25" t="s">
        <v>181</v>
      </c>
      <c r="E61" s="26" t="s">
        <v>238</v>
      </c>
      <c r="F61" s="26" t="s">
        <v>162</v>
      </c>
      <c r="G61" s="26"/>
      <c r="H61" s="26"/>
      <c r="I61" s="25"/>
      <c r="J61" s="26" t="s">
        <v>183</v>
      </c>
    </row>
    <row r="62" spans="1:10" ht="28.8" x14ac:dyDescent="0.3">
      <c r="B62" s="25"/>
      <c r="C62" s="25"/>
      <c r="D62" s="25"/>
      <c r="E62" s="26" t="s">
        <v>239</v>
      </c>
      <c r="F62" s="26" t="s">
        <v>162</v>
      </c>
      <c r="G62" s="26"/>
      <c r="H62" s="26"/>
      <c r="I62" s="25"/>
      <c r="J62" s="26" t="s">
        <v>184</v>
      </c>
    </row>
    <row r="63" spans="1:10" ht="43.2" x14ac:dyDescent="0.3">
      <c r="B63" s="25"/>
      <c r="C63" s="25"/>
      <c r="D63" s="25" t="s">
        <v>185</v>
      </c>
      <c r="E63" s="26" t="s">
        <v>240</v>
      </c>
      <c r="F63" s="26" t="s">
        <v>535</v>
      </c>
      <c r="G63" s="26"/>
      <c r="H63" s="26"/>
      <c r="I63" s="25"/>
      <c r="J63" s="26" t="s">
        <v>186</v>
      </c>
    </row>
    <row r="64" spans="1:10" ht="57.6" x14ac:dyDescent="0.3">
      <c r="B64" s="25"/>
      <c r="C64" s="25"/>
      <c r="D64" s="25"/>
      <c r="E64" s="26" t="s">
        <v>241</v>
      </c>
      <c r="F64" s="26" t="s">
        <v>535</v>
      </c>
      <c r="G64" s="26"/>
      <c r="H64" s="26"/>
      <c r="I64" s="25"/>
      <c r="J64" s="26" t="s">
        <v>187</v>
      </c>
    </row>
    <row r="65" spans="2:10" ht="43.2" x14ac:dyDescent="0.3">
      <c r="B65" s="25"/>
      <c r="C65" s="25"/>
      <c r="D65" s="25"/>
      <c r="E65" s="26" t="s">
        <v>242</v>
      </c>
      <c r="F65" s="26" t="s">
        <v>535</v>
      </c>
      <c r="G65" s="26"/>
      <c r="H65" s="26"/>
      <c r="I65" s="25"/>
      <c r="J65" s="26" t="s">
        <v>188</v>
      </c>
    </row>
    <row r="66" spans="2:10" ht="45" customHeight="1" x14ac:dyDescent="0.3">
      <c r="B66" s="25"/>
      <c r="C66" s="25"/>
      <c r="D66" s="25"/>
      <c r="E66" s="26" t="s">
        <v>189</v>
      </c>
      <c r="F66" s="26" t="s">
        <v>535</v>
      </c>
      <c r="G66" s="26"/>
      <c r="H66" s="26"/>
      <c r="I66" s="25"/>
      <c r="J66" s="26" t="s">
        <v>190</v>
      </c>
    </row>
    <row r="67" spans="2:10" ht="43.2" x14ac:dyDescent="0.3">
      <c r="B67" s="25"/>
      <c r="C67" s="25"/>
      <c r="D67" s="25"/>
      <c r="E67" s="26" t="s">
        <v>243</v>
      </c>
      <c r="F67" s="26" t="s">
        <v>535</v>
      </c>
      <c r="G67" s="26"/>
      <c r="H67" s="26"/>
      <c r="I67" s="25"/>
      <c r="J67" s="26" t="s">
        <v>191</v>
      </c>
    </row>
    <row r="68" spans="2:10" ht="57.6" x14ac:dyDescent="0.3">
      <c r="B68" s="25"/>
      <c r="C68" s="25"/>
      <c r="D68" s="25"/>
      <c r="E68" s="26" t="s">
        <v>244</v>
      </c>
      <c r="F68" s="26" t="s">
        <v>535</v>
      </c>
      <c r="G68" s="26"/>
      <c r="H68" s="26"/>
      <c r="I68" s="25"/>
      <c r="J68" s="26" t="s">
        <v>192</v>
      </c>
    </row>
    <row r="69" spans="2:10" ht="57.6" x14ac:dyDescent="0.3">
      <c r="B69" s="25"/>
      <c r="C69" s="25"/>
      <c r="D69" s="25"/>
      <c r="E69" s="26" t="s">
        <v>245</v>
      </c>
      <c r="F69" s="26" t="s">
        <v>535</v>
      </c>
      <c r="G69" s="26"/>
      <c r="H69" s="26"/>
      <c r="I69" s="25"/>
      <c r="J69" s="26" t="s">
        <v>193</v>
      </c>
    </row>
    <row r="70" spans="2:10" x14ac:dyDescent="0.3">
      <c r="B70" s="25"/>
      <c r="C70" s="25"/>
      <c r="D70" s="25"/>
      <c r="E70" s="26"/>
      <c r="F70" s="26"/>
      <c r="G70" s="26"/>
      <c r="H70" s="26"/>
      <c r="I70" s="25"/>
      <c r="J70" s="25"/>
    </row>
    <row r="71" spans="2:10" ht="72" x14ac:dyDescent="0.3">
      <c r="B71" s="25" t="s">
        <v>211</v>
      </c>
      <c r="C71" s="25"/>
      <c r="D71" s="26" t="s">
        <v>204</v>
      </c>
      <c r="E71" s="26" t="s">
        <v>248</v>
      </c>
      <c r="F71" s="26" t="s">
        <v>165</v>
      </c>
      <c r="G71" s="26"/>
      <c r="H71" s="26"/>
      <c r="I71" s="25"/>
      <c r="J71" s="26" t="s">
        <v>205</v>
      </c>
    </row>
    <row r="72" spans="2:10" ht="72" x14ac:dyDescent="0.3">
      <c r="B72" s="25"/>
      <c r="C72" s="25"/>
      <c r="D72" s="25"/>
      <c r="E72" s="26" t="s">
        <v>249</v>
      </c>
      <c r="F72" s="26" t="s">
        <v>165</v>
      </c>
      <c r="G72" s="26"/>
      <c r="H72" s="26"/>
      <c r="I72" s="25"/>
      <c r="J72" s="26" t="s">
        <v>206</v>
      </c>
    </row>
    <row r="73" spans="2:10" ht="167.25" customHeight="1" x14ac:dyDescent="0.3">
      <c r="B73" s="25"/>
      <c r="C73" s="25"/>
      <c r="D73" s="25"/>
      <c r="E73" s="26" t="s">
        <v>250</v>
      </c>
      <c r="F73" s="26" t="s">
        <v>207</v>
      </c>
      <c r="G73" s="26"/>
      <c r="H73" s="26"/>
      <c r="I73" s="25"/>
      <c r="J73" s="26" t="s">
        <v>208</v>
      </c>
    </row>
    <row r="74" spans="2:10" ht="28.8" x14ac:dyDescent="0.3">
      <c r="B74" s="25" t="s">
        <v>210</v>
      </c>
      <c r="C74" s="25"/>
      <c r="D74" s="25" t="s">
        <v>209</v>
      </c>
      <c r="E74" s="25" t="s">
        <v>194</v>
      </c>
      <c r="F74" s="26" t="s">
        <v>200</v>
      </c>
      <c r="G74" s="26"/>
      <c r="H74" s="26"/>
      <c r="I74" s="25"/>
      <c r="J74" s="26" t="s">
        <v>196</v>
      </c>
    </row>
    <row r="75" spans="2:10" ht="28.8" x14ac:dyDescent="0.3">
      <c r="B75" s="25"/>
      <c r="C75" s="25"/>
      <c r="D75" s="25"/>
      <c r="E75" s="26" t="s">
        <v>198</v>
      </c>
      <c r="F75" s="26" t="s">
        <v>200</v>
      </c>
      <c r="G75" s="26"/>
      <c r="H75" s="26"/>
      <c r="I75" s="25"/>
      <c r="J75" s="26" t="s">
        <v>212</v>
      </c>
    </row>
    <row r="76" spans="2:10" ht="28.8" x14ac:dyDescent="0.3">
      <c r="B76" s="25"/>
      <c r="C76" s="25"/>
      <c r="D76" s="25"/>
      <c r="E76" s="26" t="s">
        <v>251</v>
      </c>
      <c r="F76" s="26" t="s">
        <v>200</v>
      </c>
      <c r="G76" s="26"/>
      <c r="H76" s="26"/>
      <c r="I76" s="25"/>
      <c r="J76" s="26" t="s">
        <v>201</v>
      </c>
    </row>
    <row r="77" spans="2:10" ht="72" x14ac:dyDescent="0.3">
      <c r="B77" s="25"/>
      <c r="C77" s="25"/>
      <c r="D77" s="25"/>
      <c r="E77" s="26" t="s">
        <v>213</v>
      </c>
      <c r="F77" s="26" t="s">
        <v>162</v>
      </c>
      <c r="G77" s="26"/>
      <c r="H77" s="26"/>
      <c r="I77" s="25"/>
      <c r="J77" s="26" t="s">
        <v>214</v>
      </c>
    </row>
    <row r="78" spans="2:10" ht="72" x14ac:dyDescent="0.3">
      <c r="B78" s="25"/>
      <c r="C78" s="25"/>
      <c r="D78" s="25"/>
      <c r="E78" s="26" t="s">
        <v>254</v>
      </c>
      <c r="F78" s="26" t="s">
        <v>162</v>
      </c>
      <c r="G78" s="26"/>
      <c r="H78" s="26"/>
      <c r="I78" s="25"/>
      <c r="J78" s="26" t="s">
        <v>215</v>
      </c>
    </row>
    <row r="79" spans="2:10" ht="72" x14ac:dyDescent="0.3">
      <c r="B79" s="25"/>
      <c r="C79" s="25"/>
      <c r="D79" s="25"/>
      <c r="E79" s="26" t="s">
        <v>216</v>
      </c>
      <c r="F79" s="26" t="s">
        <v>162</v>
      </c>
      <c r="G79" s="26"/>
      <c r="H79" s="26"/>
      <c r="I79" s="25"/>
      <c r="J79" s="26" t="s">
        <v>218</v>
      </c>
    </row>
    <row r="80" spans="2:10" ht="72" x14ac:dyDescent="0.3">
      <c r="B80" s="25"/>
      <c r="C80" s="25"/>
      <c r="D80" s="25"/>
      <c r="E80" s="26" t="s">
        <v>217</v>
      </c>
      <c r="F80" s="26" t="s">
        <v>162</v>
      </c>
      <c r="G80" s="26"/>
      <c r="H80" s="26"/>
      <c r="I80" s="25"/>
      <c r="J80" s="26" t="s">
        <v>219</v>
      </c>
    </row>
    <row r="81" spans="1:10" ht="72" x14ac:dyDescent="0.3">
      <c r="B81" s="25"/>
      <c r="C81" s="25"/>
      <c r="D81" s="25"/>
      <c r="E81" s="26" t="s">
        <v>220</v>
      </c>
      <c r="F81" s="26" t="s">
        <v>162</v>
      </c>
      <c r="G81" s="26"/>
      <c r="H81" s="26"/>
      <c r="I81" s="25"/>
      <c r="J81" s="26" t="s">
        <v>221</v>
      </c>
    </row>
    <row r="82" spans="1:10" ht="57.6" x14ac:dyDescent="0.3">
      <c r="B82" s="25"/>
      <c r="C82" s="25"/>
      <c r="D82" s="25"/>
      <c r="E82" s="26" t="s">
        <v>255</v>
      </c>
      <c r="F82" s="26"/>
      <c r="G82" s="26"/>
      <c r="H82" s="26"/>
      <c r="I82" s="25"/>
      <c r="J82" s="26" t="s">
        <v>222</v>
      </c>
    </row>
    <row r="83" spans="1:10" x14ac:dyDescent="0.3">
      <c r="B83" s="25"/>
      <c r="C83" s="25"/>
      <c r="D83" s="25"/>
      <c r="E83" s="26"/>
      <c r="F83" s="26"/>
      <c r="G83" s="26"/>
      <c r="H83" s="26"/>
      <c r="I83" s="25"/>
      <c r="J83" s="25"/>
    </row>
    <row r="84" spans="1:10" x14ac:dyDescent="0.3">
      <c r="B84" s="25" t="s">
        <v>226</v>
      </c>
      <c r="C84" s="25"/>
      <c r="D84" s="25" t="s">
        <v>223</v>
      </c>
      <c r="E84" s="26"/>
      <c r="F84" s="26"/>
      <c r="G84" s="26"/>
      <c r="H84" s="26"/>
      <c r="I84" s="25"/>
      <c r="J84" s="25"/>
    </row>
    <row r="85" spans="1:10" x14ac:dyDescent="0.3">
      <c r="B85" s="25"/>
      <c r="C85" s="25"/>
      <c r="D85" s="25"/>
      <c r="E85" s="26"/>
      <c r="F85" s="26"/>
      <c r="G85" s="26"/>
      <c r="H85" s="26"/>
      <c r="I85" s="25"/>
      <c r="J85" s="25"/>
    </row>
    <row r="86" spans="1:10" x14ac:dyDescent="0.3">
      <c r="B86" s="25" t="s">
        <v>225</v>
      </c>
      <c r="C86" s="25"/>
      <c r="D86" s="25" t="s">
        <v>224</v>
      </c>
      <c r="E86" s="26"/>
      <c r="F86" s="26"/>
      <c r="G86" s="26"/>
      <c r="H86" s="26"/>
      <c r="I86" s="25"/>
      <c r="J86" s="25"/>
    </row>
    <row r="87" spans="1:10" x14ac:dyDescent="0.3">
      <c r="B87" s="25"/>
      <c r="C87" s="25"/>
      <c r="D87" s="25"/>
      <c r="E87" s="26"/>
      <c r="F87" s="26"/>
      <c r="G87" s="26"/>
      <c r="H87" s="26"/>
      <c r="I87" s="25"/>
      <c r="J87" s="25"/>
    </row>
    <row r="88" spans="1:10" x14ac:dyDescent="0.3">
      <c r="B88" s="25" t="s">
        <v>228</v>
      </c>
      <c r="C88" s="25"/>
      <c r="D88" s="25" t="s">
        <v>227</v>
      </c>
      <c r="E88" s="26"/>
      <c r="F88" s="26"/>
      <c r="G88" s="26"/>
      <c r="H88" s="26"/>
      <c r="I88" s="25"/>
      <c r="J88" s="25"/>
    </row>
    <row r="89" spans="1:10" x14ac:dyDescent="0.3">
      <c r="B89" s="25"/>
      <c r="C89" s="25"/>
      <c r="D89" s="25"/>
      <c r="E89" s="26"/>
      <c r="F89" s="26"/>
      <c r="G89" s="26"/>
      <c r="H89" s="26"/>
      <c r="I89" s="25"/>
      <c r="J89" s="25"/>
    </row>
    <row r="90" spans="1:10" ht="43.2" x14ac:dyDescent="0.3">
      <c r="B90" s="25" t="s">
        <v>229</v>
      </c>
      <c r="C90" s="25"/>
      <c r="D90" s="25" t="s">
        <v>619</v>
      </c>
      <c r="E90" s="26" t="s">
        <v>252</v>
      </c>
      <c r="F90" s="26" t="s">
        <v>230</v>
      </c>
      <c r="G90" s="26"/>
      <c r="H90" s="26"/>
      <c r="I90" s="25"/>
      <c r="J90" s="26" t="s">
        <v>384</v>
      </c>
    </row>
    <row r="91" spans="1:10" ht="57.6" x14ac:dyDescent="0.3">
      <c r="B91" s="25" t="s">
        <v>232</v>
      </c>
      <c r="C91" s="25"/>
      <c r="D91" s="26" t="s">
        <v>231</v>
      </c>
      <c r="E91" s="26" t="s">
        <v>253</v>
      </c>
      <c r="F91" s="26"/>
      <c r="G91" s="26"/>
      <c r="H91" s="26"/>
      <c r="I91" s="25"/>
      <c r="J91" s="26" t="s">
        <v>233</v>
      </c>
    </row>
    <row r="92" spans="1:10" x14ac:dyDescent="0.3">
      <c r="B92" s="25" t="s">
        <v>235</v>
      </c>
      <c r="C92" s="25"/>
      <c r="D92" s="25" t="s">
        <v>234</v>
      </c>
      <c r="E92" s="26"/>
      <c r="F92" s="26"/>
      <c r="G92" s="26"/>
      <c r="H92" s="26"/>
      <c r="I92" s="25"/>
      <c r="J92" s="25"/>
    </row>
    <row r="93" spans="1:10" x14ac:dyDescent="0.3">
      <c r="B93" s="25"/>
      <c r="C93" s="25"/>
      <c r="D93" s="25"/>
      <c r="E93" s="26"/>
      <c r="F93" s="26"/>
      <c r="G93" s="26"/>
      <c r="H93" s="26"/>
      <c r="I93" s="25"/>
      <c r="J93" s="25"/>
    </row>
    <row r="94" spans="1:10" s="30" customFormat="1" ht="57.6" x14ac:dyDescent="0.3">
      <c r="A94" s="27"/>
      <c r="B94" s="28" t="s">
        <v>176</v>
      </c>
      <c r="C94" s="28"/>
      <c r="D94" s="29" t="s">
        <v>651</v>
      </c>
      <c r="E94" s="28" t="s">
        <v>175</v>
      </c>
      <c r="F94" s="26"/>
      <c r="G94" s="29"/>
      <c r="H94" s="28"/>
      <c r="I94" s="29"/>
      <c r="J94" s="28" t="s">
        <v>177</v>
      </c>
    </row>
    <row r="95" spans="1:10" x14ac:dyDescent="0.3">
      <c r="B95" s="25"/>
      <c r="C95" s="25"/>
      <c r="D95" s="25"/>
      <c r="E95" s="26"/>
      <c r="F95" s="26"/>
      <c r="G95" s="26"/>
      <c r="H95" s="26"/>
      <c r="I95" s="25"/>
      <c r="J95" s="25"/>
    </row>
    <row r="96" spans="1:10" ht="43.2" x14ac:dyDescent="0.3">
      <c r="B96" s="13" t="s">
        <v>653</v>
      </c>
      <c r="D96" s="13" t="s">
        <v>652</v>
      </c>
      <c r="E96" s="15" t="s">
        <v>650</v>
      </c>
      <c r="F96" s="22" t="s">
        <v>535</v>
      </c>
      <c r="G96" s="22"/>
      <c r="H96" s="22" t="s">
        <v>160</v>
      </c>
      <c r="J96" s="22" t="s">
        <v>654</v>
      </c>
    </row>
    <row r="97" spans="5:6" x14ac:dyDescent="0.3">
      <c r="E97" s="15"/>
      <c r="F97" s="15"/>
    </row>
    <row r="98" spans="5:6" x14ac:dyDescent="0.3">
      <c r="E98" s="15"/>
      <c r="F98" s="15"/>
    </row>
    <row r="99" spans="5:6" x14ac:dyDescent="0.3">
      <c r="E99" s="15"/>
      <c r="F99" s="15"/>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54B72B-F65C-4635-AB22-1E9E6D8931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Chiller Curves - Ref Only</vt:lpstr>
      <vt:lpstr>Fan Curves - Ref Only</vt:lpstr>
      <vt:lpstr>Pump Curves - Ref Only</vt:lpstr>
      <vt:lpstr>SEER CrvMaps - Ref Only</vt:lpstr>
      <vt:lpstr>E+ Reference</vt:lpstr>
      <vt:lpstr>DX SEER Curves - NO LONGER USED</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Jireh Peng</cp:lastModifiedBy>
  <dcterms:created xsi:type="dcterms:W3CDTF">2012-07-03T18:05:16Z</dcterms:created>
  <dcterms:modified xsi:type="dcterms:W3CDTF">2025-04-10T21:19:51Z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y fmtid="{D5CDD505-2E9C-101B-9397-08002B2CF9AE}" pid="3" name="MSIP_Label_b85f6713-6d19-40ac-a071-63e831bc1e58_Enabled">
    <vt:lpwstr>true</vt:lpwstr>
  </property>
  <property fmtid="{D5CDD505-2E9C-101B-9397-08002B2CF9AE}" pid="4" name="MSIP_Label_b85f6713-6d19-40ac-a071-63e831bc1e58_SetDate">
    <vt:lpwstr>2023-04-28T15:59:19Z</vt:lpwstr>
  </property>
  <property fmtid="{D5CDD505-2E9C-101B-9397-08002B2CF9AE}" pid="5" name="MSIP_Label_b85f6713-6d19-40ac-a071-63e831bc1e58_Method">
    <vt:lpwstr>Standard</vt:lpwstr>
  </property>
  <property fmtid="{D5CDD505-2E9C-101B-9397-08002B2CF9AE}" pid="6" name="MSIP_Label_b85f6713-6d19-40ac-a071-63e831bc1e58_Name">
    <vt:lpwstr>Confidential - Low</vt:lpwstr>
  </property>
  <property fmtid="{D5CDD505-2E9C-101B-9397-08002B2CF9AE}" pid="7" name="MSIP_Label_b85f6713-6d19-40ac-a071-63e831bc1e58_SiteId">
    <vt:lpwstr>36839a65-7f3f-4bac-9ea4-f571f10a9a03</vt:lpwstr>
  </property>
  <property fmtid="{D5CDD505-2E9C-101B-9397-08002B2CF9AE}" pid="8" name="MSIP_Label_b85f6713-6d19-40ac-a071-63e831bc1e58_ActionId">
    <vt:lpwstr>71796e90-590d-45bb-85a6-70156b74789c</vt:lpwstr>
  </property>
  <property fmtid="{D5CDD505-2E9C-101B-9397-08002B2CF9AE}" pid="9" name="MSIP_Label_b85f6713-6d19-40ac-a071-63e831bc1e58_ContentBits">
    <vt:lpwstr>0</vt:lpwstr>
  </property>
</Properties>
</file>