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7.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omments9.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omments10.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3.xml" ContentType="application/vnd.openxmlformats-officedocument.spreadsheetml.comments+xml"/>
  <Override PartName="/xl/threadedComments/threadedComment5.xml" ContentType="application/vnd.ms-excel.threadedcomments+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omments14.xml" ContentType="application/vnd.openxmlformats-officedocument.spreadsheetml.comments+xml"/>
  <Override PartName="/xl/threadedComments/threadedComment6.xml" ContentType="application/vnd.ms-excel.threadedcomments+xml"/>
  <Override PartName="/xl/comments15.xml" ContentType="application/vnd.openxmlformats-officedocument.spreadsheetml.comments+xml"/>
  <Override PartName="/xl/threadedComments/threadedComment7.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N:\Prj_SUS\2023\S23668 SCE CA Prototypes Development\Technical\NR\Office\small-office\"/>
    </mc:Choice>
  </mc:AlternateContent>
  <xr:revisionPtr revIDLastSave="0" documentId="13_ncr:1_{BFFEFC32-B206-4A9F-828F-9EDFD52814D9}" xr6:coauthVersionLast="47" xr6:coauthVersionMax="47" xr10:uidLastSave="{00000000-0000-0000-0000-000000000000}"/>
  <bookViews>
    <workbookView xWindow="-108" yWindow="-108" windowWidth="23256" windowHeight="13896" tabRatio="890" activeTab="1" xr2:uid="{EAC23EE3-0CA0-4FF8-990D-9B21A59FA3E0}"/>
  </bookViews>
  <sheets>
    <sheet name="Notes" sheetId="23" r:id="rId1"/>
    <sheet name="Office Prototype" sheetId="2" r:id="rId2"/>
    <sheet name="Zones" sheetId="13" r:id="rId3"/>
    <sheet name="Envelope" sheetId="1" r:id="rId4"/>
    <sheet name="HVAC System" sheetId="14" r:id="rId5"/>
    <sheet name="Heating-No area used to convert" sheetId="8" state="hidden" r:id="rId6"/>
    <sheet name="Ventilation" sheetId="18" r:id="rId7"/>
    <sheet name="Water Heater" sheetId="7" r:id="rId8"/>
    <sheet name="Cooking Euipment" sheetId="3" state="hidden" r:id="rId9"/>
    <sheet name="Air compressor" sheetId="4" state="hidden" r:id="rId10"/>
    <sheet name="Refrigerated" sheetId="10" state="hidden" r:id="rId11"/>
    <sheet name="Interior Lights" sheetId="25" r:id="rId12"/>
    <sheet name="Ext Lighting" sheetId="9" r:id="rId13"/>
    <sheet name="Occupnacy" sheetId="19" state="hidden" r:id="rId14"/>
    <sheet name="Equipment" sheetId="29" r:id="rId15"/>
    <sheet name="Schedules" sheetId="28" r:id="rId16"/>
    <sheet name="Energy Usage" sheetId="20" r:id="rId17"/>
    <sheet name="Weights" sheetId="21" r:id="rId18"/>
    <sheet name="PV" sheetId="27" r:id="rId19"/>
    <sheet name="EV Charger" sheetId="22" r:id="rId20"/>
    <sheet name="FZ-CZ" sheetId="12" state="hidden" r:id="rId21"/>
  </sheets>
  <definedNames>
    <definedName name="nonparticipating_forecastzone_scale_factor">'Energy Usage'!$C$27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8" l="1"/>
  <c r="D3" i="13"/>
  <c r="D7" i="18" l="1"/>
  <c r="AB4" i="21" l="1"/>
  <c r="H17" i="13"/>
  <c r="H4" i="13"/>
  <c r="H5" i="13"/>
  <c r="H6" i="13"/>
  <c r="H7" i="13"/>
  <c r="H8" i="13"/>
  <c r="H9" i="13"/>
  <c r="H10" i="13"/>
  <c r="H11" i="13"/>
  <c r="H12" i="13"/>
  <c r="H13" i="13"/>
  <c r="H14" i="13"/>
  <c r="H15" i="13"/>
  <c r="G17" i="13"/>
  <c r="D10" i="13" s="1"/>
  <c r="D14" i="13"/>
  <c r="D13" i="13"/>
  <c r="D12" i="13"/>
  <c r="D11" i="13"/>
  <c r="AB5" i="21"/>
  <c r="AB6" i="21"/>
  <c r="AB7" i="21"/>
  <c r="AB8" i="21"/>
  <c r="H5" i="21"/>
  <c r="H6" i="21"/>
  <c r="H7" i="21"/>
  <c r="H8" i="21"/>
  <c r="H9" i="21"/>
  <c r="H10" i="21"/>
  <c r="H11" i="21"/>
  <c r="H12" i="21"/>
  <c r="H13" i="21"/>
  <c r="H14" i="21"/>
  <c r="H15" i="21"/>
  <c r="H16" i="21"/>
  <c r="H17" i="21"/>
  <c r="H18" i="21"/>
  <c r="H19" i="21"/>
  <c r="H4" i="21"/>
  <c r="L33" i="21"/>
  <c r="P64" i="21"/>
  <c r="Q64" i="21"/>
  <c r="R64" i="21"/>
  <c r="S64" i="21"/>
  <c r="T64" i="21"/>
  <c r="P65" i="21"/>
  <c r="Q65" i="21"/>
  <c r="R65" i="21"/>
  <c r="S65" i="21"/>
  <c r="T65" i="21"/>
  <c r="P66" i="21"/>
  <c r="Q66" i="21"/>
  <c r="R66" i="21"/>
  <c r="S66" i="21"/>
  <c r="T66" i="21"/>
  <c r="P67" i="21"/>
  <c r="Q67" i="21"/>
  <c r="R67" i="21"/>
  <c r="S67" i="21"/>
  <c r="T67" i="21"/>
  <c r="P68" i="21"/>
  <c r="Q68" i="21"/>
  <c r="R68" i="21"/>
  <c r="S68" i="21"/>
  <c r="T68" i="21"/>
  <c r="P69" i="21"/>
  <c r="Q69" i="21"/>
  <c r="R69" i="21"/>
  <c r="S69" i="21"/>
  <c r="T69" i="21"/>
  <c r="P70" i="21"/>
  <c r="Q70" i="21"/>
  <c r="R70" i="21"/>
  <c r="S70" i="21"/>
  <c r="T70" i="21"/>
  <c r="P71" i="21"/>
  <c r="Q71" i="21"/>
  <c r="R71" i="21"/>
  <c r="S71" i="21"/>
  <c r="T71" i="21"/>
  <c r="P72" i="21"/>
  <c r="Q72" i="21"/>
  <c r="R72" i="21"/>
  <c r="S72" i="21"/>
  <c r="T72" i="21"/>
  <c r="P73" i="21"/>
  <c r="Q73" i="21"/>
  <c r="R73" i="21"/>
  <c r="S73" i="21"/>
  <c r="T73" i="21"/>
  <c r="P74" i="21"/>
  <c r="Q74" i="21"/>
  <c r="R74" i="21"/>
  <c r="S74" i="21"/>
  <c r="T74" i="21"/>
  <c r="P75" i="21"/>
  <c r="Q75" i="21"/>
  <c r="R75" i="21"/>
  <c r="S75" i="21"/>
  <c r="T75" i="21"/>
  <c r="P76" i="21"/>
  <c r="Q76" i="21"/>
  <c r="R76" i="21"/>
  <c r="S76" i="21"/>
  <c r="T76" i="21"/>
  <c r="P77" i="21"/>
  <c r="Q77" i="21"/>
  <c r="R77" i="21"/>
  <c r="S77" i="21"/>
  <c r="T77" i="21"/>
  <c r="P78" i="21"/>
  <c r="Q78" i="21"/>
  <c r="R78" i="21"/>
  <c r="S78" i="21"/>
  <c r="T78" i="21"/>
  <c r="P79" i="21"/>
  <c r="Q79" i="21"/>
  <c r="R79" i="21"/>
  <c r="S79" i="21"/>
  <c r="T79" i="21"/>
  <c r="P80" i="21"/>
  <c r="Q80" i="21"/>
  <c r="R80" i="21"/>
  <c r="S80" i="21"/>
  <c r="T80" i="21"/>
  <c r="O65" i="21"/>
  <c r="O66" i="21"/>
  <c r="O67" i="21"/>
  <c r="O68" i="21"/>
  <c r="O69" i="21"/>
  <c r="O70" i="21"/>
  <c r="O71" i="21"/>
  <c r="O72" i="21"/>
  <c r="O73" i="21"/>
  <c r="O74" i="21"/>
  <c r="O75" i="21"/>
  <c r="O76" i="21"/>
  <c r="O77" i="21"/>
  <c r="O78" i="21"/>
  <c r="O79" i="21"/>
  <c r="O80" i="21"/>
  <c r="O64" i="21"/>
  <c r="D15" i="13" l="1"/>
  <c r="D5" i="13"/>
  <c r="D7" i="13"/>
  <c r="D4" i="13"/>
  <c r="D6" i="13"/>
  <c r="D8" i="13"/>
  <c r="D9" i="13"/>
  <c r="H3" i="13" l="1"/>
  <c r="F26" i="29"/>
  <c r="F20" i="29"/>
  <c r="F21" i="29"/>
  <c r="F22" i="29"/>
  <c r="F23" i="29"/>
  <c r="F24" i="29"/>
  <c r="F25" i="29"/>
  <c r="F27" i="29"/>
  <c r="F28" i="29"/>
  <c r="F19" i="29"/>
  <c r="F29" i="29" s="1"/>
  <c r="B78" i="29"/>
  <c r="V44" i="14" l="1"/>
  <c r="X44" i="14" s="1"/>
  <c r="I19" i="1"/>
  <c r="J19" i="1"/>
  <c r="K19" i="1"/>
  <c r="L19" i="1"/>
  <c r="M19" i="1"/>
  <c r="N19" i="1"/>
  <c r="O19" i="1"/>
  <c r="P19" i="1"/>
  <c r="Q19" i="1"/>
  <c r="R19" i="1"/>
  <c r="S19" i="1"/>
  <c r="T19" i="1"/>
  <c r="U19" i="1"/>
  <c r="V19" i="1"/>
  <c r="W19" i="1"/>
  <c r="X19" i="1"/>
  <c r="J18" i="1"/>
  <c r="K18" i="1"/>
  <c r="L18" i="1"/>
  <c r="M18" i="1"/>
  <c r="N18" i="1"/>
  <c r="O18" i="1"/>
  <c r="P18" i="1"/>
  <c r="Q18" i="1"/>
  <c r="R18" i="1"/>
  <c r="S18" i="1"/>
  <c r="T18" i="1"/>
  <c r="U18" i="1"/>
  <c r="V18" i="1"/>
  <c r="W18" i="1"/>
  <c r="X18" i="1"/>
  <c r="I18" i="1"/>
  <c r="I14" i="1"/>
  <c r="J14" i="1"/>
  <c r="K14" i="1"/>
  <c r="L14" i="1"/>
  <c r="M14" i="1"/>
  <c r="N14" i="1"/>
  <c r="O14" i="1"/>
  <c r="P14" i="1"/>
  <c r="Q14" i="1"/>
  <c r="R14" i="1"/>
  <c r="S14" i="1"/>
  <c r="T14" i="1"/>
  <c r="U14" i="1"/>
  <c r="V14" i="1"/>
  <c r="W14" i="1"/>
  <c r="X14" i="1"/>
  <c r="J13" i="1"/>
  <c r="K13" i="1"/>
  <c r="L13" i="1"/>
  <c r="M13" i="1"/>
  <c r="N13" i="1"/>
  <c r="O13" i="1"/>
  <c r="P13" i="1"/>
  <c r="Q13" i="1"/>
  <c r="R13" i="1"/>
  <c r="S13" i="1"/>
  <c r="T13" i="1"/>
  <c r="U13" i="1"/>
  <c r="V13" i="1"/>
  <c r="W13" i="1"/>
  <c r="X13" i="1"/>
  <c r="I13" i="1"/>
  <c r="E14" i="28"/>
  <c r="AJ44" i="14" l="1"/>
  <c r="AI44" i="14"/>
  <c r="AB44" i="14"/>
  <c r="AA44" i="14"/>
  <c r="Z44" i="14"/>
  <c r="AC44" i="14"/>
  <c r="AD44" i="14"/>
  <c r="Y44" i="14"/>
  <c r="AK44" i="14"/>
  <c r="W44" i="14"/>
  <c r="AL44" i="14"/>
  <c r="AH44" i="14"/>
  <c r="AG44" i="14"/>
  <c r="AF44" i="14"/>
  <c r="AE44" i="14"/>
  <c r="C78" i="29"/>
  <c r="C35" i="29" s="1"/>
  <c r="J78" i="29"/>
  <c r="K78" i="29"/>
  <c r="L78" i="29"/>
  <c r="F78" i="29"/>
  <c r="G78" i="29"/>
  <c r="H78" i="29"/>
  <c r="D78" i="29"/>
  <c r="A55" i="29"/>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11" i="18"/>
  <c r="A9" i="18"/>
  <c r="A10" i="18"/>
  <c r="A4" i="18"/>
  <c r="A5" i="18"/>
  <c r="A6" i="18"/>
  <c r="A7" i="18"/>
  <c r="A8" i="18"/>
  <c r="A3" i="18"/>
  <c r="E35" i="29" l="1"/>
  <c r="K35" i="29" s="1"/>
  <c r="L79" i="29"/>
  <c r="D35" i="29"/>
  <c r="J35" i="29" s="1"/>
  <c r="K34" i="21"/>
  <c r="K35" i="21"/>
  <c r="K36" i="21"/>
  <c r="K37" i="21"/>
  <c r="K38" i="21"/>
  <c r="K39" i="21"/>
  <c r="K40" i="21"/>
  <c r="K41" i="21"/>
  <c r="K42" i="21"/>
  <c r="K43" i="21"/>
  <c r="K44" i="21"/>
  <c r="K45" i="21"/>
  <c r="K46" i="21"/>
  <c r="K47" i="21"/>
  <c r="K48" i="21"/>
  <c r="K49" i="21"/>
  <c r="K33" i="21"/>
  <c r="L91" i="1" l="1"/>
  <c r="D11" i="18" l="1"/>
  <c r="K116" i="25" l="1"/>
  <c r="M115" i="25"/>
  <c r="M116" i="25" s="1"/>
  <c r="L115" i="25"/>
  <c r="L116" i="25" s="1"/>
  <c r="J115" i="25"/>
  <c r="J116" i="25" s="1"/>
  <c r="I115" i="25"/>
  <c r="I116" i="25" s="1"/>
  <c r="N116" i="25" l="1"/>
  <c r="G48" i="13"/>
  <c r="G42" i="13" s="1"/>
  <c r="F38" i="13"/>
  <c r="G38" i="13"/>
  <c r="F39" i="13"/>
  <c r="G39" i="13"/>
  <c r="F40" i="13"/>
  <c r="G40" i="13"/>
  <c r="F41" i="13"/>
  <c r="G41" i="13"/>
  <c r="F42" i="13"/>
  <c r="F43" i="13"/>
  <c r="G43" i="13"/>
  <c r="E39" i="13"/>
  <c r="E40" i="13"/>
  <c r="E41" i="13"/>
  <c r="E42" i="13"/>
  <c r="E43" i="13"/>
  <c r="E38" i="13"/>
  <c r="D12" i="19"/>
  <c r="E12" i="19" s="1"/>
  <c r="H35" i="19"/>
  <c r="E37" i="19" s="1"/>
  <c r="X4" i="1"/>
  <c r="W4" i="1"/>
  <c r="V4" i="1"/>
  <c r="U4" i="1"/>
  <c r="T4" i="1"/>
  <c r="S4" i="1"/>
  <c r="R4" i="1"/>
  <c r="Q4" i="1"/>
  <c r="P4" i="1"/>
  <c r="O4" i="1"/>
  <c r="N4" i="1"/>
  <c r="M4" i="1"/>
  <c r="K4" i="1"/>
  <c r="L4" i="1"/>
  <c r="J4" i="1"/>
  <c r="I4" i="1"/>
  <c r="C48" i="1"/>
  <c r="D48" i="1"/>
  <c r="E48" i="1"/>
  <c r="H64" i="25"/>
  <c r="H63" i="25"/>
  <c r="H61" i="25"/>
  <c r="L60" i="25"/>
  <c r="L109" i="25"/>
  <c r="K109" i="25"/>
  <c r="J109" i="25"/>
  <c r="H109" i="25"/>
  <c r="G109" i="25"/>
  <c r="F109" i="25"/>
  <c r="C109" i="25"/>
  <c r="D109" i="25"/>
  <c r="B109" i="25"/>
  <c r="A86" i="25"/>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F94" i="19"/>
  <c r="B93" i="19"/>
  <c r="C93" i="19"/>
  <c r="E93" i="19"/>
  <c r="F93" i="19"/>
  <c r="G93" i="19"/>
  <c r="L93" i="19"/>
  <c r="N187" i="19" s="1"/>
  <c r="K93" i="19"/>
  <c r="M187" i="19" s="1"/>
  <c r="J93" i="19"/>
  <c r="L67" i="19"/>
  <c r="S194" i="19"/>
  <c r="J210" i="19"/>
  <c r="J211" i="19" s="1"/>
  <c r="J212" i="19" s="1"/>
  <c r="J213" i="19" s="1"/>
  <c r="J214" i="19" s="1"/>
  <c r="J215" i="19" s="1"/>
  <c r="J216" i="19" s="1"/>
  <c r="J217" i="19" s="1"/>
  <c r="J218" i="19" s="1"/>
  <c r="J219" i="19" s="1"/>
  <c r="J220" i="19" s="1"/>
  <c r="J221" i="19" s="1"/>
  <c r="J222" i="19" s="1"/>
  <c r="J223" i="19" s="1"/>
  <c r="J224" i="19" s="1"/>
  <c r="J225" i="19" s="1"/>
  <c r="J226" i="19" s="1"/>
  <c r="J227" i="19" s="1"/>
  <c r="J228" i="19" s="1"/>
  <c r="J229" i="19" s="1"/>
  <c r="J230" i="19" s="1"/>
  <c r="J231" i="19" s="1"/>
  <c r="J232" i="19" s="1"/>
  <c r="F63" i="25" l="1"/>
  <c r="G63" i="25" s="1"/>
  <c r="F64" i="25"/>
  <c r="G64" i="25" s="1"/>
  <c r="D8" i="18"/>
  <c r="D12" i="18"/>
  <c r="D6" i="18"/>
  <c r="F62" i="25"/>
  <c r="G62" i="25" s="1"/>
  <c r="F61" i="25"/>
  <c r="G61" i="25" s="1"/>
  <c r="D5" i="18" l="1"/>
  <c r="D4" i="18"/>
  <c r="G67" i="19" l="1"/>
  <c r="A70" i="19"/>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E57" i="21"/>
  <c r="E59" i="21" s="1"/>
  <c r="N60" i="7" l="1"/>
  <c r="O60" i="7" s="1"/>
  <c r="N61" i="7"/>
  <c r="O61" i="7" s="1"/>
  <c r="N62" i="7"/>
  <c r="O62" i="7" s="1"/>
  <c r="N63" i="7"/>
  <c r="O63" i="7" s="1"/>
  <c r="N64" i="7"/>
  <c r="O64" i="7" s="1"/>
  <c r="N65" i="7"/>
  <c r="O65" i="7" s="1"/>
  <c r="N66" i="7"/>
  <c r="O66" i="7" s="1"/>
  <c r="N67" i="7"/>
  <c r="O67" i="7" s="1"/>
  <c r="N68" i="7"/>
  <c r="O68" i="7" s="1"/>
  <c r="N69" i="7"/>
  <c r="O69" i="7" s="1"/>
  <c r="N70" i="7"/>
  <c r="O70" i="7" s="1"/>
  <c r="N71" i="7"/>
  <c r="O71" i="7" s="1"/>
  <c r="N72" i="7"/>
  <c r="O72" i="7" s="1"/>
  <c r="N73" i="7"/>
  <c r="O73" i="7" s="1"/>
  <c r="N74" i="7"/>
  <c r="O74" i="7" s="1"/>
  <c r="N75" i="7"/>
  <c r="O75" i="7" s="1"/>
  <c r="N59" i="7"/>
  <c r="O59" i="7" s="1"/>
  <c r="AB3" i="8" l="1"/>
  <c r="G31" i="12"/>
  <c r="G32" i="12"/>
  <c r="G33" i="12"/>
  <c r="G34" i="12"/>
  <c r="G35" i="12"/>
  <c r="G36" i="12"/>
  <c r="G37" i="12"/>
  <c r="G38" i="12"/>
  <c r="G39" i="12"/>
  <c r="G40" i="12"/>
  <c r="G41" i="12"/>
  <c r="G42" i="12"/>
  <c r="G43" i="12"/>
  <c r="G44" i="12"/>
  <c r="G45" i="12"/>
  <c r="G46" i="12"/>
  <c r="G47" i="12"/>
  <c r="G48" i="12"/>
  <c r="G49" i="12"/>
  <c r="G50" i="12"/>
  <c r="G30" i="12"/>
  <c r="H2" i="8" l="1"/>
  <c r="G2" i="8"/>
  <c r="F2" i="8"/>
  <c r="T75" i="7"/>
  <c r="W75" i="7" s="1"/>
  <c r="T74" i="7"/>
  <c r="AJ74" i="7" s="1"/>
  <c r="T73" i="7"/>
  <c r="AI73" i="7" s="1"/>
  <c r="T72" i="7"/>
  <c r="AH72" i="7" s="1"/>
  <c r="T71" i="7"/>
  <c r="AE71" i="7" s="1"/>
  <c r="T69" i="7"/>
  <c r="AA23" i="8"/>
  <c r="AA22" i="8"/>
  <c r="AA21" i="8"/>
  <c r="AA15" i="8"/>
  <c r="AA67" i="8"/>
  <c r="AA41" i="8"/>
  <c r="AA68" i="8"/>
  <c r="AA69" i="8"/>
  <c r="AA73" i="8"/>
  <c r="AA72" i="8"/>
  <c r="AA49" i="8"/>
  <c r="AA48" i="8"/>
  <c r="AA58" i="8"/>
  <c r="AA59" i="8"/>
  <c r="AA60" i="8"/>
  <c r="AA61" i="8"/>
  <c r="AA62" i="8"/>
  <c r="AA63" i="8"/>
  <c r="AA64" i="8"/>
  <c r="AA65" i="8"/>
  <c r="AA66" i="8"/>
  <c r="AA57" i="8"/>
  <c r="AA55" i="8"/>
  <c r="D2" i="8" s="1"/>
  <c r="C22" i="7"/>
  <c r="C2" i="8"/>
  <c r="B2" i="8"/>
  <c r="AA47" i="8"/>
  <c r="AA46" i="8"/>
  <c r="AA45" i="8"/>
  <c r="AA44" i="8"/>
  <c r="AA43" i="8"/>
  <c r="AA42" i="8"/>
  <c r="AA40" i="8"/>
  <c r="AA39" i="8"/>
  <c r="AA38" i="8"/>
  <c r="AA37" i="8"/>
  <c r="AA36" i="8"/>
  <c r="AA35" i="8"/>
  <c r="AA34" i="8"/>
  <c r="AA33" i="8"/>
  <c r="AA32" i="8"/>
  <c r="AA31" i="8"/>
  <c r="AA30" i="8"/>
  <c r="AA20" i="8"/>
  <c r="AA19" i="8"/>
  <c r="AA18" i="8"/>
  <c r="AA17" i="8"/>
  <c r="AA16" i="8"/>
  <c r="AA14" i="8"/>
  <c r="AA13" i="8"/>
  <c r="AA12" i="8"/>
  <c r="AA11" i="8"/>
  <c r="AA10" i="8"/>
  <c r="AA9" i="8"/>
  <c r="AA8" i="8"/>
  <c r="AA7" i="8"/>
  <c r="AA6" i="8"/>
  <c r="AA5" i="8"/>
  <c r="AA4" i="8"/>
  <c r="Y50" i="12"/>
  <c r="Y30" i="12"/>
  <c r="Y31" i="12"/>
  <c r="Y32" i="12"/>
  <c r="Y33" i="12"/>
  <c r="Y34" i="12"/>
  <c r="Y35" i="12"/>
  <c r="Y36" i="12"/>
  <c r="Y37" i="12"/>
  <c r="Y38" i="12"/>
  <c r="Y39" i="12"/>
  <c r="Y40" i="12"/>
  <c r="Y41" i="12"/>
  <c r="Y42" i="12"/>
  <c r="Y43" i="12"/>
  <c r="Y44" i="12"/>
  <c r="Y45" i="12"/>
  <c r="Y46" i="12"/>
  <c r="Y47" i="12"/>
  <c r="Y48" i="12"/>
  <c r="Y49" i="12"/>
  <c r="F31" i="12"/>
  <c r="F32" i="12"/>
  <c r="F33" i="12"/>
  <c r="F34" i="12"/>
  <c r="F35" i="12"/>
  <c r="F44" i="12" s="1"/>
  <c r="F36" i="12"/>
  <c r="F37" i="12"/>
  <c r="F38" i="12"/>
  <c r="F39" i="12"/>
  <c r="F40" i="12"/>
  <c r="F41" i="12"/>
  <c r="F42" i="12"/>
  <c r="F43" i="12"/>
  <c r="F46" i="12"/>
  <c r="F47" i="12"/>
  <c r="F48" i="12"/>
  <c r="F49" i="12"/>
  <c r="F50" i="12"/>
  <c r="B22" i="7"/>
  <c r="AO22" i="8" l="1"/>
  <c r="AP22" i="8"/>
  <c r="AE22" i="8"/>
  <c r="AG22" i="8"/>
  <c r="AF22" i="8"/>
  <c r="AI22" i="8"/>
  <c r="AL22" i="8"/>
  <c r="AM22" i="8"/>
  <c r="AC22" i="8"/>
  <c r="AH22" i="8"/>
  <c r="AD22" i="8"/>
  <c r="AJ22" i="8"/>
  <c r="AK22" i="8"/>
  <c r="AQ22" i="8"/>
  <c r="AN22" i="8"/>
  <c r="AB22" i="8"/>
  <c r="AI35" i="8"/>
  <c r="AJ35" i="8"/>
  <c r="AK35" i="8"/>
  <c r="AM35" i="8"/>
  <c r="AB35" i="8"/>
  <c r="AO35" i="8"/>
  <c r="AC35" i="8"/>
  <c r="AF35" i="8"/>
  <c r="AH35" i="8"/>
  <c r="AG35" i="8"/>
  <c r="AQ35" i="8"/>
  <c r="AE35" i="8"/>
  <c r="AD35" i="8"/>
  <c r="AL35" i="8"/>
  <c r="AN35" i="8"/>
  <c r="AP35" i="8"/>
  <c r="AN36" i="8"/>
  <c r="AP36" i="8"/>
  <c r="AO36" i="8"/>
  <c r="AD36" i="8"/>
  <c r="AE36" i="8"/>
  <c r="AF36" i="8"/>
  <c r="AH36" i="8"/>
  <c r="AK36" i="8"/>
  <c r="AL36" i="8"/>
  <c r="AM36" i="8"/>
  <c r="AC36" i="8"/>
  <c r="AG36" i="8"/>
  <c r="AI36" i="8"/>
  <c r="AJ36" i="8"/>
  <c r="AQ36" i="8"/>
  <c r="AB36" i="8"/>
  <c r="AD62" i="8"/>
  <c r="AE62" i="8"/>
  <c r="AF62" i="8"/>
  <c r="AG62" i="8"/>
  <c r="AH62" i="8"/>
  <c r="AI62" i="8"/>
  <c r="AJ62" i="8"/>
  <c r="AK62" i="8"/>
  <c r="AN62" i="8"/>
  <c r="AO62" i="8"/>
  <c r="AP62" i="8"/>
  <c r="AC62" i="8"/>
  <c r="AB62" i="8"/>
  <c r="AL62" i="8"/>
  <c r="AM62" i="8"/>
  <c r="AQ62" i="8"/>
  <c r="AD34" i="8"/>
  <c r="AE34" i="8"/>
  <c r="AF34" i="8"/>
  <c r="AH34" i="8"/>
  <c r="AJ34" i="8"/>
  <c r="AN34" i="8"/>
  <c r="AP34" i="8"/>
  <c r="AO34" i="8"/>
  <c r="AC34" i="8"/>
  <c r="AG34" i="8"/>
  <c r="AB34" i="8"/>
  <c r="AI34" i="8"/>
  <c r="AK34" i="8"/>
  <c r="AL34" i="8"/>
  <c r="AM34" i="8"/>
  <c r="AQ34" i="8"/>
  <c r="AK6" i="8"/>
  <c r="AL6" i="8"/>
  <c r="AM6" i="8"/>
  <c r="AO6" i="8"/>
  <c r="AQ6" i="8"/>
  <c r="AC6" i="8"/>
  <c r="AB6" i="8"/>
  <c r="AE6" i="8"/>
  <c r="AH6" i="8"/>
  <c r="AJ6" i="8"/>
  <c r="AI6" i="8"/>
  <c r="AF6" i="8"/>
  <c r="AG6" i="8"/>
  <c r="AD6" i="8"/>
  <c r="AP6" i="8"/>
  <c r="AN6" i="8"/>
  <c r="AO7" i="8"/>
  <c r="AP7" i="8"/>
  <c r="AQ7" i="8"/>
  <c r="AE7" i="8"/>
  <c r="AF7" i="8"/>
  <c r="AG7" i="8"/>
  <c r="AI7" i="8"/>
  <c r="AL7" i="8"/>
  <c r="AM7" i="8"/>
  <c r="AN7" i="8"/>
  <c r="AB7" i="8"/>
  <c r="AK7" i="8"/>
  <c r="AC7" i="8"/>
  <c r="AD7" i="8"/>
  <c r="AH7" i="8"/>
  <c r="AJ7" i="8"/>
  <c r="AC37" i="8"/>
  <c r="AE37" i="8"/>
  <c r="AB37" i="8"/>
  <c r="AI37" i="8"/>
  <c r="AK37" i="8"/>
  <c r="AJ37" i="8"/>
  <c r="AM37" i="8"/>
  <c r="AP37" i="8"/>
  <c r="AQ37" i="8"/>
  <c r="AD37" i="8"/>
  <c r="AF37" i="8"/>
  <c r="AG37" i="8"/>
  <c r="AL37" i="8"/>
  <c r="AN37" i="8"/>
  <c r="AO37" i="8"/>
  <c r="AH37" i="8"/>
  <c r="AC61" i="8"/>
  <c r="AD61" i="8"/>
  <c r="AE61" i="8"/>
  <c r="AF61" i="8"/>
  <c r="AI61" i="8"/>
  <c r="AJ61" i="8"/>
  <c r="AK61" i="8"/>
  <c r="AM61" i="8"/>
  <c r="AN61" i="8"/>
  <c r="AP61" i="8"/>
  <c r="AQ61" i="8"/>
  <c r="AB61" i="8"/>
  <c r="AG61" i="8"/>
  <c r="AO61" i="8"/>
  <c r="AH61" i="8"/>
  <c r="AL61" i="8"/>
  <c r="AN60" i="8"/>
  <c r="AO60" i="8"/>
  <c r="AP60" i="8"/>
  <c r="AQ60" i="8"/>
  <c r="AB60" i="8"/>
  <c r="AD60" i="8"/>
  <c r="AF60" i="8"/>
  <c r="AE60" i="8"/>
  <c r="AH60" i="8"/>
  <c r="AI60" i="8"/>
  <c r="AK60" i="8"/>
  <c r="AL60" i="8"/>
  <c r="AM60" i="8"/>
  <c r="AC60" i="8"/>
  <c r="AG60" i="8"/>
  <c r="AJ60" i="8"/>
  <c r="AC23" i="8"/>
  <c r="AE23" i="8"/>
  <c r="AI23" i="8"/>
  <c r="AJ23" i="8"/>
  <c r="AK23" i="8"/>
  <c r="AM23" i="8"/>
  <c r="AP23" i="8"/>
  <c r="AQ23" i="8"/>
  <c r="AB23" i="8"/>
  <c r="AD23" i="8"/>
  <c r="AF23" i="8"/>
  <c r="AG23" i="8"/>
  <c r="AH23" i="8"/>
  <c r="AL23" i="8"/>
  <c r="AN23" i="8"/>
  <c r="AO23" i="8"/>
  <c r="AC4" i="8"/>
  <c r="AD4" i="8"/>
  <c r="AE4" i="8"/>
  <c r="AG4" i="8"/>
  <c r="AI4" i="8"/>
  <c r="AM4" i="8"/>
  <c r="AN4" i="8"/>
  <c r="AO4" i="8"/>
  <c r="AQ4" i="8"/>
  <c r="AB4" i="8"/>
  <c r="AF4" i="8"/>
  <c r="AH4" i="8"/>
  <c r="AJ4" i="8"/>
  <c r="AK4" i="8"/>
  <c r="AL4" i="8"/>
  <c r="AP4" i="8"/>
  <c r="AC8" i="8"/>
  <c r="AE8" i="8"/>
  <c r="AI8" i="8"/>
  <c r="AK8" i="8"/>
  <c r="AJ8" i="8"/>
  <c r="AM8" i="8"/>
  <c r="AP8" i="8"/>
  <c r="AQ8" i="8"/>
  <c r="AH8" i="8"/>
  <c r="AL8" i="8"/>
  <c r="AN8" i="8"/>
  <c r="AO8" i="8"/>
  <c r="AG8" i="8"/>
  <c r="AB8" i="8"/>
  <c r="AD8" i="8"/>
  <c r="AF8" i="8"/>
  <c r="AC9" i="8"/>
  <c r="AE9" i="8"/>
  <c r="AD9" i="8"/>
  <c r="AG9" i="8"/>
  <c r="AI9" i="8"/>
  <c r="AM9" i="8"/>
  <c r="AN9" i="8"/>
  <c r="AO9" i="8"/>
  <c r="AQ9" i="8"/>
  <c r="AB9" i="8"/>
  <c r="AF9" i="8"/>
  <c r="AL9" i="8"/>
  <c r="AH9" i="8"/>
  <c r="AJ9" i="8"/>
  <c r="AK9" i="8"/>
  <c r="AP9" i="8"/>
  <c r="AI39" i="8"/>
  <c r="AK39" i="8"/>
  <c r="AJ39" i="8"/>
  <c r="AM39" i="8"/>
  <c r="AO39" i="8"/>
  <c r="AC39" i="8"/>
  <c r="AF39" i="8"/>
  <c r="AG39" i="8"/>
  <c r="AH39" i="8"/>
  <c r="AL39" i="8"/>
  <c r="AP39" i="8"/>
  <c r="AN39" i="8"/>
  <c r="AQ39" i="8"/>
  <c r="AB39" i="8"/>
  <c r="AD39" i="8"/>
  <c r="AE39" i="8"/>
  <c r="AI59" i="8"/>
  <c r="AJ59" i="8"/>
  <c r="AK59" i="8"/>
  <c r="AL59" i="8"/>
  <c r="AM59" i="8"/>
  <c r="AN59" i="8"/>
  <c r="AO59" i="8"/>
  <c r="AB59" i="8"/>
  <c r="AP59" i="8"/>
  <c r="AC59" i="8"/>
  <c r="AD59" i="8"/>
  <c r="AF59" i="8"/>
  <c r="AG59" i="8"/>
  <c r="AH59" i="8"/>
  <c r="AE59" i="8"/>
  <c r="AQ59" i="8"/>
  <c r="AG10" i="8"/>
  <c r="AH10" i="8"/>
  <c r="AI10" i="8"/>
  <c r="AK10" i="8"/>
  <c r="AM10" i="8"/>
  <c r="AQ10" i="8"/>
  <c r="AD10" i="8"/>
  <c r="AE10" i="8"/>
  <c r="AF10" i="8"/>
  <c r="AB10" i="8"/>
  <c r="AJ10" i="8"/>
  <c r="AC10" i="8"/>
  <c r="AO10" i="8"/>
  <c r="AL10" i="8"/>
  <c r="AN10" i="8"/>
  <c r="AP10" i="8"/>
  <c r="AN40" i="8"/>
  <c r="AO40" i="8"/>
  <c r="AP40" i="8"/>
  <c r="AD40" i="8"/>
  <c r="AF40" i="8"/>
  <c r="AE40" i="8"/>
  <c r="AH40" i="8"/>
  <c r="AK40" i="8"/>
  <c r="AM40" i="8"/>
  <c r="AL40" i="8"/>
  <c r="AQ40" i="8"/>
  <c r="AC40" i="8"/>
  <c r="AI40" i="8"/>
  <c r="AJ40" i="8"/>
  <c r="AG40" i="8"/>
  <c r="AB40" i="8"/>
  <c r="AD58" i="8"/>
  <c r="AE58" i="8"/>
  <c r="AF58" i="8"/>
  <c r="AG58" i="8"/>
  <c r="AH58" i="8"/>
  <c r="AI58" i="8"/>
  <c r="AB58" i="8"/>
  <c r="AJ58" i="8"/>
  <c r="AK58" i="8"/>
  <c r="AN58" i="8"/>
  <c r="AO58" i="8"/>
  <c r="AP58" i="8"/>
  <c r="AC58" i="8"/>
  <c r="AL58" i="8"/>
  <c r="AM58" i="8"/>
  <c r="AQ58" i="8"/>
  <c r="AD66" i="8"/>
  <c r="AE66" i="8"/>
  <c r="AF66" i="8"/>
  <c r="AG66" i="8"/>
  <c r="AH66" i="8"/>
  <c r="AI66" i="8"/>
  <c r="AJ66" i="8"/>
  <c r="AK66" i="8"/>
  <c r="AN66" i="8"/>
  <c r="AO66" i="8"/>
  <c r="AP66" i="8"/>
  <c r="AC66" i="8"/>
  <c r="AB66" i="8"/>
  <c r="AM66" i="8"/>
  <c r="AQ66" i="8"/>
  <c r="AL66" i="8"/>
  <c r="AI63" i="8"/>
  <c r="AJ63" i="8"/>
  <c r="AK63" i="8"/>
  <c r="AL63" i="8"/>
  <c r="AM63" i="8"/>
  <c r="AN63" i="8"/>
  <c r="AO63" i="8"/>
  <c r="AP63" i="8"/>
  <c r="AB63" i="8"/>
  <c r="AC63" i="8"/>
  <c r="AD63" i="8"/>
  <c r="AF63" i="8"/>
  <c r="AG63" i="8"/>
  <c r="AH63" i="8"/>
  <c r="AQ63" i="8"/>
  <c r="AE63" i="8"/>
  <c r="AD38" i="8"/>
  <c r="AE38" i="8"/>
  <c r="AF38" i="8"/>
  <c r="AH38" i="8"/>
  <c r="AJ38" i="8"/>
  <c r="AN38" i="8"/>
  <c r="AO38" i="8"/>
  <c r="AP38" i="8"/>
  <c r="AC38" i="8"/>
  <c r="AB38" i="8"/>
  <c r="AG38" i="8"/>
  <c r="AI38" i="8"/>
  <c r="AK38" i="8"/>
  <c r="AL38" i="8"/>
  <c r="AM38" i="8"/>
  <c r="AQ38" i="8"/>
  <c r="AK11" i="8"/>
  <c r="AM11" i="8"/>
  <c r="AL11" i="8"/>
  <c r="AO11" i="8"/>
  <c r="AQ11" i="8"/>
  <c r="AC11" i="8"/>
  <c r="AB11" i="8"/>
  <c r="AE11" i="8"/>
  <c r="AH11" i="8"/>
  <c r="AJ11" i="8"/>
  <c r="AI11" i="8"/>
  <c r="AN11" i="8"/>
  <c r="AP11" i="8"/>
  <c r="AD11" i="8"/>
  <c r="AF11" i="8"/>
  <c r="AG11" i="8"/>
  <c r="AD42" i="8"/>
  <c r="AF42" i="8"/>
  <c r="AE42" i="8"/>
  <c r="AH42" i="8"/>
  <c r="AJ42" i="8"/>
  <c r="AN42" i="8"/>
  <c r="AP42" i="8"/>
  <c r="AO42" i="8"/>
  <c r="AB42" i="8"/>
  <c r="AC42" i="8"/>
  <c r="AM42" i="8"/>
  <c r="AQ42" i="8"/>
  <c r="AL42" i="8"/>
  <c r="AG42" i="8"/>
  <c r="AI42" i="8"/>
  <c r="AK42" i="8"/>
  <c r="AN48" i="8"/>
  <c r="AP48" i="8"/>
  <c r="AO48" i="8"/>
  <c r="AD48" i="8"/>
  <c r="AF48" i="8"/>
  <c r="AE48" i="8"/>
  <c r="AH48" i="8"/>
  <c r="AK48" i="8"/>
  <c r="AB48" i="8"/>
  <c r="AM48" i="8"/>
  <c r="AL48" i="8"/>
  <c r="AC48" i="8"/>
  <c r="AJ48" i="8"/>
  <c r="AG48" i="8"/>
  <c r="AI48" i="8"/>
  <c r="AQ48" i="8"/>
  <c r="AO12" i="8"/>
  <c r="AP12" i="8"/>
  <c r="AE12" i="8"/>
  <c r="AF12" i="8"/>
  <c r="AG12" i="8"/>
  <c r="AI12" i="8"/>
  <c r="AL12" i="8"/>
  <c r="AM12" i="8"/>
  <c r="AN12" i="8"/>
  <c r="AB12" i="8"/>
  <c r="AC12" i="8"/>
  <c r="AD12" i="8"/>
  <c r="AJ12" i="8"/>
  <c r="AK12" i="8"/>
  <c r="AH12" i="8"/>
  <c r="AQ12" i="8"/>
  <c r="AC49" i="8"/>
  <c r="AE49" i="8"/>
  <c r="AI49" i="8"/>
  <c r="AJ49" i="8"/>
  <c r="AK49" i="8"/>
  <c r="AM49" i="8"/>
  <c r="AP49" i="8"/>
  <c r="AQ49" i="8"/>
  <c r="AB49" i="8"/>
  <c r="AH49" i="8"/>
  <c r="AL49" i="8"/>
  <c r="AN49" i="8"/>
  <c r="AO49" i="8"/>
  <c r="AD49" i="8"/>
  <c r="AF49" i="8"/>
  <c r="AG49" i="8"/>
  <c r="AC57" i="8"/>
  <c r="AB57" i="8"/>
  <c r="AD57" i="8"/>
  <c r="AE57" i="8"/>
  <c r="AF57" i="8"/>
  <c r="AI57" i="8"/>
  <c r="AJ57" i="8"/>
  <c r="AK57" i="8"/>
  <c r="AM57" i="8"/>
  <c r="AN57" i="8"/>
  <c r="AP57" i="8"/>
  <c r="AQ57" i="8"/>
  <c r="AG57" i="8"/>
  <c r="AL57" i="8"/>
  <c r="AH57" i="8"/>
  <c r="AO57" i="8"/>
  <c r="AB33" i="8"/>
  <c r="AC33" i="8"/>
  <c r="AD33" i="8"/>
  <c r="AE33" i="8"/>
  <c r="AI33" i="8"/>
  <c r="AJ33" i="8"/>
  <c r="AK33" i="8"/>
  <c r="AM33" i="8"/>
  <c r="AP33" i="8"/>
  <c r="AQ33" i="8"/>
  <c r="AF33" i="8"/>
  <c r="AG33" i="8"/>
  <c r="AH33" i="8"/>
  <c r="AL33" i="8"/>
  <c r="AN33" i="8"/>
  <c r="AO33" i="8"/>
  <c r="AN72" i="8"/>
  <c r="AO72" i="8"/>
  <c r="AP72" i="8"/>
  <c r="AQ72" i="8"/>
  <c r="AD72" i="8"/>
  <c r="AE72" i="8"/>
  <c r="AF72" i="8"/>
  <c r="AH72" i="8"/>
  <c r="AI72" i="8"/>
  <c r="AK72" i="8"/>
  <c r="AL72" i="8"/>
  <c r="AM72" i="8"/>
  <c r="AB72" i="8"/>
  <c r="AC72" i="8"/>
  <c r="AG72" i="8"/>
  <c r="AJ72" i="8"/>
  <c r="AN44" i="8"/>
  <c r="AP44" i="8"/>
  <c r="AO44" i="8"/>
  <c r="AD44" i="8"/>
  <c r="AE44" i="8"/>
  <c r="AF44" i="8"/>
  <c r="AH44" i="8"/>
  <c r="AK44" i="8"/>
  <c r="AL44" i="8"/>
  <c r="AM44" i="8"/>
  <c r="AG44" i="8"/>
  <c r="AB44" i="8"/>
  <c r="AI44" i="8"/>
  <c r="AQ44" i="8"/>
  <c r="AC44" i="8"/>
  <c r="AJ44" i="8"/>
  <c r="AC14" i="8"/>
  <c r="AD14" i="8"/>
  <c r="AG14" i="8"/>
  <c r="AI14" i="8"/>
  <c r="AM14" i="8"/>
  <c r="AN14" i="8"/>
  <c r="AO14" i="8"/>
  <c r="AQ14" i="8"/>
  <c r="AB14" i="8"/>
  <c r="AJ14" i="8"/>
  <c r="AK14" i="8"/>
  <c r="AL14" i="8"/>
  <c r="AP14" i="8"/>
  <c r="AH14" i="8"/>
  <c r="AE14" i="8"/>
  <c r="AF14" i="8"/>
  <c r="AC45" i="8"/>
  <c r="AE45" i="8"/>
  <c r="AI45" i="8"/>
  <c r="AK45" i="8"/>
  <c r="AJ45" i="8"/>
  <c r="AM45" i="8"/>
  <c r="AB45" i="8"/>
  <c r="AP45" i="8"/>
  <c r="AQ45" i="8"/>
  <c r="AO45" i="8"/>
  <c r="AD45" i="8"/>
  <c r="AF45" i="8"/>
  <c r="AG45" i="8"/>
  <c r="AH45" i="8"/>
  <c r="AL45" i="8"/>
  <c r="AN45" i="8"/>
  <c r="AB73" i="8"/>
  <c r="AC73" i="8"/>
  <c r="AD73" i="8"/>
  <c r="AE73" i="8"/>
  <c r="AF73" i="8"/>
  <c r="AI73" i="8"/>
  <c r="AJ73" i="8"/>
  <c r="AK73" i="8"/>
  <c r="AM73" i="8"/>
  <c r="AN73" i="8"/>
  <c r="AP73" i="8"/>
  <c r="AQ73" i="8"/>
  <c r="AG73" i="8"/>
  <c r="AH73" i="8"/>
  <c r="AL73" i="8"/>
  <c r="AO73" i="8"/>
  <c r="AI43" i="8"/>
  <c r="AJ43" i="8"/>
  <c r="AK43" i="8"/>
  <c r="AM43" i="8"/>
  <c r="AO43" i="8"/>
  <c r="AB43" i="8"/>
  <c r="AC43" i="8"/>
  <c r="AF43" i="8"/>
  <c r="AH43" i="8"/>
  <c r="AG43" i="8"/>
  <c r="AD43" i="8"/>
  <c r="AE43" i="8"/>
  <c r="AL43" i="8"/>
  <c r="AN43" i="8"/>
  <c r="AP43" i="8"/>
  <c r="AQ43" i="8"/>
  <c r="AK16" i="8"/>
  <c r="AL16" i="8"/>
  <c r="AO16" i="8"/>
  <c r="AQ16" i="8"/>
  <c r="AC16" i="8"/>
  <c r="AB16" i="8"/>
  <c r="AE16" i="8"/>
  <c r="AH16" i="8"/>
  <c r="AI16" i="8"/>
  <c r="AD16" i="8"/>
  <c r="AJ16" i="8"/>
  <c r="AF16" i="8"/>
  <c r="AG16" i="8"/>
  <c r="AM16" i="8"/>
  <c r="AN16" i="8"/>
  <c r="AP16" i="8"/>
  <c r="AD46" i="8"/>
  <c r="AF46" i="8"/>
  <c r="AE46" i="8"/>
  <c r="AH46" i="8"/>
  <c r="AJ46" i="8"/>
  <c r="AN46" i="8"/>
  <c r="AO46" i="8"/>
  <c r="AP46" i="8"/>
  <c r="AC46" i="8"/>
  <c r="AG46" i="8"/>
  <c r="AK46" i="8"/>
  <c r="AI46" i="8"/>
  <c r="AL46" i="8"/>
  <c r="AM46" i="8"/>
  <c r="AQ46" i="8"/>
  <c r="AB46" i="8"/>
  <c r="AC69" i="8"/>
  <c r="AD69" i="8"/>
  <c r="AE69" i="8"/>
  <c r="AF69" i="8"/>
  <c r="AI69" i="8"/>
  <c r="AJ69" i="8"/>
  <c r="AK69" i="8"/>
  <c r="AM69" i="8"/>
  <c r="AN69" i="8"/>
  <c r="AP69" i="8"/>
  <c r="AQ69" i="8"/>
  <c r="AB69" i="8"/>
  <c r="AO69" i="8"/>
  <c r="AG69" i="8"/>
  <c r="AH69" i="8"/>
  <c r="AL69" i="8"/>
  <c r="AN64" i="8"/>
  <c r="AO64" i="8"/>
  <c r="AP64" i="8"/>
  <c r="AQ64" i="8"/>
  <c r="AD64" i="8"/>
  <c r="AE64" i="8"/>
  <c r="AB64" i="8"/>
  <c r="AF64" i="8"/>
  <c r="AH64" i="8"/>
  <c r="AI64" i="8"/>
  <c r="AK64" i="8"/>
  <c r="AL64" i="8"/>
  <c r="AM64" i="8"/>
  <c r="AJ64" i="8"/>
  <c r="AC64" i="8"/>
  <c r="AG64" i="8"/>
  <c r="AG5" i="8"/>
  <c r="AI5" i="8"/>
  <c r="AH5" i="8"/>
  <c r="AK5" i="8"/>
  <c r="AM5" i="8"/>
  <c r="AQ5" i="8"/>
  <c r="AD5" i="8"/>
  <c r="AE5" i="8"/>
  <c r="AF5" i="8"/>
  <c r="AJ5" i="8"/>
  <c r="AN5" i="8"/>
  <c r="AL5" i="8"/>
  <c r="AO5" i="8"/>
  <c r="AP5" i="8"/>
  <c r="AC5" i="8"/>
  <c r="AB5" i="8"/>
  <c r="AC13" i="8"/>
  <c r="AE13" i="8"/>
  <c r="AI13" i="8"/>
  <c r="AK13" i="8"/>
  <c r="AJ13" i="8"/>
  <c r="AM13" i="8"/>
  <c r="AP13" i="8"/>
  <c r="AQ13" i="8"/>
  <c r="AB13" i="8"/>
  <c r="AD13" i="8"/>
  <c r="AF13" i="8"/>
  <c r="AG13" i="8"/>
  <c r="AH13" i="8"/>
  <c r="AL13" i="8"/>
  <c r="AN13" i="8"/>
  <c r="AO13" i="8"/>
  <c r="AO17" i="8"/>
  <c r="AP17" i="8"/>
  <c r="AE17" i="8"/>
  <c r="AF17" i="8"/>
  <c r="AG17" i="8"/>
  <c r="AI17" i="8"/>
  <c r="AL17" i="8"/>
  <c r="AM17" i="8"/>
  <c r="AC17" i="8"/>
  <c r="AH17" i="8"/>
  <c r="AD17" i="8"/>
  <c r="AJ17" i="8"/>
  <c r="AK17" i="8"/>
  <c r="AQ17" i="8"/>
  <c r="AN17" i="8"/>
  <c r="AB17" i="8"/>
  <c r="AI47" i="8"/>
  <c r="AJ47" i="8"/>
  <c r="AK47" i="8"/>
  <c r="AM47" i="8"/>
  <c r="AO47" i="8"/>
  <c r="AC47" i="8"/>
  <c r="AF47" i="8"/>
  <c r="AG47" i="8"/>
  <c r="AH47" i="8"/>
  <c r="AD47" i="8"/>
  <c r="AE47" i="8"/>
  <c r="AL47" i="8"/>
  <c r="AN47" i="8"/>
  <c r="AP47" i="8"/>
  <c r="AQ47" i="8"/>
  <c r="AB47" i="8"/>
  <c r="AN68" i="8"/>
  <c r="AO68" i="8"/>
  <c r="AP68" i="8"/>
  <c r="AQ68" i="8"/>
  <c r="AD68" i="8"/>
  <c r="AE68" i="8"/>
  <c r="AF68" i="8"/>
  <c r="AH68" i="8"/>
  <c r="AI68" i="8"/>
  <c r="AB68" i="8"/>
  <c r="AK68" i="8"/>
  <c r="AL68" i="8"/>
  <c r="AM68" i="8"/>
  <c r="AC68" i="8"/>
  <c r="AG68" i="8"/>
  <c r="AJ68" i="8"/>
  <c r="AN32" i="8"/>
  <c r="AO32" i="8"/>
  <c r="AB32" i="8"/>
  <c r="AP32" i="8"/>
  <c r="AD32" i="8"/>
  <c r="AE32" i="8"/>
  <c r="AF32" i="8"/>
  <c r="AH32" i="8"/>
  <c r="AK32" i="8"/>
  <c r="AL32" i="8"/>
  <c r="AM32" i="8"/>
  <c r="AJ32" i="8"/>
  <c r="AQ32" i="8"/>
  <c r="AC32" i="8"/>
  <c r="AG32" i="8"/>
  <c r="AI32" i="8"/>
  <c r="AC41" i="8"/>
  <c r="AE41" i="8"/>
  <c r="AI41" i="8"/>
  <c r="AB41" i="8"/>
  <c r="AJ41" i="8"/>
  <c r="AK41" i="8"/>
  <c r="AM41" i="8"/>
  <c r="AP41" i="8"/>
  <c r="AQ41" i="8"/>
  <c r="AD41" i="8"/>
  <c r="AF41" i="8"/>
  <c r="AG41" i="8"/>
  <c r="AH41" i="8"/>
  <c r="AO41" i="8"/>
  <c r="AL41" i="8"/>
  <c r="AN41" i="8"/>
  <c r="AI67" i="8"/>
  <c r="AJ67" i="8"/>
  <c r="AK67" i="8"/>
  <c r="AL67" i="8"/>
  <c r="AM67" i="8"/>
  <c r="AN67" i="8"/>
  <c r="AO67" i="8"/>
  <c r="AP67" i="8"/>
  <c r="AC67" i="8"/>
  <c r="AB67" i="8"/>
  <c r="AD67" i="8"/>
  <c r="AF67" i="8"/>
  <c r="AH67" i="8"/>
  <c r="AG67" i="8"/>
  <c r="AE67" i="8"/>
  <c r="AQ67" i="8"/>
  <c r="AI31" i="8"/>
  <c r="AB31" i="8"/>
  <c r="AK31" i="8"/>
  <c r="AJ31" i="8"/>
  <c r="AM31" i="8"/>
  <c r="AN31" i="8"/>
  <c r="AO31" i="8"/>
  <c r="AC31" i="8"/>
  <c r="AD31" i="8"/>
  <c r="AF31" i="8"/>
  <c r="AH31" i="8"/>
  <c r="AG31" i="8"/>
  <c r="AE31" i="8"/>
  <c r="AL31" i="8"/>
  <c r="AP31" i="8"/>
  <c r="AQ31" i="8"/>
  <c r="AC65" i="8"/>
  <c r="AD65" i="8"/>
  <c r="AE65" i="8"/>
  <c r="AF65" i="8"/>
  <c r="AI65" i="8"/>
  <c r="AK65" i="8"/>
  <c r="AB65" i="8"/>
  <c r="AJ65" i="8"/>
  <c r="AM65" i="8"/>
  <c r="AN65" i="8"/>
  <c r="AP65" i="8"/>
  <c r="AQ65" i="8"/>
  <c r="AG65" i="8"/>
  <c r="AO65" i="8"/>
  <c r="AH65" i="8"/>
  <c r="AL65" i="8"/>
  <c r="AC18" i="8"/>
  <c r="AE18" i="8"/>
  <c r="AI18" i="8"/>
  <c r="AK18" i="8"/>
  <c r="AJ18" i="8"/>
  <c r="AM18" i="8"/>
  <c r="AP18" i="8"/>
  <c r="AQ18" i="8"/>
  <c r="AB18" i="8"/>
  <c r="AF18" i="8"/>
  <c r="AG18" i="8"/>
  <c r="AD18" i="8"/>
  <c r="AH18" i="8"/>
  <c r="AL18" i="8"/>
  <c r="AN18" i="8"/>
  <c r="AO18" i="8"/>
  <c r="AC19" i="8"/>
  <c r="AD19" i="8"/>
  <c r="AG19" i="8"/>
  <c r="AI19" i="8"/>
  <c r="AM19" i="8"/>
  <c r="AN19" i="8"/>
  <c r="AO19" i="8"/>
  <c r="AQ19" i="8"/>
  <c r="AK19" i="8"/>
  <c r="AL19" i="8"/>
  <c r="AP19" i="8"/>
  <c r="AJ19" i="8"/>
  <c r="AB19" i="8"/>
  <c r="AE19" i="8"/>
  <c r="AF19" i="8"/>
  <c r="AH19" i="8"/>
  <c r="AG20" i="8"/>
  <c r="AH20" i="8"/>
  <c r="AK20" i="8"/>
  <c r="AM20" i="8"/>
  <c r="AQ20" i="8"/>
  <c r="AD20" i="8"/>
  <c r="AE20" i="8"/>
  <c r="AL20" i="8"/>
  <c r="AB20" i="8"/>
  <c r="AJ20" i="8"/>
  <c r="AC20" i="8"/>
  <c r="AF20" i="8"/>
  <c r="AI20" i="8"/>
  <c r="AN20" i="8"/>
  <c r="AO20" i="8"/>
  <c r="AP20" i="8"/>
  <c r="AG15" i="8"/>
  <c r="AH15" i="8"/>
  <c r="AK15" i="8"/>
  <c r="AM15" i="8"/>
  <c r="AQ15" i="8"/>
  <c r="AD15" i="8"/>
  <c r="AE15" i="8"/>
  <c r="AF15" i="8"/>
  <c r="AL15" i="8"/>
  <c r="AB15" i="8"/>
  <c r="AC15" i="8"/>
  <c r="AI15" i="8"/>
  <c r="AJ15" i="8"/>
  <c r="AN15" i="8"/>
  <c r="AO15" i="8"/>
  <c r="AP15" i="8"/>
  <c r="AD30" i="8"/>
  <c r="AE30" i="8"/>
  <c r="AF30" i="8"/>
  <c r="AH30" i="8"/>
  <c r="AI30" i="8"/>
  <c r="AJ30" i="8"/>
  <c r="AN30" i="8"/>
  <c r="AP30" i="8"/>
  <c r="AO30" i="8"/>
  <c r="AC30" i="8"/>
  <c r="AB30" i="8"/>
  <c r="AK30" i="8"/>
  <c r="AL30" i="8"/>
  <c r="AM30" i="8"/>
  <c r="AQ30" i="8"/>
  <c r="AG30" i="8"/>
  <c r="AK21" i="8"/>
  <c r="AL21" i="8"/>
  <c r="AO21" i="8"/>
  <c r="AQ21" i="8"/>
  <c r="AB21" i="8"/>
  <c r="AC21" i="8"/>
  <c r="AE21" i="8"/>
  <c r="AH21" i="8"/>
  <c r="AI21" i="8"/>
  <c r="AD21" i="8"/>
  <c r="AJ21" i="8"/>
  <c r="AF21" i="8"/>
  <c r="AG21" i="8"/>
  <c r="AM21" i="8"/>
  <c r="AP21" i="8"/>
  <c r="AN21" i="8"/>
  <c r="AH74" i="7"/>
  <c r="Y74" i="7"/>
  <c r="AA74" i="7"/>
  <c r="X74" i="7"/>
  <c r="AC74" i="7"/>
  <c r="AE74" i="7"/>
  <c r="U74" i="7"/>
  <c r="V74" i="7"/>
  <c r="AF74" i="7"/>
  <c r="AG74" i="7"/>
  <c r="X75" i="7"/>
  <c r="AF71" i="7"/>
  <c r="AG71" i="7"/>
  <c r="AI72" i="7"/>
  <c r="AJ72" i="7"/>
  <c r="AF75" i="7"/>
  <c r="AF73" i="7"/>
  <c r="AG75" i="7"/>
  <c r="AH75" i="7"/>
  <c r="AD75" i="7"/>
  <c r="AI75" i="7"/>
  <c r="AJ75" i="7"/>
  <c r="Y75" i="7"/>
  <c r="AI71" i="7"/>
  <c r="U75" i="7"/>
  <c r="AA75" i="7"/>
  <c r="Z74" i="7"/>
  <c r="U73" i="7"/>
  <c r="V73" i="7"/>
  <c r="T70" i="7"/>
  <c r="AG70" i="7" s="1"/>
  <c r="X73" i="7"/>
  <c r="W73" i="7"/>
  <c r="Y73" i="7"/>
  <c r="AD74" i="7"/>
  <c r="AA73" i="7"/>
  <c r="AB73" i="7"/>
  <c r="V71" i="7"/>
  <c r="AD73" i="7"/>
  <c r="AI74" i="7"/>
  <c r="Z73" i="7"/>
  <c r="AC73" i="7"/>
  <c r="X71" i="7"/>
  <c r="AE73" i="7"/>
  <c r="AG73" i="7"/>
  <c r="AH73" i="7"/>
  <c r="Y72" i="7"/>
  <c r="AJ73" i="7"/>
  <c r="AB75" i="7"/>
  <c r="AA72" i="7"/>
  <c r="AC75" i="7"/>
  <c r="AA74" i="8"/>
  <c r="AA71" i="8"/>
  <c r="AH71" i="7"/>
  <c r="W74" i="7"/>
  <c r="Z75" i="7"/>
  <c r="AJ71" i="7"/>
  <c r="U72" i="7"/>
  <c r="V72" i="7"/>
  <c r="AB74" i="7"/>
  <c r="AE75" i="7"/>
  <c r="W72" i="7"/>
  <c r="U71" i="7"/>
  <c r="X72" i="7"/>
  <c r="W71" i="7"/>
  <c r="Z72" i="7"/>
  <c r="Y71" i="7"/>
  <c r="AB72" i="7"/>
  <c r="Z71" i="7"/>
  <c r="AC72" i="7"/>
  <c r="AA71" i="7"/>
  <c r="AD72" i="7"/>
  <c r="AB71" i="7"/>
  <c r="AE72" i="7"/>
  <c r="AC71" i="7"/>
  <c r="AF72" i="7"/>
  <c r="AD71" i="7"/>
  <c r="AG72" i="7"/>
  <c r="V75" i="7"/>
  <c r="AA76" i="8"/>
  <c r="AA29" i="8"/>
  <c r="AA75" i="8"/>
  <c r="AA70" i="8"/>
  <c r="AA3" i="8"/>
  <c r="F45" i="12"/>
  <c r="F30" i="12" s="1"/>
  <c r="AI71" i="8" l="1"/>
  <c r="AK71" i="8"/>
  <c r="AJ71" i="8"/>
  <c r="AL71" i="8"/>
  <c r="AM71" i="8"/>
  <c r="AN71" i="8"/>
  <c r="AO71" i="8"/>
  <c r="AP71" i="8"/>
  <c r="AC71" i="8"/>
  <c r="AD71" i="8"/>
  <c r="AF71" i="8"/>
  <c r="AG71" i="8"/>
  <c r="AB71" i="8"/>
  <c r="AH71" i="8"/>
  <c r="AE71" i="8"/>
  <c r="AQ71" i="8"/>
  <c r="AD74" i="8"/>
  <c r="AE74" i="8"/>
  <c r="AB74" i="8"/>
  <c r="AF74" i="8"/>
  <c r="AG74" i="8"/>
  <c r="AH74" i="8"/>
  <c r="AI74" i="8"/>
  <c r="AJ74" i="8"/>
  <c r="AK74" i="8"/>
  <c r="AN74" i="8"/>
  <c r="AP74" i="8"/>
  <c r="AO74" i="8"/>
  <c r="AC74" i="8"/>
  <c r="AL74" i="8"/>
  <c r="AM74" i="8"/>
  <c r="AQ74" i="8"/>
  <c r="AD70" i="8"/>
  <c r="AE70" i="8"/>
  <c r="AF70" i="8"/>
  <c r="AG70" i="8"/>
  <c r="AH70" i="8"/>
  <c r="AI70" i="8"/>
  <c r="AJ70" i="8"/>
  <c r="AK70" i="8"/>
  <c r="AN70" i="8"/>
  <c r="AP70" i="8"/>
  <c r="AO70" i="8"/>
  <c r="AB70" i="8"/>
  <c r="AC70" i="8"/>
  <c r="AL70" i="8"/>
  <c r="AQ70" i="8"/>
  <c r="AM70" i="8"/>
  <c r="AI75" i="8"/>
  <c r="AJ75" i="8"/>
  <c r="AK75" i="8"/>
  <c r="AB75" i="8"/>
  <c r="AL75" i="8"/>
  <c r="AM75" i="8"/>
  <c r="AN75" i="8"/>
  <c r="AO75" i="8"/>
  <c r="AP75" i="8"/>
  <c r="AC75" i="8"/>
  <c r="AD75" i="8"/>
  <c r="AF75" i="8"/>
  <c r="AG75" i="8"/>
  <c r="AH75" i="8"/>
  <c r="AE75" i="8"/>
  <c r="AQ75" i="8"/>
  <c r="AC29" i="8"/>
  <c r="AC50" i="8" s="1"/>
  <c r="AD29" i="8"/>
  <c r="AD50" i="8" s="1"/>
  <c r="AE29" i="8"/>
  <c r="AE50" i="8" s="1"/>
  <c r="AF29" i="8"/>
  <c r="AF50" i="8" s="1"/>
  <c r="AI29" i="8"/>
  <c r="AI50" i="8" s="1"/>
  <c r="AJ29" i="8"/>
  <c r="AJ50" i="8" s="1"/>
  <c r="AK29" i="8"/>
  <c r="AK50" i="8" s="1"/>
  <c r="AM29" i="8"/>
  <c r="AM50" i="8" s="1"/>
  <c r="AN29" i="8"/>
  <c r="AN50" i="8" s="1"/>
  <c r="AP29" i="8"/>
  <c r="AP50" i="8" s="1"/>
  <c r="AQ29" i="8"/>
  <c r="AQ50" i="8" s="1"/>
  <c r="AG29" i="8"/>
  <c r="AG50" i="8" s="1"/>
  <c r="AL29" i="8"/>
  <c r="AL50" i="8" s="1"/>
  <c r="AO29" i="8"/>
  <c r="AO50" i="8" s="1"/>
  <c r="AH29" i="8"/>
  <c r="AH50" i="8" s="1"/>
  <c r="AN76" i="8"/>
  <c r="AO76" i="8"/>
  <c r="AP76" i="8"/>
  <c r="AQ76" i="8"/>
  <c r="AB76" i="8"/>
  <c r="AD76" i="8"/>
  <c r="AE76" i="8"/>
  <c r="AF76" i="8"/>
  <c r="AH76" i="8"/>
  <c r="AI76" i="8"/>
  <c r="AK76" i="8"/>
  <c r="AM76" i="8"/>
  <c r="AL76" i="8"/>
  <c r="AC76" i="8"/>
  <c r="AG76" i="8"/>
  <c r="AJ76" i="8"/>
  <c r="AD3" i="8"/>
  <c r="AD24" i="8" s="1"/>
  <c r="AE3" i="8"/>
  <c r="AE24" i="8" s="1"/>
  <c r="AH3" i="8"/>
  <c r="AH24" i="8" s="1"/>
  <c r="AJ3" i="8"/>
  <c r="AJ24" i="8" s="1"/>
  <c r="AN3" i="8"/>
  <c r="AN24" i="8" s="1"/>
  <c r="AP3" i="8"/>
  <c r="AP24" i="8" s="1"/>
  <c r="AO3" i="8"/>
  <c r="AO24" i="8" s="1"/>
  <c r="AL3" i="8"/>
  <c r="AL24" i="8" s="1"/>
  <c r="AM3" i="8"/>
  <c r="AM24" i="8" s="1"/>
  <c r="AQ3" i="8"/>
  <c r="AQ24" i="8" s="1"/>
  <c r="AC3" i="8"/>
  <c r="AC24" i="8" s="1"/>
  <c r="AF3" i="8"/>
  <c r="AF24" i="8" s="1"/>
  <c r="AG3" i="8"/>
  <c r="AG24" i="8" s="1"/>
  <c r="AI3" i="8"/>
  <c r="AI24" i="8" s="1"/>
  <c r="AK3" i="8"/>
  <c r="AK24" i="8" s="1"/>
  <c r="W70" i="7"/>
  <c r="AI70" i="7"/>
  <c r="Z70" i="7"/>
  <c r="X70" i="7"/>
  <c r="AJ70" i="7"/>
  <c r="V70" i="7"/>
  <c r="AH70" i="7"/>
  <c r="AA70" i="7"/>
  <c r="Y70" i="7"/>
  <c r="AE70" i="7"/>
  <c r="AB70" i="7"/>
  <c r="AD70" i="7"/>
  <c r="AC70" i="7"/>
  <c r="AF70" i="7"/>
  <c r="U70" i="7"/>
  <c r="AB29" i="8"/>
  <c r="AB50" i="8" s="1"/>
  <c r="AA56" i="8"/>
  <c r="AN25" i="8" l="1"/>
  <c r="AD25" i="8"/>
  <c r="AP51" i="8"/>
  <c r="AN51" i="8"/>
  <c r="AK25" i="8"/>
  <c r="AI25" i="8"/>
  <c r="AI51" i="8"/>
  <c r="AG25" i="8"/>
  <c r="AF51" i="8"/>
  <c r="AN56" i="8"/>
  <c r="AN77" i="8" s="1"/>
  <c r="AN78" i="8" s="1"/>
  <c r="AO56" i="8"/>
  <c r="AO77" i="8" s="1"/>
  <c r="AO78" i="8" s="1"/>
  <c r="AP56" i="8"/>
  <c r="AP77" i="8" s="1"/>
  <c r="AP78" i="8" s="1"/>
  <c r="AQ56" i="8"/>
  <c r="AQ77" i="8" s="1"/>
  <c r="AQ78" i="8" s="1"/>
  <c r="AD56" i="8"/>
  <c r="AD77" i="8" s="1"/>
  <c r="AF56" i="8"/>
  <c r="AF77" i="8" s="1"/>
  <c r="AF78" i="8" s="1"/>
  <c r="AE56" i="8"/>
  <c r="AE77" i="8" s="1"/>
  <c r="AE78" i="8" s="1"/>
  <c r="D6" i="8" s="1"/>
  <c r="AH56" i="8"/>
  <c r="AH77" i="8" s="1"/>
  <c r="AH78" i="8" s="1"/>
  <c r="AI56" i="8"/>
  <c r="AI77" i="8" s="1"/>
  <c r="AI78" i="8" s="1"/>
  <c r="AK56" i="8"/>
  <c r="AK77" i="8" s="1"/>
  <c r="AK78" i="8" s="1"/>
  <c r="AL56" i="8"/>
  <c r="AL77" i="8" s="1"/>
  <c r="AL78" i="8" s="1"/>
  <c r="AM56" i="8"/>
  <c r="AM77" i="8" s="1"/>
  <c r="AM78" i="8" s="1"/>
  <c r="AC56" i="8"/>
  <c r="AC77" i="8" s="1"/>
  <c r="AC78" i="8" s="1"/>
  <c r="AG56" i="8"/>
  <c r="AG77" i="8" s="1"/>
  <c r="AG78" i="8" s="1"/>
  <c r="D8" i="8" s="1"/>
  <c r="AJ56" i="8"/>
  <c r="AJ77" i="8" s="1"/>
  <c r="AJ78" i="8" s="1"/>
  <c r="AF25" i="8"/>
  <c r="AE51" i="8"/>
  <c r="AQ25" i="8"/>
  <c r="AC25" i="8"/>
  <c r="AC51" i="8"/>
  <c r="AO25" i="8"/>
  <c r="AP25" i="8"/>
  <c r="H10" i="8"/>
  <c r="H11" i="8"/>
  <c r="H16" i="8"/>
  <c r="H17" i="8"/>
  <c r="H5" i="8"/>
  <c r="H6" i="8"/>
  <c r="H13" i="8"/>
  <c r="H9" i="8"/>
  <c r="H12" i="8"/>
  <c r="H15" i="8"/>
  <c r="H14" i="8"/>
  <c r="AB24" i="8"/>
  <c r="AB56" i="8"/>
  <c r="AB77" i="8" s="1"/>
  <c r="H3" i="8"/>
  <c r="G14" i="8" l="1"/>
  <c r="G13" i="8"/>
  <c r="AK51" i="8"/>
  <c r="AM51" i="8"/>
  <c r="AQ51" i="8"/>
  <c r="AH25" i="8"/>
  <c r="C9" i="8" s="1"/>
  <c r="AG51" i="8"/>
  <c r="B8" i="8" s="1"/>
  <c r="AD51" i="8"/>
  <c r="AD78" i="8"/>
  <c r="D5" i="8" s="1"/>
  <c r="AL51" i="8"/>
  <c r="AJ51" i="8"/>
  <c r="B11" i="8" s="1"/>
  <c r="AE25" i="8"/>
  <c r="AO51" i="8"/>
  <c r="B16" i="8" s="1"/>
  <c r="AL25" i="8"/>
  <c r="C13" i="8" s="1"/>
  <c r="AH51" i="8"/>
  <c r="B9" i="8" s="1"/>
  <c r="AM25" i="8"/>
  <c r="AJ25" i="8"/>
  <c r="C11" i="8" s="1"/>
  <c r="G10" i="8"/>
  <c r="G7" i="8"/>
  <c r="G9" i="8"/>
  <c r="F16" i="8"/>
  <c r="F5" i="8"/>
  <c r="G16" i="8"/>
  <c r="G5" i="8"/>
  <c r="F4" i="8"/>
  <c r="H4" i="8"/>
  <c r="G17" i="8"/>
  <c r="H18" i="8"/>
  <c r="G18" i="8"/>
  <c r="F14" i="8"/>
  <c r="F6" i="8"/>
  <c r="F15" i="8"/>
  <c r="F11" i="8"/>
  <c r="F8" i="8"/>
  <c r="H8" i="8"/>
  <c r="F9" i="8"/>
  <c r="F10" i="8"/>
  <c r="G8" i="8"/>
  <c r="G11" i="8"/>
  <c r="F18" i="8"/>
  <c r="G12" i="8"/>
  <c r="F12" i="8"/>
  <c r="F17" i="8"/>
  <c r="F3" i="8"/>
  <c r="G15" i="8"/>
  <c r="G3" i="8"/>
  <c r="H7" i="8"/>
  <c r="AB78" i="8"/>
  <c r="D3" i="8" s="1"/>
  <c r="F13" i="8"/>
  <c r="F7" i="8"/>
  <c r="G6" i="8"/>
  <c r="G4" i="8"/>
  <c r="D13" i="8"/>
  <c r="B13" i="8"/>
  <c r="D12" i="8"/>
  <c r="B12" i="8"/>
  <c r="AB25" i="8"/>
  <c r="C3" i="8" s="1"/>
  <c r="AB51" i="8"/>
  <c r="B3" i="8" s="1"/>
  <c r="D15" i="8"/>
  <c r="C15" i="8"/>
  <c r="B15" i="8"/>
  <c r="D18" i="8"/>
  <c r="B18" i="8"/>
  <c r="C18" i="8"/>
  <c r="D10" i="8"/>
  <c r="B10" i="8"/>
  <c r="C10" i="8"/>
  <c r="D4" i="8"/>
  <c r="B4" i="8"/>
  <c r="C4" i="8"/>
  <c r="D14" i="8"/>
  <c r="C14" i="8"/>
  <c r="B14" i="8"/>
  <c r="D16" i="8"/>
  <c r="C16" i="8"/>
  <c r="D9" i="8"/>
  <c r="D11" i="8"/>
  <c r="B5" i="8"/>
  <c r="C5" i="8"/>
  <c r="D7" i="8"/>
  <c r="B7" i="8"/>
  <c r="C7" i="8"/>
  <c r="D17" i="8"/>
  <c r="C17" i="8"/>
  <c r="B17" i="8"/>
  <c r="C8" i="8"/>
  <c r="B6" i="8"/>
  <c r="C6" i="8"/>
  <c r="C12" i="8"/>
  <c r="M16" i="8" l="1"/>
  <c r="M18" i="8"/>
  <c r="M5" i="8"/>
  <c r="M4" i="8"/>
  <c r="M6" i="8"/>
  <c r="M17" i="8"/>
  <c r="M9" i="8"/>
  <c r="M10" i="8"/>
  <c r="M15" i="8"/>
  <c r="M7" i="8"/>
  <c r="M12" i="8"/>
  <c r="M8" i="8"/>
  <c r="M13" i="8"/>
  <c r="M14" i="8"/>
  <c r="M11" i="8"/>
  <c r="M3" i="8"/>
  <c r="T63" i="7"/>
  <c r="T62" i="7"/>
  <c r="T61" i="7"/>
  <c r="T60" i="7"/>
  <c r="T58" i="7"/>
  <c r="T57" i="7"/>
  <c r="T59" i="7"/>
  <c r="V55" i="7"/>
  <c r="V24" i="7"/>
  <c r="V25" i="7"/>
  <c r="V26" i="7"/>
  <c r="V27" i="7"/>
  <c r="V28" i="7"/>
  <c r="V29" i="7"/>
  <c r="V30" i="7"/>
  <c r="V31" i="7"/>
  <c r="V32" i="7"/>
  <c r="V33" i="7"/>
  <c r="V34" i="7"/>
  <c r="V35" i="7"/>
  <c r="V36" i="7"/>
  <c r="V37" i="7"/>
  <c r="V38" i="7"/>
  <c r="V39" i="7"/>
  <c r="V40" i="7"/>
  <c r="V41" i="7"/>
  <c r="V42" i="7"/>
  <c r="V43" i="7"/>
  <c r="V56" i="7"/>
  <c r="V49" i="7"/>
  <c r="V50" i="7"/>
  <c r="V51" i="7"/>
  <c r="V52" i="7"/>
  <c r="V53" i="7"/>
  <c r="V54" i="7"/>
  <c r="V48" i="7" l="1"/>
  <c r="Y58" i="7"/>
  <c r="Z58" i="7"/>
  <c r="AA58" i="7"/>
  <c r="AB58" i="7"/>
  <c r="AC58" i="7"/>
  <c r="AD58" i="7"/>
  <c r="AE58" i="7"/>
  <c r="AF58" i="7"/>
  <c r="X58" i="7"/>
  <c r="AG58" i="7"/>
  <c r="AH58" i="7"/>
  <c r="AI58" i="7"/>
  <c r="AJ58" i="7"/>
  <c r="U58" i="7"/>
  <c r="V58" i="7"/>
  <c r="W58" i="7"/>
  <c r="Y63" i="7"/>
  <c r="Z63" i="7"/>
  <c r="AA63" i="7"/>
  <c r="AB63" i="7"/>
  <c r="X63" i="7"/>
  <c r="AC63" i="7"/>
  <c r="AD63" i="7"/>
  <c r="AE63" i="7"/>
  <c r="AF63" i="7"/>
  <c r="AG63" i="7"/>
  <c r="AH63" i="7"/>
  <c r="AI63" i="7"/>
  <c r="AJ63" i="7"/>
  <c r="U63" i="7"/>
  <c r="V63" i="7"/>
  <c r="W63" i="7"/>
  <c r="W35" i="7"/>
  <c r="X35" i="7"/>
  <c r="Y35" i="7"/>
  <c r="Z35" i="7"/>
  <c r="AA35" i="7"/>
  <c r="AB35" i="7"/>
  <c r="AC35" i="7"/>
  <c r="AD35" i="7"/>
  <c r="AE35" i="7"/>
  <c r="AF35" i="7"/>
  <c r="AG35" i="7"/>
  <c r="AH35" i="7"/>
  <c r="AL35" i="7"/>
  <c r="AI35" i="7"/>
  <c r="AJ35" i="7"/>
  <c r="AK35" i="7"/>
  <c r="AI34" i="7"/>
  <c r="AJ34" i="7"/>
  <c r="AK34" i="7"/>
  <c r="AL34" i="7"/>
  <c r="W34" i="7"/>
  <c r="X34" i="7"/>
  <c r="Y34" i="7"/>
  <c r="Z34" i="7"/>
  <c r="AA34" i="7"/>
  <c r="AB34" i="7"/>
  <c r="AC34" i="7"/>
  <c r="AD34" i="7"/>
  <c r="AE34" i="7"/>
  <c r="AH34" i="7"/>
  <c r="AF34" i="7"/>
  <c r="AG34" i="7"/>
  <c r="AG60" i="7"/>
  <c r="AF60" i="7"/>
  <c r="AH60" i="7"/>
  <c r="AI60" i="7"/>
  <c r="AJ60" i="7"/>
  <c r="U60" i="7"/>
  <c r="V60" i="7"/>
  <c r="W60" i="7"/>
  <c r="X60" i="7"/>
  <c r="Y60" i="7"/>
  <c r="Z60" i="7"/>
  <c r="AA60" i="7"/>
  <c r="AB60" i="7"/>
  <c r="AC60" i="7"/>
  <c r="AD60" i="7"/>
  <c r="AE60" i="7"/>
  <c r="AE33" i="7"/>
  <c r="AF33" i="7"/>
  <c r="AG33" i="7"/>
  <c r="AH33" i="7"/>
  <c r="AI33" i="7"/>
  <c r="AJ33" i="7"/>
  <c r="AK33" i="7"/>
  <c r="AL33" i="7"/>
  <c r="AD33" i="7"/>
  <c r="W33" i="7"/>
  <c r="X33" i="7"/>
  <c r="Y33" i="7"/>
  <c r="Z33" i="7"/>
  <c r="AA33" i="7"/>
  <c r="AB33" i="7"/>
  <c r="AC33" i="7"/>
  <c r="U62" i="7"/>
  <c r="V62" i="7"/>
  <c r="W62" i="7"/>
  <c r="X62" i="7"/>
  <c r="Y62" i="7"/>
  <c r="Z62" i="7"/>
  <c r="AA62" i="7"/>
  <c r="AB62" i="7"/>
  <c r="AC62" i="7"/>
  <c r="AD62" i="7"/>
  <c r="AE62" i="7"/>
  <c r="AF62" i="7"/>
  <c r="AG62" i="7"/>
  <c r="AH62" i="7"/>
  <c r="AI62" i="7"/>
  <c r="AJ62" i="7"/>
  <c r="W31" i="7"/>
  <c r="X31" i="7"/>
  <c r="Y31" i="7"/>
  <c r="Z31" i="7"/>
  <c r="AA31" i="7"/>
  <c r="AB31" i="7"/>
  <c r="AC31" i="7"/>
  <c r="AD31" i="7"/>
  <c r="AE31" i="7"/>
  <c r="AF31" i="7"/>
  <c r="AG31" i="7"/>
  <c r="AH31" i="7"/>
  <c r="AI31" i="7"/>
  <c r="AJ31" i="7"/>
  <c r="AK31" i="7"/>
  <c r="AL31" i="7"/>
  <c r="W52" i="7"/>
  <c r="X52" i="7"/>
  <c r="Y52" i="7"/>
  <c r="Z52" i="7"/>
  <c r="AA52" i="7"/>
  <c r="AB52" i="7"/>
  <c r="AC52" i="7"/>
  <c r="AD52" i="7"/>
  <c r="AE52" i="7"/>
  <c r="AF52" i="7"/>
  <c r="AG52" i="7"/>
  <c r="AH52" i="7"/>
  <c r="AI52" i="7"/>
  <c r="AJ52" i="7"/>
  <c r="AK52" i="7"/>
  <c r="AL52" i="7"/>
  <c r="AI29" i="7"/>
  <c r="AJ29" i="7"/>
  <c r="AK29" i="7"/>
  <c r="AL29" i="7"/>
  <c r="W29" i="7"/>
  <c r="X29" i="7"/>
  <c r="Y29" i="7"/>
  <c r="AH29" i="7"/>
  <c r="Z29" i="7"/>
  <c r="AA29" i="7"/>
  <c r="AB29" i="7"/>
  <c r="AC29" i="7"/>
  <c r="AD29" i="7"/>
  <c r="AE29" i="7"/>
  <c r="AF29" i="7"/>
  <c r="AG29" i="7"/>
  <c r="AA32" i="7"/>
  <c r="AB32" i="7"/>
  <c r="AC32" i="7"/>
  <c r="AD32" i="7"/>
  <c r="AE32" i="7"/>
  <c r="AF32" i="7"/>
  <c r="AG32" i="7"/>
  <c r="AH32" i="7"/>
  <c r="AI32" i="7"/>
  <c r="AJ32" i="7"/>
  <c r="AK32" i="7"/>
  <c r="Z32" i="7"/>
  <c r="AL32" i="7"/>
  <c r="W32" i="7"/>
  <c r="X32" i="7"/>
  <c r="Y32" i="7"/>
  <c r="AA53" i="7"/>
  <c r="AB53" i="7"/>
  <c r="AC53" i="7"/>
  <c r="AD53" i="7"/>
  <c r="AE53" i="7"/>
  <c r="AF53" i="7"/>
  <c r="AG53" i="7"/>
  <c r="AH53" i="7"/>
  <c r="AI53" i="7"/>
  <c r="AJ53" i="7"/>
  <c r="AK53" i="7"/>
  <c r="AL53" i="7"/>
  <c r="W53" i="7"/>
  <c r="Z53" i="7"/>
  <c r="X53" i="7"/>
  <c r="Y53" i="7"/>
  <c r="W51" i="7"/>
  <c r="X51" i="7"/>
  <c r="Y51" i="7"/>
  <c r="Z51" i="7"/>
  <c r="AA51" i="7"/>
  <c r="AB51" i="7"/>
  <c r="AC51" i="7"/>
  <c r="AD51" i="7"/>
  <c r="AE51" i="7"/>
  <c r="AF51" i="7"/>
  <c r="AG51" i="7"/>
  <c r="AH51" i="7"/>
  <c r="AL51" i="7"/>
  <c r="AI51" i="7"/>
  <c r="AJ51" i="7"/>
  <c r="AK51" i="7"/>
  <c r="AE28" i="7"/>
  <c r="AF28" i="7"/>
  <c r="AG28" i="7"/>
  <c r="AH28" i="7"/>
  <c r="AI28" i="7"/>
  <c r="AJ28" i="7"/>
  <c r="AK28" i="7"/>
  <c r="AL28" i="7"/>
  <c r="AD28" i="7"/>
  <c r="W28" i="7"/>
  <c r="X28" i="7"/>
  <c r="Y28" i="7"/>
  <c r="Z28" i="7"/>
  <c r="AA28" i="7"/>
  <c r="AB28" i="7"/>
  <c r="AC28" i="7"/>
  <c r="W30" i="7"/>
  <c r="X30" i="7"/>
  <c r="Y30" i="7"/>
  <c r="Z30" i="7"/>
  <c r="AA30" i="7"/>
  <c r="AB30" i="7"/>
  <c r="AC30" i="7"/>
  <c r="AD30" i="7"/>
  <c r="AE30" i="7"/>
  <c r="AF30" i="7"/>
  <c r="AG30" i="7"/>
  <c r="AH30" i="7"/>
  <c r="AI30" i="7"/>
  <c r="AL30" i="7"/>
  <c r="AJ30" i="7"/>
  <c r="AK30" i="7"/>
  <c r="AI50" i="7"/>
  <c r="AJ50" i="7"/>
  <c r="AK50" i="7"/>
  <c r="AL50" i="7"/>
  <c r="W50" i="7"/>
  <c r="X50" i="7"/>
  <c r="AH50" i="7"/>
  <c r="Y50" i="7"/>
  <c r="Z50" i="7"/>
  <c r="AA50" i="7"/>
  <c r="AB50" i="7"/>
  <c r="AC50" i="7"/>
  <c r="AD50" i="7"/>
  <c r="AE50" i="7"/>
  <c r="AF50" i="7"/>
  <c r="AG50" i="7"/>
  <c r="AA27" i="7"/>
  <c r="AB27" i="7"/>
  <c r="AC27" i="7"/>
  <c r="AD27" i="7"/>
  <c r="AE27" i="7"/>
  <c r="AF27" i="7"/>
  <c r="AG27" i="7"/>
  <c r="AH27" i="7"/>
  <c r="AI27" i="7"/>
  <c r="AJ27" i="7"/>
  <c r="AK27" i="7"/>
  <c r="AL27" i="7"/>
  <c r="W27" i="7"/>
  <c r="Z27" i="7"/>
  <c r="X27" i="7"/>
  <c r="Y27" i="7"/>
  <c r="W26" i="7"/>
  <c r="X26" i="7"/>
  <c r="Y26" i="7"/>
  <c r="Z26" i="7"/>
  <c r="AA26" i="7"/>
  <c r="AB26" i="7"/>
  <c r="AC26" i="7"/>
  <c r="AD26" i="7"/>
  <c r="AE26" i="7"/>
  <c r="AF26" i="7"/>
  <c r="AG26" i="7"/>
  <c r="AH26" i="7"/>
  <c r="AI26" i="7"/>
  <c r="AJ26" i="7"/>
  <c r="AK26" i="7"/>
  <c r="AL26" i="7"/>
  <c r="AI39" i="7"/>
  <c r="AJ39" i="7"/>
  <c r="AK39" i="7"/>
  <c r="AL39" i="7"/>
  <c r="W39" i="7"/>
  <c r="X39" i="7"/>
  <c r="Y39" i="7"/>
  <c r="Z39" i="7"/>
  <c r="AA39" i="7"/>
  <c r="AB39" i="7"/>
  <c r="AC39" i="7"/>
  <c r="AD39" i="7"/>
  <c r="AE39" i="7"/>
  <c r="AF39" i="7"/>
  <c r="AH39" i="7"/>
  <c r="AG39" i="7"/>
  <c r="AE49" i="7"/>
  <c r="AF49" i="7"/>
  <c r="AG49" i="7"/>
  <c r="AH49" i="7"/>
  <c r="AI49" i="7"/>
  <c r="AJ49" i="7"/>
  <c r="AK49" i="7"/>
  <c r="AL49" i="7"/>
  <c r="AD49" i="7"/>
  <c r="W49" i="7"/>
  <c r="X49" i="7"/>
  <c r="Y49" i="7"/>
  <c r="Z49" i="7"/>
  <c r="AA49" i="7"/>
  <c r="AB49" i="7"/>
  <c r="AC49" i="7"/>
  <c r="W25" i="7"/>
  <c r="X25" i="7"/>
  <c r="Y25" i="7"/>
  <c r="Z25" i="7"/>
  <c r="AA25" i="7"/>
  <c r="AB25" i="7"/>
  <c r="AC25" i="7"/>
  <c r="AL25" i="7"/>
  <c r="AD25" i="7"/>
  <c r="AE25" i="7"/>
  <c r="AF25" i="7"/>
  <c r="AG25" i="7"/>
  <c r="AH25" i="7"/>
  <c r="AI25" i="7"/>
  <c r="AJ25" i="7"/>
  <c r="AK25" i="7"/>
  <c r="AA37" i="7"/>
  <c r="AB37" i="7"/>
  <c r="AC37" i="7"/>
  <c r="AD37" i="7"/>
  <c r="AE37" i="7"/>
  <c r="AF37" i="7"/>
  <c r="AG37" i="7"/>
  <c r="AH37" i="7"/>
  <c r="AI37" i="7"/>
  <c r="AJ37" i="7"/>
  <c r="AK37" i="7"/>
  <c r="Z37" i="7"/>
  <c r="AL37" i="7"/>
  <c r="W37" i="7"/>
  <c r="X37" i="7"/>
  <c r="Y37" i="7"/>
  <c r="AE54" i="7"/>
  <c r="AF54" i="7"/>
  <c r="AG54" i="7"/>
  <c r="AH54" i="7"/>
  <c r="AI54" i="7"/>
  <c r="AJ54" i="7"/>
  <c r="AK54" i="7"/>
  <c r="AL54" i="7"/>
  <c r="AD54" i="7"/>
  <c r="W54" i="7"/>
  <c r="X54" i="7"/>
  <c r="Y54" i="7"/>
  <c r="Z54" i="7"/>
  <c r="AA54" i="7"/>
  <c r="AB54" i="7"/>
  <c r="AC54" i="7"/>
  <c r="W56" i="7"/>
  <c r="X56" i="7"/>
  <c r="Y56" i="7"/>
  <c r="AL56" i="7"/>
  <c r="Z56" i="7"/>
  <c r="AA56" i="7"/>
  <c r="AB56" i="7"/>
  <c r="AC56" i="7"/>
  <c r="AD56" i="7"/>
  <c r="AE56" i="7"/>
  <c r="AF56" i="7"/>
  <c r="AG56" i="7"/>
  <c r="AH56" i="7"/>
  <c r="AI56" i="7"/>
  <c r="AJ56" i="7"/>
  <c r="AK56" i="7"/>
  <c r="AI24" i="7"/>
  <c r="AJ24" i="7"/>
  <c r="AK24" i="7"/>
  <c r="AL24" i="7"/>
  <c r="AH24" i="7"/>
  <c r="W24" i="7"/>
  <c r="X24" i="7"/>
  <c r="Y24" i="7"/>
  <c r="Z24" i="7"/>
  <c r="AA24" i="7"/>
  <c r="AB24" i="7"/>
  <c r="AC24" i="7"/>
  <c r="AD24" i="7"/>
  <c r="AE24" i="7"/>
  <c r="AF24" i="7"/>
  <c r="AG24" i="7"/>
  <c r="AJ61" i="7"/>
  <c r="U61" i="7"/>
  <c r="V61" i="7"/>
  <c r="W61" i="7"/>
  <c r="X61" i="7"/>
  <c r="Y61" i="7"/>
  <c r="Z61" i="7"/>
  <c r="AA61" i="7"/>
  <c r="AB61" i="7"/>
  <c r="AC61" i="7"/>
  <c r="AD61" i="7"/>
  <c r="AE61" i="7"/>
  <c r="AF61" i="7"/>
  <c r="AG61" i="7"/>
  <c r="AH61" i="7"/>
  <c r="AI61" i="7"/>
  <c r="AE43" i="7"/>
  <c r="AF43" i="7"/>
  <c r="AG43" i="7"/>
  <c r="AH43" i="7"/>
  <c r="AI43" i="7"/>
  <c r="AJ43" i="7"/>
  <c r="AK43" i="7"/>
  <c r="AL43" i="7"/>
  <c r="AD43" i="7"/>
  <c r="W43" i="7"/>
  <c r="X43" i="7"/>
  <c r="Y43" i="7"/>
  <c r="Z43" i="7"/>
  <c r="AA43" i="7"/>
  <c r="AB43" i="7"/>
  <c r="AC43" i="7"/>
  <c r="AA42" i="7"/>
  <c r="AB42" i="7"/>
  <c r="AC42" i="7"/>
  <c r="AD42" i="7"/>
  <c r="AE42" i="7"/>
  <c r="AF42" i="7"/>
  <c r="AG42" i="7"/>
  <c r="AH42" i="7"/>
  <c r="AI42" i="7"/>
  <c r="AJ42" i="7"/>
  <c r="AK42" i="7"/>
  <c r="Z42" i="7"/>
  <c r="AL42" i="7"/>
  <c r="W42" i="7"/>
  <c r="X42" i="7"/>
  <c r="Y42" i="7"/>
  <c r="AI55" i="7"/>
  <c r="AJ55" i="7"/>
  <c r="AK55" i="7"/>
  <c r="AL55" i="7"/>
  <c r="W55" i="7"/>
  <c r="AH55" i="7"/>
  <c r="X55" i="7"/>
  <c r="Y55" i="7"/>
  <c r="Z55" i="7"/>
  <c r="AA55" i="7"/>
  <c r="AB55" i="7"/>
  <c r="AC55" i="7"/>
  <c r="AD55" i="7"/>
  <c r="AE55" i="7"/>
  <c r="AF55" i="7"/>
  <c r="AG55" i="7"/>
  <c r="W36" i="7"/>
  <c r="X36" i="7"/>
  <c r="Y36" i="7"/>
  <c r="Z36" i="7"/>
  <c r="AA36" i="7"/>
  <c r="AB36" i="7"/>
  <c r="AC36" i="7"/>
  <c r="AD36" i="7"/>
  <c r="AE36" i="7"/>
  <c r="AF36" i="7"/>
  <c r="AG36" i="7"/>
  <c r="AH36" i="7"/>
  <c r="AI36" i="7"/>
  <c r="AJ36" i="7"/>
  <c r="AK36" i="7"/>
  <c r="AL36" i="7"/>
  <c r="W41" i="7"/>
  <c r="X41" i="7"/>
  <c r="Y41" i="7"/>
  <c r="Z41" i="7"/>
  <c r="AA41" i="7"/>
  <c r="AB41" i="7"/>
  <c r="AC41" i="7"/>
  <c r="AD41" i="7"/>
  <c r="AE41" i="7"/>
  <c r="AF41" i="7"/>
  <c r="AG41" i="7"/>
  <c r="AH41" i="7"/>
  <c r="AI41" i="7"/>
  <c r="AJ41" i="7"/>
  <c r="AK41" i="7"/>
  <c r="AL41" i="7"/>
  <c r="AC59" i="7"/>
  <c r="AD59" i="7"/>
  <c r="AE59" i="7"/>
  <c r="AB59" i="7"/>
  <c r="AF59" i="7"/>
  <c r="AG59" i="7"/>
  <c r="AH59" i="7"/>
  <c r="AI59" i="7"/>
  <c r="AJ59" i="7"/>
  <c r="U59" i="7"/>
  <c r="V59" i="7"/>
  <c r="W59" i="7"/>
  <c r="X59" i="7"/>
  <c r="Y59" i="7"/>
  <c r="Z59" i="7"/>
  <c r="AA59" i="7"/>
  <c r="V23" i="7"/>
  <c r="AE38" i="7"/>
  <c r="AF38" i="7"/>
  <c r="AG38" i="7"/>
  <c r="AH38" i="7"/>
  <c r="AI38" i="7"/>
  <c r="AJ38" i="7"/>
  <c r="AK38" i="7"/>
  <c r="AL38" i="7"/>
  <c r="AD38" i="7"/>
  <c r="W38" i="7"/>
  <c r="X38" i="7"/>
  <c r="Y38" i="7"/>
  <c r="Z38" i="7"/>
  <c r="AA38" i="7"/>
  <c r="AB38" i="7"/>
  <c r="AC38" i="7"/>
  <c r="W40" i="7"/>
  <c r="X40" i="7"/>
  <c r="Y40" i="7"/>
  <c r="Z40" i="7"/>
  <c r="AA40" i="7"/>
  <c r="AB40" i="7"/>
  <c r="AC40" i="7"/>
  <c r="AD40" i="7"/>
  <c r="AE40" i="7"/>
  <c r="AF40" i="7"/>
  <c r="AG40" i="7"/>
  <c r="AH40" i="7"/>
  <c r="AI40" i="7"/>
  <c r="AL40" i="7"/>
  <c r="AJ40" i="7"/>
  <c r="AK40" i="7"/>
  <c r="U57" i="7"/>
  <c r="V57" i="7"/>
  <c r="W57" i="7"/>
  <c r="X57" i="7"/>
  <c r="Y57" i="7"/>
  <c r="Z57" i="7"/>
  <c r="AA57" i="7"/>
  <c r="AB57" i="7"/>
  <c r="AC57" i="7"/>
  <c r="AD57" i="7"/>
  <c r="AE57" i="7"/>
  <c r="AF57" i="7"/>
  <c r="AG57" i="7"/>
  <c r="AH57" i="7"/>
  <c r="AI57" i="7"/>
  <c r="AJ57" i="7"/>
  <c r="AH23" i="7" l="1"/>
  <c r="AH44" i="7" s="1"/>
  <c r="AI23" i="7"/>
  <c r="AI44" i="7" s="1"/>
  <c r="AJ23" i="7"/>
  <c r="AJ44" i="7" s="1"/>
  <c r="AK23" i="7"/>
  <c r="AK44" i="7" s="1"/>
  <c r="W23" i="7"/>
  <c r="W44" i="7" s="1"/>
  <c r="AL23" i="7"/>
  <c r="AL44" i="7" s="1"/>
  <c r="X23" i="7"/>
  <c r="X44" i="7" s="1"/>
  <c r="Y23" i="7"/>
  <c r="Y44" i="7" s="1"/>
  <c r="Z23" i="7"/>
  <c r="Z44" i="7" s="1"/>
  <c r="AA23" i="7"/>
  <c r="AA44" i="7" s="1"/>
  <c r="AB23" i="7"/>
  <c r="AB44" i="7" s="1"/>
  <c r="AC23" i="7"/>
  <c r="AC44" i="7" s="1"/>
  <c r="AD23" i="7"/>
  <c r="AD44" i="7" s="1"/>
  <c r="AG23" i="7"/>
  <c r="AG44" i="7" s="1"/>
  <c r="AE23" i="7"/>
  <c r="AE44" i="7" s="1"/>
  <c r="AF23" i="7"/>
  <c r="AF44" i="7" s="1"/>
  <c r="AF48" i="7"/>
  <c r="AD64" i="7" s="1"/>
  <c r="AG48" i="7"/>
  <c r="AE64" i="7" s="1"/>
  <c r="AH48" i="7"/>
  <c r="AF64" i="7" s="1"/>
  <c r="AI48" i="7"/>
  <c r="AG64" i="7" s="1"/>
  <c r="AG65" i="7" s="1"/>
  <c r="B35" i="7" s="1"/>
  <c r="AJ48" i="7"/>
  <c r="AH64" i="7" s="1"/>
  <c r="AE48" i="7"/>
  <c r="AC64" i="7" s="1"/>
  <c r="AK48" i="7"/>
  <c r="AI64" i="7" s="1"/>
  <c r="AL48" i="7"/>
  <c r="AJ64" i="7" s="1"/>
  <c r="W48" i="7"/>
  <c r="U64" i="7" s="1"/>
  <c r="X48" i="7"/>
  <c r="V64" i="7" s="1"/>
  <c r="Y48" i="7"/>
  <c r="W64" i="7" s="1"/>
  <c r="Z48" i="7"/>
  <c r="X64" i="7" s="1"/>
  <c r="AA48" i="7"/>
  <c r="Y64" i="7" s="1"/>
  <c r="AB48" i="7"/>
  <c r="Z64" i="7" s="1"/>
  <c r="AC48" i="7"/>
  <c r="AA64" i="7" s="1"/>
  <c r="AD48" i="7"/>
  <c r="AB64" i="7" s="1"/>
  <c r="AF65" i="7" l="1"/>
  <c r="B34" i="7" s="1"/>
  <c r="AE65" i="7"/>
  <c r="B33" i="7" s="1"/>
  <c r="U65" i="7"/>
  <c r="B23" i="7" s="1"/>
  <c r="AD65" i="7"/>
  <c r="B32" i="7" s="1"/>
  <c r="AE45" i="7"/>
  <c r="C31" i="7" s="1"/>
  <c r="AJ65" i="7"/>
  <c r="B38" i="7" s="1"/>
  <c r="AH65" i="7"/>
  <c r="B36" i="7" s="1"/>
  <c r="AI65" i="7"/>
  <c r="B37" i="7" s="1"/>
  <c r="V65" i="7"/>
  <c r="B24" i="7" s="1"/>
  <c r="X65" i="7"/>
  <c r="B26" i="7" s="1"/>
  <c r="AB65" i="7"/>
  <c r="B30" i="7" s="1"/>
  <c r="W65" i="7"/>
  <c r="B25" i="7" s="1"/>
  <c r="AC45" i="7"/>
  <c r="C29" i="7" s="1"/>
  <c r="AB45" i="7"/>
  <c r="C28" i="7" s="1"/>
  <c r="AA45" i="7"/>
  <c r="C27" i="7" s="1"/>
  <c r="Z45" i="7"/>
  <c r="C26" i="7" s="1"/>
  <c r="AL45" i="7"/>
  <c r="C38" i="7" s="1"/>
  <c r="AF45" i="7"/>
  <c r="C32" i="7" s="1"/>
  <c r="AG45" i="7"/>
  <c r="C33" i="7" s="1"/>
  <c r="AD45" i="7"/>
  <c r="C30" i="7" s="1"/>
  <c r="AA65" i="7"/>
  <c r="B29" i="7" s="1"/>
  <c r="Z65" i="7"/>
  <c r="B28" i="7" s="1"/>
  <c r="Y65" i="7"/>
  <c r="B27" i="7" s="1"/>
  <c r="Y45" i="7"/>
  <c r="C25" i="7" s="1"/>
  <c r="X45" i="7"/>
  <c r="C24" i="7" s="1"/>
  <c r="W45" i="7"/>
  <c r="C23" i="7" s="1"/>
  <c r="AK45" i="7"/>
  <c r="C37" i="7" s="1"/>
  <c r="AJ45" i="7"/>
  <c r="C36" i="7" s="1"/>
  <c r="AC65" i="7"/>
  <c r="B31" i="7" s="1"/>
  <c r="AI45" i="7"/>
  <c r="C35" i="7" s="1"/>
  <c r="AH45" i="7"/>
  <c r="C3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tc={412A5608-015D-475A-8452-81D92F8F7642}</author>
    <author>tc={359F911F-26D4-435B-97AB-F6A8C14D655C}</author>
    <author>tc={789B77C3-0FCC-40A3-919E-4E8F68FDF952}</author>
    <author>tc={01411E8C-F8C6-4064-8D93-6CCFD564FEB0}</author>
    <author>tc={1E738941-CD9A-4404-945A-B49F3AF0E806}</author>
    <author>tc={56F70308-3D6D-4388-A354-D5B2792E3055}</author>
  </authors>
  <commentList>
    <comment ref="B3" authorId="0" shapeId="0" xr:uid="{412A5608-015D-475A-8452-81D92F8F7642}">
      <text>
        <t>[Threaded comment]
Your version of Excel allows you to read this threaded comment; however, any edits to it will get removed if the file is opened in a newer version of Excel. Learn more: https://go.microsoft.com/fwlink/?linkid=870924
Comment:
    Typo. This should be CEUS
Reply:
    Thanks!</t>
      </text>
    </comment>
    <comment ref="B5" authorId="1" shapeId="0" xr:uid="{359F911F-26D4-435B-97AB-F6A8C14D655C}">
      <text>
        <t>[Threaded comment]
Your version of Excel allows you to read this threaded comment; however, any edits to it will get removed if the file is opened in a newer version of Excel. Learn more: https://go.microsoft.com/fwlink/?linkid=870924
Comment:
    ComStock - Release #?
Reply:
    2023 has been added.</t>
      </text>
    </comment>
    <comment ref="A6" authorId="2" shapeId="0" xr:uid="{789B77C3-0FCC-40A3-919E-4E8F68FDF952}">
      <text>
        <t>[Threaded comment]
Your version of Excel allows you to read this threaded comment; however, any edits to it will get removed if the file is opened in a newer version of Excel. Learn more: https://go.microsoft.com/fwlink/?linkid=870924
Comment:
    Adding version or release date will be useful
Reply:
    Added.</t>
      </text>
    </comment>
    <comment ref="A10" authorId="3" shapeId="0" xr:uid="{01411E8C-F8C6-4064-8D93-6CCFD564FEB0}">
      <text>
        <t>[Threaded comment]
Your version of Excel allows you to read this threaded comment; however, any edits to it will get removed if the file is opened in a newer version of Excel. Learn more: https://go.microsoft.com/fwlink/?linkid=870924
Comment:
    Adding version or release date will be useful
Reply:
    Added.</t>
      </text>
    </comment>
    <comment ref="A17" authorId="4" shapeId="0" xr:uid="{1E738941-CD9A-4404-945A-B49F3AF0E806}">
      <text>
        <t xml:space="preserve">[Threaded comment]
Your version of Excel allows you to read this threaded comment; however, any edits to it will get removed if the file is opened in a newer version of Excel. Learn more: https://go.microsoft.com/fwlink/?linkid=870924
Comment:
    Is this for whole CA state? This is significantly different from 2023 CEC Construction Forecast (8.62 million sq.ft.) and 2026 CEC Construction Forecast (4.5 million sq.ft.)
Reply:
    Yes, This graph is for whole California but only for small office buildings (offices below 25,000 sf). The graph has been extracted from the Dodge issued permit data for new construction. </t>
      </text>
    </comment>
    <comment ref="B34" authorId="5" shapeId="0" xr:uid="{56F70308-3D6D-4388-A354-D5B2792E3055}">
      <text>
        <t>[Threaded comment]
Your version of Excel allows you to read this threaded comment; however, any edits to it will get removed if the file is opened in a newer version of Excel. Learn more: https://go.microsoft.com/fwlink/?linkid=870924
Comment:
    Does 2016 refer to the construction year or the code version year?
It seems a few typos in this cell. Example: ‘slow-sloped roof products’; it should be ‘Low-sloped roof products’
Reply:
    Has been addressed. Thank you!</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Mohsen Abrishami</author>
  </authors>
  <commentList>
    <comment ref="H1" authorId="0" shapeId="0" xr:uid="{FA783B0B-10A5-4027-AFB0-23A530D51CBC}">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I1" authorId="0" shapeId="0" xr:uid="{D5D5C8DB-48F6-49CF-A6B8-E9826029AF79}">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J1" authorId="0" shapeId="0" xr:uid="{4B8F7965-EEA6-480C-9E2D-6B39BF8A22EE}">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Mohsen Abrishami</author>
  </authors>
  <commentList>
    <comment ref="H1" authorId="0" shapeId="0" xr:uid="{E9106227-061D-483F-AD69-B08D6DFCAA24}">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I1" authorId="0" shapeId="0" xr:uid="{84001EE7-91E3-4C5B-ACE1-772A6970FD9C}">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J1" authorId="0" shapeId="0" xr:uid="{0AE325DB-0DFC-4B10-ADB5-8F0744DE8295}">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H22" authorId="0" shapeId="0" xr:uid="{1DED95E8-CE88-4046-B7E5-BE94066EDBB2}">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I22" authorId="0" shapeId="0" xr:uid="{31FF255E-9AFD-434A-8524-448B309AE22E}">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J22" authorId="0" shapeId="0" xr:uid="{3CE407E4-A30C-48A4-B1E3-54556FCD2E86}">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H41" authorId="0" shapeId="0" xr:uid="{531E45B5-515F-4282-AC2B-41DA283ABC9A}">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I41" authorId="0" shapeId="0" xr:uid="{D3220F02-858B-4470-A32C-FB7ED062A0C7}">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J41" authorId="0" shapeId="0" xr:uid="{0F0DA788-0387-4CDE-A55C-0D9D38E09C83}">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Yousefi, Fatemeh</author>
  </authors>
  <commentList>
    <comment ref="D11" authorId="0" shapeId="0" xr:uid="{E07EDBFB-C8C8-4CB3-B07F-436F08D45B73}">
      <text>
        <r>
          <rPr>
            <b/>
            <sz val="9"/>
            <color indexed="81"/>
            <rFont val="Tahoma"/>
            <family val="2"/>
          </rPr>
          <t xml:space="preserve">Yousefi, Fatemeh:
</t>
        </r>
        <r>
          <rPr>
            <sz val="9"/>
            <color indexed="81"/>
            <rFont val="Tahoma"/>
            <family val="2"/>
          </rPr>
          <t>Primary function was considered for warehouse</t>
        </r>
      </text>
    </comment>
    <comment ref="B54" authorId="0" shapeId="0" xr:uid="{34A745EE-FE9C-458B-AC55-60447554225A}">
      <text>
        <r>
          <rPr>
            <b/>
            <sz val="9"/>
            <color indexed="81"/>
            <rFont val="Tahoma"/>
            <family val="2"/>
          </rPr>
          <t>Yousefi, Fatemeh:</t>
        </r>
        <r>
          <rPr>
            <sz val="9"/>
            <color indexed="81"/>
            <rFont val="Tahoma"/>
            <family val="2"/>
          </rPr>
          <t xml:space="preserve">
Interface area probably got updated with new technologies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tc={D860F24D-D0BE-42DF-A872-A9CA5092B20B}</author>
  </authors>
  <commentList>
    <comment ref="A1" authorId="0" shapeId="0" xr:uid="{D860F24D-D0BE-42DF-A872-A9CA5092B20B}">
      <text>
        <t>[Threaded comment]
Your version of Excel allows you to read this threaded comment; however, any edits to it will get removed if the file is opened in a newer version of Excel. Learn more: https://go.microsoft.com/fwlink/?linkid=870924
Comment:
    New Enduse for Small Office?
Reply:
    According to CEUS 2022, saturation rate for exterior lighting in 67% in small offices.</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tc={0335CA49-0C34-45D9-8E41-740ED7D03C8F}</author>
    <author>Mohsen Abrishami</author>
  </authors>
  <commentList>
    <comment ref="A1" authorId="0" shapeId="0" xr:uid="{0335CA49-0C34-45D9-8E41-740ED7D03C8F}">
      <text>
        <t xml:space="preserve">[Threaded comment]
Your version of Excel allows you to read this threaded comment; however, any edits to it will get removed if the file is opened in a newer version of Excel. Learn more: https://go.microsoft.com/fwlink/?linkid=870924
Comment:
    Is this for a specific vintage or NC?
Reply:
    No. This is for the whole small office buildings (Extracted from CEUS data). </t>
      </text>
    </comment>
    <comment ref="C46" authorId="1" shapeId="0" xr:uid="{C53F85B0-644B-420F-A446-2C73101F2231}">
      <text>
        <r>
          <rPr>
            <b/>
            <sz val="9"/>
            <color indexed="81"/>
            <rFont val="Tahoma"/>
            <family val="2"/>
          </rPr>
          <t xml:space="preserve">
</t>
        </r>
        <r>
          <rPr>
            <b/>
            <sz val="12"/>
            <color indexed="81"/>
            <rFont val="Tahoma"/>
            <family val="2"/>
          </rPr>
          <t>Weighted &amp; scaled to 2022 economy</t>
        </r>
      </text>
    </comment>
    <comment ref="G46" authorId="1" shapeId="0" xr:uid="{77E1ADFB-E079-4C65-A206-4B99F6D9DD36}">
      <text>
        <r>
          <rPr>
            <b/>
            <sz val="9"/>
            <color indexed="81"/>
            <rFont val="Tahoma"/>
            <family val="2"/>
          </rPr>
          <t xml:space="preserve">
</t>
        </r>
        <r>
          <rPr>
            <b/>
            <sz val="12"/>
            <color indexed="81"/>
            <rFont val="Tahoma"/>
            <family val="2"/>
          </rPr>
          <t>Weighted &amp; scaled to 2022 economy</t>
        </r>
      </text>
    </comment>
    <comment ref="K46" authorId="1" shapeId="0" xr:uid="{19EB706C-35B4-4A61-8404-D36AEC510B31}">
      <text>
        <r>
          <rPr>
            <b/>
            <sz val="9"/>
            <color indexed="81"/>
            <rFont val="Tahoma"/>
            <family val="2"/>
          </rPr>
          <t xml:space="preserve">
</t>
        </r>
        <r>
          <rPr>
            <b/>
            <sz val="12"/>
            <color indexed="81"/>
            <rFont val="Tahoma"/>
            <family val="2"/>
          </rPr>
          <t>Weighted &amp; scaled to 2022 economy</t>
        </r>
      </text>
    </comment>
    <comment ref="S46" authorId="1" shapeId="0" xr:uid="{4B1226B5-3C2A-4C74-BCEF-2CC501A797DE}">
      <text>
        <r>
          <rPr>
            <b/>
            <sz val="9"/>
            <color indexed="81"/>
            <rFont val="Tahoma"/>
            <family val="2"/>
          </rPr>
          <t>Mohsen Abrishami:
Reported in Appdx K</t>
        </r>
      </text>
    </comment>
    <comment ref="H70" authorId="1" shapeId="0" xr:uid="{5902BBB0-8A82-440D-B5D0-2A9748115F33}">
      <text>
        <r>
          <rPr>
            <b/>
            <sz val="9"/>
            <color indexed="81"/>
            <rFont val="Tahoma"/>
            <family val="2"/>
          </rPr>
          <t>The saturations here are the % of total floorspace for each combination of end-use and fuel.</t>
        </r>
        <r>
          <rPr>
            <sz val="9"/>
            <color indexed="81"/>
            <rFont val="Tahoma"/>
            <family val="2"/>
          </rPr>
          <t xml:space="preserve">
</t>
        </r>
      </text>
    </comment>
    <comment ref="I70" authorId="1" shapeId="0" xr:uid="{727FD7A1-3A2F-4637-883F-C2B7A6551625}">
      <text>
        <r>
          <rPr>
            <b/>
            <sz val="9"/>
            <color indexed="81"/>
            <rFont val="Tahoma"/>
            <family val="2"/>
          </rPr>
          <t>The saturations here are the % of total floorspace for each combination of end-use and fuel.</t>
        </r>
        <r>
          <rPr>
            <sz val="9"/>
            <color indexed="81"/>
            <rFont val="Tahoma"/>
            <family val="2"/>
          </rPr>
          <t xml:space="preserve">
</t>
        </r>
      </text>
    </comment>
    <comment ref="J70" authorId="1" shapeId="0" xr:uid="{A1572544-0C8F-47E2-B8C0-FD9BC5A11052}">
      <text>
        <r>
          <rPr>
            <b/>
            <sz val="9"/>
            <color indexed="81"/>
            <rFont val="Tahoma"/>
            <family val="2"/>
          </rPr>
          <t>The saturations here are the % of total floorspace for each combination of end-use and fuel.</t>
        </r>
        <r>
          <rPr>
            <sz val="9"/>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tc={04393F4A-962F-4A9C-8D67-C6983844D941}</author>
  </authors>
  <commentList>
    <comment ref="A1" authorId="0" shapeId="0" xr:uid="{04393F4A-962F-4A9C-8D67-C6983844D941}">
      <text>
        <t>[Threaded comment]
Your version of Excel allows you to read this threaded comment; however, any edits to it will get removed if the file is opened in a newer version of Excel. Learn more: https://go.microsoft.com/fwlink/?linkid=870924
Comment:
    Is there a table to see the % floor area for each CZ for each vintage year? 
Reply:
    We don't have data per year. But, another table has been added to show the % per CZ for each vintage bin.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tc={16060CB6-BA55-4202-A89F-8445A366FADE}</author>
    <author>tc={AD9CC582-59FE-4A02-B861-C52EE6B8B424}</author>
    <author>tc={027B2D28-D89F-4177-85E1-ADB4F9CC11C8}</author>
  </authors>
  <commentList>
    <comment ref="C6" authorId="0" shapeId="0" xr:uid="{16060CB6-BA55-4202-A89F-8445A366FADE}">
      <text>
        <t xml:space="preserve">[Threaded comment]
Your version of Excel allows you to read this threaded comment; however, any edits to it will get removed if the file is opened in a newer version of Excel. Learn more: https://go.microsoft.com/fwlink/?linkid=870924
Comment:
    Is this analysis in a separate file?
Reply:
    Yes, The link of "the vintage bins report" has been added.
</t>
      </text>
    </comment>
    <comment ref="B9" authorId="1" shapeId="0" xr:uid="{AD9CC582-59FE-4A02-B861-C52EE6B8B424}">
      <text>
        <t>[Threaded comment]
Your version of Excel allows you to read this threaded comment; however, any edits to it will get removed if the file is opened in a newer version of Excel. Learn more: https://go.microsoft.com/fwlink/?linkid=870924
Comment:
    Added 1.5
Reply:
    Thanks!</t>
      </text>
    </comment>
    <comment ref="B11" authorId="2" shapeId="0" xr:uid="{027B2D28-D89F-4177-85E1-ADB4F9CC11C8}">
      <text>
        <t>[Threaded comment]
Your version of Excel allows you to read this threaded comment; however, any edits to it will get removed if the file is opened in a newer version of Excel. Learn more: https://go.microsoft.com/fwlink/?linkid=870924
Comment:
    Steep-sloped or Low-sloped?
Reply:
    "Low-sloped" has been added.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tc={24D8A35F-28A0-42EA-B217-219484AC71E0}</author>
    <author>tc={79E3DBAC-8776-46D3-B822-C9983BE24FE4}</author>
    <author>tc={8ECDB0FD-634D-48A1-8FDC-A65E9722DBE2}</author>
    <author>Yousefi, Fatemeh</author>
  </authors>
  <commentList>
    <comment ref="K1" authorId="0" shapeId="0" xr:uid="{24D8A35F-28A0-42EA-B217-219484AC71E0}">
      <text>
        <t>[Threaded comment]
Your version of Excel allows you to read this threaded comment; however, any edits to it will get removed if the file is opened in a newer version of Excel. Learn more: https://go.microsoft.com/fwlink/?linkid=870924
Comment:
    Is the Open Office facing North?
Reply:
    The Orientation of N has been added.</t>
      </text>
    </comment>
    <comment ref="J2" authorId="1" shapeId="0" xr:uid="{79E3DBAC-8776-46D3-B822-C9983BE24FE4}">
      <text>
        <t xml:space="preserve">[Threaded comment]
Your version of Excel allows you to read this threaded comment; however, any edits to it will get removed if the file is opened in a newer version of Excel. Learn more: https://go.microsoft.com/fwlink/?linkid=870924
Comment:
    Is this different from App5-4A_SpaceBySpace file (CBECC Table in the Data folder)?
Reply:
    Yes, it is different from  App5-4_SpaceBySpace file. For example they considered OccDens equal to 10 people per 1,000 sf for office area but we set it to 5 based on the 2025 T24 as referenced.  But, please note that, CEBCC considers a 0.5 multiplier to calculate the actual occupancy load for a space . For office area, the actual occupancy load in CEBCC is  0.5*10 which is 5 </t>
      </text>
    </comment>
    <comment ref="J6" authorId="2" shapeId="0" xr:uid="{8ECDB0FD-634D-48A1-8FDC-A65E9722DBE2}">
      <text>
        <t xml:space="preserve">[Threaded comment]
Your version of Excel allows you to read this threaded comment; however, any edits to it will get removed if the file is opened in a newer version of Excel. Learn more: https://go.microsoft.com/fwlink/?linkid=870924
Comment:
    The comment in cell I7 says the lobby is 33. It looks like it is for the conference.
Reply:
    Thanks for the point. The conference occupancy is 33 people based on the T24, Table 120.1-A. However for the lobby, there are two options: 33 for the lobby and 5 for the reception. </t>
      </text>
    </comment>
    <comment ref="J7" authorId="3" shapeId="0" xr:uid="{D74793DD-22DE-415F-A8A7-261F8992F9A1}">
      <text>
        <r>
          <rPr>
            <b/>
            <sz val="9"/>
            <color indexed="81"/>
            <rFont val="Tahoma"/>
            <family val="2"/>
          </rPr>
          <t>Yousefi, Fatemeh:</t>
        </r>
        <r>
          <rPr>
            <sz val="9"/>
            <color indexed="81"/>
            <rFont val="Tahoma"/>
            <family val="2"/>
          </rPr>
          <t xml:space="preserve">
Reception area=5
Lobby=33</t>
        </r>
      </text>
    </comment>
    <comment ref="J11" authorId="3" shapeId="0" xr:uid="{44AD6DB5-3F40-4BC0-82A3-81067450615E}">
      <text>
        <r>
          <rPr>
            <b/>
            <sz val="9"/>
            <color indexed="81"/>
            <rFont val="Tahoma"/>
            <family val="2"/>
          </rPr>
          <t>Yousefi, Fatemeh:</t>
        </r>
        <r>
          <rPr>
            <sz val="9"/>
            <color indexed="81"/>
            <rFont val="Tahoma"/>
            <family val="2"/>
          </rPr>
          <t xml:space="preserve">
Ref: T24: 33 for Breakroom
CEC, T24, 2022 documents: 
Appendix 5-4A_SpaceBySpace file 
Tab [For CSV - 2022 VentSpcFuncData]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Yousefi, Fatemeh</author>
    <author>Edwards, Ben</author>
  </authors>
  <commentList>
    <comment ref="D3" authorId="0" shapeId="0" xr:uid="{B06DECE3-C036-4C10-8975-F0BA8AB4A714}">
      <text>
        <r>
          <rPr>
            <b/>
            <sz val="9"/>
            <color indexed="81"/>
            <rFont val="Tahoma"/>
            <family val="2"/>
          </rPr>
          <t>Yousefi, Fatemeh:</t>
        </r>
        <r>
          <rPr>
            <sz val="9"/>
            <color indexed="81"/>
            <rFont val="Tahoma"/>
            <family val="2"/>
          </rPr>
          <t xml:space="preserve">
Woodframe: Same as PNNL
in Comstock: Steel frame has higher % (around 40%)</t>
        </r>
      </text>
    </comment>
    <comment ref="G9" authorId="0" shapeId="0" xr:uid="{256B2C7C-21CC-464E-9E80-EBEB55A4CFA5}">
      <text>
        <r>
          <rPr>
            <b/>
            <sz val="9"/>
            <color indexed="81"/>
            <rFont val="Tahoma"/>
            <family val="2"/>
          </rPr>
          <t>Yousefi, Fatemeh:</t>
        </r>
        <r>
          <rPr>
            <sz val="9"/>
            <color indexed="81"/>
            <rFont val="Tahoma"/>
            <family val="2"/>
          </rPr>
          <t xml:space="preserve">
T24 Part 6, version 1995 and 1992 had same requirement for Roof U-values
</t>
        </r>
      </text>
    </comment>
    <comment ref="C55" authorId="1" shapeId="0" xr:uid="{C18693F7-82CD-4A6E-A6CE-E9C01A8E12E1}">
      <text>
        <r>
          <rPr>
            <b/>
            <sz val="9"/>
            <color indexed="81"/>
            <rFont val="Tahoma"/>
            <family val="2"/>
          </rPr>
          <t>Edwards, Ben:</t>
        </r>
        <r>
          <rPr>
            <sz val="9"/>
            <color indexed="81"/>
            <rFont val="Tahoma"/>
            <family val="2"/>
          </rPr>
          <t xml:space="preserve">
If we believe we have a wood-framed roof, we probably should have wood walls. Doesn't really matter, as long as they aren't mass.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Yousefi, Fatemeh</author>
    <author>Mohsen Abrishami</author>
  </authors>
  <commentList>
    <comment ref="C11" authorId="0" shapeId="0" xr:uid="{E31FB1F7-99C9-463C-89C9-B7ECA860E3EF}">
      <text>
        <r>
          <rPr>
            <b/>
            <sz val="9"/>
            <color indexed="81"/>
            <rFont val="Tahoma"/>
            <family val="2"/>
          </rPr>
          <t>Yousefi, Fatemeh:</t>
        </r>
        <r>
          <rPr>
            <sz val="9"/>
            <color indexed="81"/>
            <rFont val="Tahoma"/>
            <family val="2"/>
          </rPr>
          <t xml:space="preserve">
Page 12074 of CFR 2009
https://www.govinfo.gov/content/pkg/FR-2009-03-23/pdf/FR-2009-03-23.pdf </t>
        </r>
      </text>
    </comment>
    <comment ref="C12" authorId="0" shapeId="0" xr:uid="{E13E1DD0-9296-4BD8-BEB5-3E169A68CF81}">
      <text>
        <r>
          <rPr>
            <b/>
            <sz val="9"/>
            <color indexed="81"/>
            <rFont val="Tahoma"/>
            <family val="2"/>
          </rPr>
          <t>Yousefi, Fatemeh:</t>
        </r>
        <r>
          <rPr>
            <sz val="9"/>
            <color indexed="81"/>
            <rFont val="Tahoma"/>
            <family val="2"/>
          </rPr>
          <t xml:space="preserve">
Page 12074 of CFR 2009
https://www.govinfo.gov/content/pkg/FR-2009-03-23/pdf/FR-2009-03-23.pdf </t>
        </r>
      </text>
    </comment>
    <comment ref="C14" authorId="0" shapeId="0" xr:uid="{017E3BE4-9E52-4673-83A3-CB8CE34C80D3}">
      <text>
        <r>
          <rPr>
            <b/>
            <sz val="9"/>
            <color indexed="81"/>
            <rFont val="Tahoma"/>
            <family val="2"/>
          </rPr>
          <t>Yousefi, Fatemeh:</t>
        </r>
        <r>
          <rPr>
            <sz val="9"/>
            <color indexed="81"/>
            <rFont val="Tahoma"/>
            <family val="2"/>
          </rPr>
          <t xml:space="preserve">
For those manufactured after 2025</t>
        </r>
      </text>
    </comment>
    <comment ref="B25" authorId="0" shapeId="0" xr:uid="{5E25F09C-CFA3-41FF-B4B9-BC8D767EE81A}">
      <text>
        <r>
          <rPr>
            <b/>
            <sz val="9"/>
            <color indexed="81"/>
            <rFont val="Tahoma"/>
            <family val="2"/>
          </rPr>
          <t>Yousefi, Fatemeh:</t>
        </r>
        <r>
          <rPr>
            <sz val="9"/>
            <color indexed="81"/>
            <rFont val="Tahoma"/>
            <family val="2"/>
          </rPr>
          <t xml:space="preserve">
For Large system</t>
        </r>
      </text>
    </comment>
    <comment ref="B33" authorId="0" shapeId="0" xr:uid="{2E00D75C-5A44-4D66-AB0F-4C44440A0FD2}">
      <text>
        <r>
          <rPr>
            <b/>
            <sz val="9"/>
            <color indexed="81"/>
            <rFont val="Tahoma"/>
            <family val="2"/>
          </rPr>
          <t>Yousefi, Fatemeh:</t>
        </r>
        <r>
          <rPr>
            <sz val="9"/>
            <color indexed="81"/>
            <rFont val="Tahoma"/>
            <family val="2"/>
          </rPr>
          <t xml:space="preserve">
25 for continuous 
systems operation during hours of use</t>
        </r>
      </text>
    </comment>
    <comment ref="C87" authorId="0" shapeId="0" xr:uid="{4033B901-093D-4C3E-BC1E-5D02BDA49C57}">
      <text>
        <r>
          <rPr>
            <b/>
            <sz val="9"/>
            <color indexed="81"/>
            <rFont val="Tahoma"/>
            <family val="2"/>
          </rPr>
          <t>Yousefi, Fatemeh:</t>
        </r>
        <r>
          <rPr>
            <sz val="9"/>
            <color indexed="81"/>
            <rFont val="Tahoma"/>
            <family val="2"/>
          </rPr>
          <t xml:space="preserve">
18% by Splits system/HP
and 9% by other</t>
        </r>
      </text>
    </comment>
    <comment ref="D87" authorId="0" shapeId="0" xr:uid="{03C05482-CAA6-4208-B69B-8052E7FC185F}">
      <text>
        <r>
          <rPr>
            <b/>
            <sz val="9"/>
            <color indexed="81"/>
            <rFont val="Tahoma"/>
            <family val="2"/>
          </rPr>
          <t>Yousefi, Fatemeh:</t>
        </r>
        <r>
          <rPr>
            <sz val="9"/>
            <color indexed="81"/>
            <rFont val="Tahoma"/>
            <family val="2"/>
          </rPr>
          <t xml:space="preserve">
4% by Fan Coil / Unit Ventilator 
and  4% by other</t>
        </r>
      </text>
    </comment>
    <comment ref="C88" authorId="0" shapeId="0" xr:uid="{6C1AAC4B-BB29-405D-9F48-640F5E2168E6}">
      <text>
        <r>
          <rPr>
            <b/>
            <sz val="9"/>
            <color indexed="81"/>
            <rFont val="Tahoma"/>
            <family val="2"/>
          </rPr>
          <t>Yousefi, Fatemeh:</t>
        </r>
        <r>
          <rPr>
            <sz val="9"/>
            <color indexed="81"/>
            <rFont val="Tahoma"/>
            <family val="2"/>
          </rPr>
          <t xml:space="preserve">
0.4% by Gas and 0.1% by shared chilled water </t>
        </r>
      </text>
    </comment>
    <comment ref="R163" authorId="1" shapeId="0" xr:uid="{CF2DB236-064C-405C-BFD3-7C5CB6AAB6DB}">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S163" authorId="1" shapeId="0" xr:uid="{87234866-B4A9-48EA-9DBB-23054632C3B4}">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T163" authorId="1" shapeId="0" xr:uid="{804A9DBC-9374-4750-850A-19AD202BDD5D}">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V216" authorId="1" shapeId="0" xr:uid="{108CE483-BD68-455B-A054-AEA15D666A76}">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Mohsen Abrishami</author>
  </authors>
  <commentList>
    <comment ref="V2" authorId="0" shapeId="0" xr:uid="{8541F3FF-34E2-4EAF-A6B3-DF58528C4B35}">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W2" authorId="0" shapeId="0" xr:uid="{3D828133-450F-411E-B666-E0200E0B6AE7}">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X2" authorId="0" shapeId="0" xr:uid="{D6FDDBD7-C360-49BF-9C2B-2BF7D93EA984}">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AA2" authorId="0" shapeId="0" xr:uid="{954F4E39-FCE0-4476-8201-A4F0B0C3373F}">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AA28" authorId="0" shapeId="0" xr:uid="{56D0411F-5CCC-4D5F-87BD-B2310DDB8854}">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tc={F3C258D8-9FCA-4EB0-9919-5F5C006DB2E0}</author>
    <author>tc={CF23047C-A994-422F-8E00-FEAB53AB5352}</author>
  </authors>
  <commentList>
    <comment ref="D9" authorId="0" shapeId="0" xr:uid="{F3C258D8-9FCA-4EB0-9919-5F5C006DB2E0}">
      <text>
        <t>[Threaded comment]
Your version of Excel allows you to read this threaded comment; however, any edits to it will get removed if the file is opened in a newer version of Excel. Learn more: https://go.microsoft.com/fwlink/?linkid=870924
Comment:
    ?
Reply:
    Added. The space is equipped with exhaust fan</t>
      </text>
    </comment>
    <comment ref="D10" authorId="1" shapeId="0" xr:uid="{CF23047C-A994-422F-8E00-FEAB53AB5352}">
      <text>
        <t>[Threaded comment]
Your version of Excel allows you to read this threaded comment; however, any edits to it will get removed if the file is opened in a newer version of Excel. Learn more: https://go.microsoft.com/fwlink/?linkid=870924
Comment:
    ?
Reply:
    Added. The space is equipped with exhaust fan</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Mohsen Abrishami</author>
  </authors>
  <commentList>
    <comment ref="Q22" authorId="0" shapeId="0" xr:uid="{BD50E5E4-87E9-491C-95F5-1F0AFB650881}">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R22" authorId="0" shapeId="0" xr:uid="{FC2E575F-7E35-4A99-95D8-05938A0AD009}">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S22" authorId="0" shapeId="0" xr:uid="{5EA782C7-FE2A-4626-ADBE-124DE3BB1783}">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V22" authorId="0" shapeId="0" xr:uid="{619DE969-9014-45D1-B835-74C2C6DC4625}">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V47" authorId="0" shapeId="0" xr:uid="{15EC0CE1-9DC7-4289-8CD4-A7C7BA14AB8C}">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Mohsen Abrishami</author>
  </authors>
  <commentList>
    <comment ref="I1" authorId="0" shapeId="0" xr:uid="{2EBDC8A0-08AB-4BAC-927A-C34674EF12F3}">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J1" authorId="0" shapeId="0" xr:uid="{0D9B5684-485B-4EE2-9108-C6171E44951B}">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K1" authorId="0" shapeId="0" xr:uid="{C7B1B974-EF41-44F1-90A7-64CD19815A46}">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I23" authorId="0" shapeId="0" xr:uid="{F56CB81C-CA55-46CF-9AFA-F51C1B89413E}">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J23" authorId="0" shapeId="0" xr:uid="{87014631-BAC6-4F31-ADF0-208CB7BBAFA0}">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 ref="K23" authorId="0" shapeId="0" xr:uid="{E9BAC966-C0D9-496F-8B5A-04552E0D8B3F}">
      <text>
        <r>
          <rPr>
            <b/>
            <sz val="9"/>
            <color indexed="81"/>
            <rFont val="Tahoma"/>
            <family val="2"/>
          </rPr>
          <t xml:space="preserve">
</t>
        </r>
        <r>
          <rPr>
            <b/>
            <sz val="12"/>
            <color indexed="81"/>
            <rFont val="Tahoma"/>
            <family val="2"/>
          </rPr>
          <t>Saturation is defined as the % of total floorspace for each combination of end-use and fuel-type.</t>
        </r>
        <r>
          <rPr>
            <sz val="9"/>
            <color indexed="81"/>
            <rFont val="Tahoma"/>
            <family val="2"/>
          </rPr>
          <t xml:space="preserve">
</t>
        </r>
      </text>
    </comment>
  </commentList>
</comments>
</file>

<file path=xl/sharedStrings.xml><?xml version="1.0" encoding="utf-8"?>
<sst xmlns="http://schemas.openxmlformats.org/spreadsheetml/2006/main" count="3949" uniqueCount="1149">
  <si>
    <t>Data Sources</t>
  </si>
  <si>
    <t>Dataset</t>
  </si>
  <si>
    <t>Dodge 2023</t>
  </si>
  <si>
    <t>CBECS 2018</t>
  </si>
  <si>
    <t>Comstock 2023</t>
  </si>
  <si>
    <t>Prototype</t>
  </si>
  <si>
    <t>Codes</t>
  </si>
  <si>
    <t>Others</t>
  </si>
  <si>
    <t>https://www.mass.gov/doc/small-office-prototype-basis-of-design-report/download</t>
  </si>
  <si>
    <t>https://www.mass.gov/lists/stretch-energy-code-development-support-documentation</t>
  </si>
  <si>
    <t>Massachusetts uses commercial prototype for its stretch code energy analysis and the above ones are the supporting documents for small office prototype</t>
  </si>
  <si>
    <t>Construction Rate</t>
  </si>
  <si>
    <t>Notes</t>
  </si>
  <si>
    <t>Saturation is defined as the % of total floorspace for each combination of end-use and fuel-type.</t>
  </si>
  <si>
    <t>1978-84</t>
  </si>
  <si>
    <t>1985-97</t>
  </si>
  <si>
    <t>1992-1997</t>
  </si>
  <si>
    <t>1984 is  the representative year for the 1984-1997 vintage bin</t>
  </si>
  <si>
    <t>Most offices in this vintage bin were built after 1984 (more than 53% ) and the CA energy code did not  noticeably changed between 1984 to 1992) 
Also "Heat Capacity" for external wall is considered between 10.0 to 14.99 (BTU/F/ft2) 
Package A  was selected for the thermal properties</t>
  </si>
  <si>
    <t>Construction rate (Dodge 2023 data for new small offices)</t>
  </si>
  <si>
    <t>2001 is  the representative year for the 1998-2007 vintage bin</t>
  </si>
  <si>
    <t>2013 is  the representative year for the 2008-2018 vintage bin</t>
  </si>
  <si>
    <t>Small Office</t>
  </si>
  <si>
    <t>Characteristic</t>
  </si>
  <si>
    <t>Value</t>
  </si>
  <si>
    <t>Building Type</t>
  </si>
  <si>
    <t xml:space="preserve">Small Office </t>
  </si>
  <si>
    <t>Building Category</t>
  </si>
  <si>
    <t>Nonresidential</t>
  </si>
  <si>
    <t>Vintages</t>
  </si>
  <si>
    <t>4 Vintages: Pre-1978 , 1978-1997 ,1998-2007 , 2008-2018
New Construction (2019+)</t>
  </si>
  <si>
    <t>Shape</t>
  </si>
  <si>
    <t xml:space="preserve">Rectangular shape is supported by CBECS,  CEC, and PNNL </t>
  </si>
  <si>
    <t>Total Floor Area (ft2)</t>
  </si>
  <si>
    <t>5500 (90.8 ft x 60.5ft)</t>
  </si>
  <si>
    <t>Supported by Dodge 2023 data (Same as CEC and PNNL)</t>
  </si>
  <si>
    <t>Aspect Ratio</t>
  </si>
  <si>
    <t>Same as CEC and PNNL</t>
  </si>
  <si>
    <t>Number of Floors</t>
  </si>
  <si>
    <t>Supported by Dodge 2023 data -(Same as CEC and PNNL)
DEER considered two floors</t>
  </si>
  <si>
    <t>Roof type</t>
  </si>
  <si>
    <t>WWR</t>
  </si>
  <si>
    <t xml:space="preserve">24.4% for South and 19.8% for the other three orientations
</t>
  </si>
  <si>
    <t>CEC: overall 21.2% same as PNNL 
DEER: 33% in all directions
CBECS: 2-25%</t>
  </si>
  <si>
    <t>Window dimensions</t>
  </si>
  <si>
    <t>6.0 ft x 5.0 ft punch windows for all façades</t>
  </si>
  <si>
    <t>Shading Geometry</t>
  </si>
  <si>
    <t xml:space="preserve">No Shades </t>
  </si>
  <si>
    <t>Floor to floor height (feet)</t>
  </si>
  <si>
    <t>Floor to ceiling height (feet)</t>
  </si>
  <si>
    <t>Glazing sill height (feet)</t>
  </si>
  <si>
    <t>3 
(top of the window is 8 ft high with 5 ft high glass)</t>
  </si>
  <si>
    <t>Proposed OfficeSmall</t>
  </si>
  <si>
    <t>Zone</t>
  </si>
  <si>
    <t>Area Fraction</t>
  </si>
  <si>
    <t>Dimension (ft)</t>
  </si>
  <si>
    <t>Conditioned [Y/N]</t>
  </si>
  <si>
    <t>Volume
 [ft³]</t>
  </si>
  <si>
    <t>Multipliers</t>
  </si>
  <si>
    <t>Open_Office_N</t>
  </si>
  <si>
    <t>Yes</t>
  </si>
  <si>
    <t>Closed_Office_W</t>
  </si>
  <si>
    <t>Closed_Office_E</t>
  </si>
  <si>
    <t>Conference</t>
  </si>
  <si>
    <t>Lobby + Lounge</t>
  </si>
  <si>
    <t>Storage</t>
  </si>
  <si>
    <t>Mechanical/Electrical</t>
  </si>
  <si>
    <t>-</t>
  </si>
  <si>
    <t>Restroom</t>
  </si>
  <si>
    <t>Break/Copy Room</t>
  </si>
  <si>
    <t>Corridor</t>
  </si>
  <si>
    <t>Attic</t>
  </si>
  <si>
    <t>No</t>
  </si>
  <si>
    <r>
      <t>Ref:</t>
    </r>
    <r>
      <rPr>
        <sz val="10"/>
        <color theme="1"/>
        <rFont val="Arial"/>
        <family val="2"/>
      </rPr>
      <t xml:space="preserve"> Geometry and zones: ORNL 2019 small office prototype with modification</t>
    </r>
  </si>
  <si>
    <t>https://web.eecs.utk.edu/~jnew1/publications/2019_IBPSA_OpenStudioOffice.pdf</t>
  </si>
  <si>
    <t>https://web.eecs.utk.edu/~jnew1/presentations/2019_IBPSA_OpenStudioOffice.pdf</t>
  </si>
  <si>
    <t>Background Data [To be deleted prior to publication]</t>
  </si>
  <si>
    <t xml:space="preserve">Review zones of Existing Small Office Prototype </t>
  </si>
  <si>
    <t>PNNL</t>
  </si>
  <si>
    <t>CEC</t>
  </si>
  <si>
    <t>DEER</t>
  </si>
  <si>
    <t>Number of  Zones</t>
  </si>
  <si>
    <t>Total</t>
  </si>
  <si>
    <t>5 conditioned 
(1 core, 4 perm,  
 1 attic)</t>
  </si>
  <si>
    <t>20 (10 per floor: 5 conditioned zones and 5 plenum unconditioned zones)</t>
  </si>
  <si>
    <t>Floor area of spaces  
(ft2)</t>
  </si>
  <si>
    <t xml:space="preserve">Core </t>
  </si>
  <si>
    <t>Perimeter 1 N/S</t>
  </si>
  <si>
    <t>Perimeter 2 E/W</t>
  </si>
  <si>
    <t xml:space="preserve">Conditioned area per floor </t>
  </si>
  <si>
    <t>Total conditioned area</t>
  </si>
  <si>
    <t>Floor area of spaces 
 (m2)</t>
  </si>
  <si>
    <t>Envelope - OfficeSmall</t>
  </si>
  <si>
    <t>Element</t>
  </si>
  <si>
    <t xml:space="preserve"> Assembly Type</t>
  </si>
  <si>
    <t>Construction</t>
  </si>
  <si>
    <t>Unit</t>
  </si>
  <si>
    <t>Vintage</t>
  </si>
  <si>
    <t>Selected T24</t>
  </si>
  <si>
    <t>Note</t>
  </si>
  <si>
    <t>CZ1</t>
  </si>
  <si>
    <t>CZ2</t>
  </si>
  <si>
    <t>CZ3</t>
  </si>
  <si>
    <t>CZ4</t>
  </si>
  <si>
    <t>CZ5</t>
  </si>
  <si>
    <t>CZ6</t>
  </si>
  <si>
    <t>CZ7</t>
  </si>
  <si>
    <t>CZ8</t>
  </si>
  <si>
    <t>CZ9</t>
  </si>
  <si>
    <t>CZ10</t>
  </si>
  <si>
    <t>CZ11</t>
  </si>
  <si>
    <t>CZ12</t>
  </si>
  <si>
    <t>CZ13</t>
  </si>
  <si>
    <t>CZ14</t>
  </si>
  <si>
    <t>CZ15</t>
  </si>
  <si>
    <t>CZ16</t>
  </si>
  <si>
    <t xml:space="preserve">External Wall </t>
  </si>
  <si>
    <t xml:space="preserve">OfficeSmall </t>
  </si>
  <si>
    <t>Wood-frame walls</t>
  </si>
  <si>
    <t>Wood-frame walls + insulation + Gypsum board</t>
  </si>
  <si>
    <t>U-value IP</t>
  </si>
  <si>
    <t>Pre 1978</t>
  </si>
  <si>
    <t>N/A</t>
  </si>
  <si>
    <t>ASHRAE 90.1 Table A3.4.3.1, 3.5", R-0</t>
  </si>
  <si>
    <t>1978-1997</t>
  </si>
  <si>
    <t xml:space="preserve">Package A/ Heat Capacity was considered 10.0-14.99 (BTU/F/ft2) </t>
  </si>
  <si>
    <t>1998-2007</t>
  </si>
  <si>
    <t>2008-2018</t>
  </si>
  <si>
    <t>2019+</t>
  </si>
  <si>
    <t>Roof</t>
  </si>
  <si>
    <t>OfficeSmall</t>
  </si>
  <si>
    <t>Wood-framed</t>
  </si>
  <si>
    <t>Considering 30 years for roof/ insulation replacement.</t>
  </si>
  <si>
    <t>Windows</t>
  </si>
  <si>
    <t>Fixed windows</t>
  </si>
  <si>
    <t xml:space="preserve">CBECS 2018 shows that ~53% of small offices that were built before 2000 are single pane </t>
  </si>
  <si>
    <t>ASHRAE Handbook of Fundamentals</t>
  </si>
  <si>
    <t>Requirement only for WWR</t>
  </si>
  <si>
    <t>Double pane</t>
  </si>
  <si>
    <t>SHGC</t>
  </si>
  <si>
    <t>WWR:20-30 / SHGC north</t>
  </si>
  <si>
    <t>WWR:20-30 / SHGC non-north</t>
  </si>
  <si>
    <t>Infiltration</t>
  </si>
  <si>
    <t>PNNL prototype assumption</t>
  </si>
  <si>
    <t>1.0 cfm/ft2 @ 75 Pa whole building</t>
  </si>
  <si>
    <t>Title 24, 2013/140.3(9)(c)</t>
  </si>
  <si>
    <t>0.4 cfm/ft2 @ 75 Pa whole building</t>
  </si>
  <si>
    <t>Title 24, 2025/140.3(9)(c)</t>
  </si>
  <si>
    <t>Title 24, 1984/Table 2-53J</t>
  </si>
  <si>
    <t>0.5 cfm/ft for sash crack of windows, 0.5 cfm/ft2 of door area for single door or 0.1 cfm/ft2 of door area for double door</t>
  </si>
  <si>
    <t>Title 24, 2001/116(a)1</t>
  </si>
  <si>
    <t>0.3 cfm/ft2 of window area / 0.3 cfm/ft2 of door area for nonresidential single doors (swinging and  sliding), and 1.0 cfm/ft2 for nonresidential double doors (swinging),</t>
  </si>
  <si>
    <t>Title 24,  2013/110.6(a)1 and 140.3(9)(c)</t>
  </si>
  <si>
    <t>0.3 cfm/ft2 of window area / 0.3 cfm/ft2 of door area for nonresidential single doors (swinging and  sliding), and 1.0 cfm/ft2 for nonresidential double doors (swinging), 0.4 cfm/ft2 @ 75 Pa whole building</t>
  </si>
  <si>
    <t>Title24, 2025/Section 110.6(a)1 and 140.3(9)©</t>
  </si>
  <si>
    <t>Dodge 2023 Construction data</t>
  </si>
  <si>
    <t>Dodge 2023 data for new small offices</t>
  </si>
  <si>
    <t>vintage 1978-19997</t>
  </si>
  <si>
    <t>Year</t>
  </si>
  <si>
    <t>Small Office area</t>
  </si>
  <si>
    <t>Construction rate</t>
  </si>
  <si>
    <t>Total Constructed floor area</t>
  </si>
  <si>
    <t>Exterior wall Type</t>
  </si>
  <si>
    <t>Steel Framed</t>
  </si>
  <si>
    <t>Wood Framed</t>
  </si>
  <si>
    <t>Mass</t>
  </si>
  <si>
    <t>Considering 1/3 for each category and having wood frame tilted roof, it's been decided to consider wood framed wall.</t>
  </si>
  <si>
    <t>HVAC system - OfficeSmall</t>
  </si>
  <si>
    <t xml:space="preserve">Heating </t>
  </si>
  <si>
    <t>Cooling</t>
  </si>
  <si>
    <t>Air Distribution</t>
  </si>
  <si>
    <t>Source</t>
  </si>
  <si>
    <t xml:space="preserve">Existing  </t>
  </si>
  <si>
    <t xml:space="preserve">Furnace (Gas) </t>
  </si>
  <si>
    <t>Packaged (DX)</t>
  </si>
  <si>
    <t>Single Duct Constant Air Volume</t>
  </si>
  <si>
    <t>CEUS 2022</t>
  </si>
  <si>
    <t>New Construction</t>
  </si>
  <si>
    <t>Packaged SZ HP</t>
  </si>
  <si>
    <t xml:space="preserve">Packaged SZ HP </t>
  </si>
  <si>
    <t>T24 2025</t>
  </si>
  <si>
    <r>
      <rPr>
        <b/>
        <sz val="10"/>
        <color theme="1"/>
        <rFont val="Arial"/>
        <family val="2"/>
      </rPr>
      <t xml:space="preserve">Ref: </t>
    </r>
    <r>
      <rPr>
        <sz val="10"/>
        <color theme="1"/>
        <rFont val="Arial"/>
        <family val="2"/>
      </rPr>
      <t>CEUS 2022 report and spreadsheets</t>
    </r>
  </si>
  <si>
    <t>Efficiency of HVAC system</t>
  </si>
  <si>
    <t>Upgrade year</t>
  </si>
  <si>
    <t>Efficiency 80%</t>
  </si>
  <si>
    <t>EER=9.0</t>
  </si>
  <si>
    <t>COP=3 / Efficiency 80%</t>
  </si>
  <si>
    <t>CFR Energy 2010:Title 10- Table 9</t>
  </si>
  <si>
    <t>COP=3.3 / Efficiency 80%</t>
  </si>
  <si>
    <t>SEER=13.4</t>
  </si>
  <si>
    <t xml:space="preserve">CFR Energy 2024:Title 10- Table 19 - § 431.97 </t>
  </si>
  <si>
    <r>
      <t>Ref:</t>
    </r>
    <r>
      <rPr>
        <sz val="10"/>
        <color theme="1"/>
        <rFont val="Arial"/>
        <family val="2"/>
      </rPr>
      <t xml:space="preserve"> </t>
    </r>
  </si>
  <si>
    <t>EER 2010</t>
  </si>
  <si>
    <t>FR-2009-03-23.pdf</t>
  </si>
  <si>
    <t>Page 12074</t>
  </si>
  <si>
    <t>Efficiency 2024 and beyond</t>
  </si>
  <si>
    <t xml:space="preserve"> § 431.77</t>
  </si>
  <si>
    <t>https://www.ecfr.gov/current/title-10/chapter-II/subchapter-D/part-431/subpart-D</t>
  </si>
  <si>
    <t xml:space="preserve">EER 2025 </t>
  </si>
  <si>
    <t xml:space="preserve"> § 431.97</t>
  </si>
  <si>
    <t>https://www.ecfr.gov/current/title-10/chapter-II/subchapter-D/part-431/subpart-F/subject-group-ECFR2640f6ad978e4e6/section-431.97</t>
  </si>
  <si>
    <t>https://www.govinfo.gov/content/pkg/CFR-2024-title10-vol3/pdf/CFR-2024-title10-vol3-part431-subpartF.pdf</t>
  </si>
  <si>
    <t>Fan power</t>
  </si>
  <si>
    <t>W/cfm</t>
  </si>
  <si>
    <t>Data Source</t>
  </si>
  <si>
    <t xml:space="preserve">Fan power </t>
  </si>
  <si>
    <t>0.56 W/cfm</t>
  </si>
  <si>
    <t>Title 24</t>
  </si>
  <si>
    <t>TBD at zone level</t>
  </si>
  <si>
    <t>The total fan power index at design conditions of each fan system with total horsepower over 25 hp shall not exceed 0.8 watts per cfm of supply air.</t>
  </si>
  <si>
    <t>https://www.pnnl.gov/main/publications/external/technical_reports/PNNL-20405.pdf</t>
  </si>
  <si>
    <t xml:space="preserve"> Exhaust fan rate (cfm/unit)</t>
  </si>
  <si>
    <t>25/50</t>
  </si>
  <si>
    <t>Reference for Efficiency</t>
  </si>
  <si>
    <t>FCZ12</t>
  </si>
  <si>
    <t>10CFR 2024</t>
  </si>
  <si>
    <t>CFR 2025 (not for Hp which is New construction)</t>
  </si>
  <si>
    <t>74 FR 12058 : 2009</t>
  </si>
  <si>
    <t>ASHRAE 2010 : SEER 13</t>
  </si>
  <si>
    <t>Referenced Ventilation</t>
  </si>
  <si>
    <t>Discussion behind HVAC system selection</t>
  </si>
  <si>
    <t xml:space="preserve">CEUS 2022 data </t>
  </si>
  <si>
    <t>Heating</t>
  </si>
  <si>
    <t>% of total impacted  floor area</t>
  </si>
  <si>
    <t>Dominated system</t>
  </si>
  <si>
    <t>Package System / Heat Pump</t>
  </si>
  <si>
    <t xml:space="preserve">Single Duct Constant Air Volume  in all vintage </t>
  </si>
  <si>
    <t>% of  impacted floor area covered by the dominant system</t>
  </si>
  <si>
    <t>Fuel and Share</t>
  </si>
  <si>
    <t>43.4% Electric and 55.5% Gas</t>
  </si>
  <si>
    <t>99.9% by Electric</t>
  </si>
  <si>
    <t>2% degradation for HVAC system per year</t>
  </si>
  <si>
    <r>
      <t xml:space="preserve"> A study measured losses of a median of </t>
    </r>
    <r>
      <rPr>
        <sz val="10"/>
        <color rgb="FFFF0000"/>
        <rFont val="Arial"/>
        <family val="2"/>
      </rPr>
      <t>1.2 W/m2</t>
    </r>
    <r>
      <rPr>
        <sz val="10"/>
        <color theme="1"/>
        <rFont val="Arial"/>
        <family val="2"/>
      </rPr>
      <t xml:space="preserve"> (of gross floor area) from the distribution piping in 7 large commercial buildings </t>
    </r>
  </si>
  <si>
    <t>Ref: P. Raftery, D. Vernon, R. Singla, M. Nakajima, Measured Space Heating Hot Water Distribution Losses in Large Commercial Buildings, ASHRAE Transactions 129 (1) (2023) 8.</t>
  </si>
  <si>
    <t>Systems operate far more frequently than expected − 81% of hours annually for the median building. Loads are lower and more skewed than expected, and oversizing is common even accounting for redundancy requirements.</t>
  </si>
  <si>
    <t>Notably, equipment sized to 30% of the maximum measured load could serve up 84% of the total heating energy consumption for the median building.</t>
  </si>
  <si>
    <t>boilers operate less efficiently than expected</t>
  </si>
  <si>
    <r>
      <t>Ref: Raftery, Paul, et al. "Insights from hydronic heating systems in 259 commercial buildings." </t>
    </r>
    <r>
      <rPr>
        <i/>
        <sz val="10"/>
        <color theme="7" tint="-0.499984740745262"/>
        <rFont val="Arial"/>
        <family val="2"/>
      </rPr>
      <t>Energy and Buildings</t>
    </r>
    <r>
      <rPr>
        <sz val="10"/>
        <color theme="7" tint="-0.499984740745262"/>
        <rFont val="Arial"/>
        <family val="2"/>
      </rPr>
      <t> 321 (2024): 114543.</t>
    </r>
  </si>
  <si>
    <t>file:///N:/Prj_SUS/2023/S23668%20SCE%20CA%20Prototypes%20Development/Technical/Database/Papers/Insights%20from%20hydronic%20heating%20systems%20in%20259%20commercial%20buildings/Insights%20from%20hydronic%20heating%20systems%20in%20259%20commercial%20buildings.pdf</t>
  </si>
  <si>
    <t>Discussion behind efficiency reference selection</t>
  </si>
  <si>
    <r>
      <t xml:space="preserve">For  pre-1978: </t>
    </r>
    <r>
      <rPr>
        <sz val="10"/>
        <color rgb="FF2F5597"/>
        <rFont val="Arial"/>
        <family val="2"/>
      </rPr>
      <t>T24, Part 6, version 2008</t>
    </r>
  </si>
  <si>
    <t xml:space="preserve">According to the Comstock dataset, over 50% of small offices that were constructed before 1978, replaced their system between 2003 and 2011 with the following distribution. I think 2008 is a good decision since over 60% of HVAC got replace after 2007.  </t>
  </si>
  <si>
    <t>Comstock dataset 2023: Floor area distribution of small offices built pre-1978 and updated HVAC in year …</t>
  </si>
  <si>
    <t>2014-15</t>
  </si>
  <si>
    <t xml:space="preserve">% of floor area </t>
  </si>
  <si>
    <r>
      <t>For 1978-1997</t>
    </r>
    <r>
      <rPr>
        <sz val="10"/>
        <color theme="1"/>
        <rFont val="Arial"/>
        <family val="2"/>
      </rPr>
      <t xml:space="preserve">: </t>
    </r>
    <r>
      <rPr>
        <sz val="10"/>
        <color rgb="FF2F5597"/>
        <rFont val="Arial"/>
        <family val="2"/>
      </rPr>
      <t>T24, Part 6, version 2008</t>
    </r>
  </si>
  <si>
    <t xml:space="preserve">Comstock shows that over 50% of these small offices have their HVAC system align with regulations passed between 2003 and 2011 with the following distribution. Although those buildings constructed between 1992 and1997, mainly updated their HVAC align with DEER 2011 code cycle (around T24 2010), most of the buildings in this vintage were bulti before 1992 and mainly upgraded their HVAC before 2011. </t>
  </si>
  <si>
    <t>Floor area distribution of small offices built 1978-1997 and their last HVAC align with code …</t>
  </si>
  <si>
    <t xml:space="preserve">Besides, Comstock shows that small offices in this vintage has an average HVAC replacement tie of 20 years .  </t>
  </si>
  <si>
    <t xml:space="preserve">However, if we consider 15 years for the average HVAC life cycle and consider year 1984 as a reference year (most of small offices in this vintage were constructed between 1978-1989 , and 1984 is almost in the middle of that), we will have T24, version 2013 as the reference code for efficiency selection.  1984+15+15=2014 which is close to Title 24 , 2013. </t>
  </si>
  <si>
    <t>There is no code between 2001 and 2005. Comstock show that about 70% of these HVAC haven’t been replaced. Those updated their HVAC, update that in an average 14 years mainly around 2015-2017)</t>
  </si>
  <si>
    <r>
      <rPr>
        <b/>
        <sz val="10"/>
        <color theme="1"/>
        <rFont val="Arial"/>
        <family val="2"/>
      </rPr>
      <t>For 2008-2018:</t>
    </r>
    <r>
      <rPr>
        <sz val="10"/>
        <color theme="1"/>
        <rFont val="Arial"/>
        <family val="2"/>
      </rPr>
      <t xml:space="preserve"> 2010!</t>
    </r>
  </si>
  <si>
    <t>According to Dodge 2023, over 68% of these  small office are between 2008 and 2013.</t>
  </si>
  <si>
    <t>CEUS 2022 Data : Air Distribution</t>
  </si>
  <si>
    <t>Air Distribution system (Small Office)</t>
  </si>
  <si>
    <t>% of Single Duct Constant Volume system within each vintage</t>
  </si>
  <si>
    <t>CZ</t>
  </si>
  <si>
    <t xml:space="preserve">Total Floorspace </t>
  </si>
  <si>
    <t>Total Floorspace or Sites Ventilated</t>
  </si>
  <si>
    <t>% of Total Floorspace or Sites Ventilated</t>
  </si>
  <si>
    <t>Fan Coil / Unit Ventilator</t>
  </si>
  <si>
    <t>%</t>
  </si>
  <si>
    <t>Pre-1978</t>
  </si>
  <si>
    <t>: 88% of  the samples in pre-1978 vintage bin have single duct air distribution system</t>
  </si>
  <si>
    <t>Not Available</t>
  </si>
  <si>
    <t>CEUS 2022 Data : Cooling</t>
  </si>
  <si>
    <t>Share</t>
  </si>
  <si>
    <t>Forecast Zone</t>
  </si>
  <si>
    <t>Building-type</t>
  </si>
  <si>
    <t xml:space="preserve">End Use Saturation </t>
  </si>
  <si>
    <t>Electric Fuel Share</t>
  </si>
  <si>
    <t>Saturation (Electric)</t>
  </si>
  <si>
    <t>Saturation (Gas)</t>
  </si>
  <si>
    <t>Saturation
(Other Fuels)</t>
  </si>
  <si>
    <t>% of Total Floorspace or Sites Cooled</t>
  </si>
  <si>
    <t>Split-System / Heat Pump</t>
  </si>
  <si>
    <t>Central Plant (Chiller)</t>
  </si>
  <si>
    <t>Ductless Mini-Split Heat Pump</t>
  </si>
  <si>
    <t>Room Cooling</t>
  </si>
  <si>
    <t>Swamp/ Evaporative Cooler</t>
  </si>
  <si>
    <t>Unknown</t>
  </si>
  <si>
    <t>None</t>
  </si>
  <si>
    <t>Statewide</t>
  </si>
  <si>
    <t>Office, Small</t>
  </si>
  <si>
    <t>FCZ1</t>
  </si>
  <si>
    <t>FCZ2</t>
  </si>
  <si>
    <t>FCZ3</t>
  </si>
  <si>
    <t>FCZ4</t>
  </si>
  <si>
    <t>FCZ5</t>
  </si>
  <si>
    <t>FCZ6</t>
  </si>
  <si>
    <t>FCZ7</t>
  </si>
  <si>
    <t>FCZ8</t>
  </si>
  <si>
    <t>FCZ9</t>
  </si>
  <si>
    <t>FCZ10</t>
  </si>
  <si>
    <t>FCZ11</t>
  </si>
  <si>
    <t>FCZ12c</t>
  </si>
  <si>
    <t>FCZ12i</t>
  </si>
  <si>
    <t>FCZ13</t>
  </si>
  <si>
    <t>FCZ16</t>
  </si>
  <si>
    <t>FCZ17</t>
  </si>
  <si>
    <t>Re: CEUS 2022 reports and spreadsheet</t>
  </si>
  <si>
    <t>CEUS 2022 Data : Heating</t>
  </si>
  <si>
    <t>Fuel share</t>
  </si>
  <si>
    <t>No. of zones with</t>
  </si>
  <si>
    <t>Directly from CEUS 2022</t>
  </si>
  <si>
    <t>Elec</t>
  </si>
  <si>
    <t>Gas</t>
  </si>
  <si>
    <t>End Use</t>
  </si>
  <si>
    <t>Gas Fuel Share</t>
  </si>
  <si>
    <t>Other Fuel Share</t>
  </si>
  <si>
    <t xml:space="preserve">Small Office
Heating System </t>
  </si>
  <si>
    <t>Only Conversion factors</t>
  </si>
  <si>
    <t>Multiplied by  Floor area at FZ level</t>
  </si>
  <si>
    <t>Converting the FZ data to the CZ level by applying total small office floor area in each FZ</t>
  </si>
  <si>
    <t>FZ0</t>
  </si>
  <si>
    <t>FCZ14</t>
  </si>
  <si>
    <t>FCZ15</t>
  </si>
  <si>
    <t>FCZ18</t>
  </si>
  <si>
    <t>FCZ19</t>
  </si>
  <si>
    <t>FCZ20</t>
  </si>
  <si>
    <t>Sum</t>
  </si>
  <si>
    <t>Saturation (Elec) at CZ</t>
  </si>
  <si>
    <t>Outdoor Airflow Rate - OfficeSmall</t>
  </si>
  <si>
    <t>cfm/person</t>
  </si>
  <si>
    <t>cfm/ft2</t>
  </si>
  <si>
    <t>cfm</t>
  </si>
  <si>
    <t xml:space="preserve"> T24, 2025, Equation 120.1-F and Table 120.1-A</t>
  </si>
  <si>
    <t>CEUS 2022 Data shows that about 50% of the unconditioned floor area belongs to the first vintage bin (Pre-1978)</t>
  </si>
  <si>
    <t>Ref: CEUS 2022</t>
  </si>
  <si>
    <t>Ventilated</t>
  </si>
  <si>
    <t>Ventilated Only</t>
  </si>
  <si>
    <r>
      <t xml:space="preserve">Conditioned  - </t>
    </r>
    <r>
      <rPr>
        <sz val="10"/>
        <color theme="1"/>
        <rFont val="Arial"/>
        <family val="2"/>
      </rPr>
      <t xml:space="preserve"> Floorspace that is heated and/or cooled</t>
    </r>
  </si>
  <si>
    <t>Statewide/  Utility/ FCZ</t>
  </si>
  <si>
    <t>K SqFt</t>
  </si>
  <si>
    <t>% of Tot. Comm. Floorspace</t>
  </si>
  <si>
    <r>
      <t xml:space="preserve">Unconditioned  -  </t>
    </r>
    <r>
      <rPr>
        <sz val="10"/>
        <color theme="1"/>
        <rFont val="Arial"/>
        <family val="2"/>
      </rPr>
      <t xml:space="preserve">Floorspace that is not heated and/or cooled </t>
    </r>
  </si>
  <si>
    <r>
      <t xml:space="preserve">Ventilated  -  </t>
    </r>
    <r>
      <rPr>
        <sz val="10"/>
        <color theme="1"/>
        <rFont val="Arial"/>
        <family val="2"/>
      </rPr>
      <t>Total floorspace that is Conditioned (heated and/or cooled), plus unconditioned spaces that are Ventilated</t>
    </r>
  </si>
  <si>
    <t>FCZ01 Tot</t>
  </si>
  <si>
    <r>
      <t xml:space="preserve">Ventilated Only  - </t>
    </r>
    <r>
      <rPr>
        <sz val="10"/>
        <color theme="1"/>
        <rFont val="Arial"/>
        <family val="2"/>
      </rPr>
      <t xml:space="preserve"> Unconditioned floorspace that is ventilated</t>
    </r>
  </si>
  <si>
    <t>FCZ02 Tot</t>
  </si>
  <si>
    <r>
      <t xml:space="preserve">Refrigerated  -  </t>
    </r>
    <r>
      <rPr>
        <sz val="10"/>
        <color theme="1"/>
        <rFont val="Arial"/>
        <family val="2"/>
      </rPr>
      <t>Floorspace occupied by built-in commercial grade refrigerators (including walk-ins)</t>
    </r>
  </si>
  <si>
    <t>FCZ03 Tot</t>
  </si>
  <si>
    <r>
      <t xml:space="preserve">Frozen  -  </t>
    </r>
    <r>
      <rPr>
        <sz val="10"/>
        <color theme="1"/>
        <rFont val="Arial"/>
        <family val="2"/>
      </rPr>
      <t>Floorspace that is occupied by built-in commercial grade freezers (including walk-ins)</t>
    </r>
  </si>
  <si>
    <t>FCZ04 Tot</t>
  </si>
  <si>
    <r>
      <t xml:space="preserve">Refrigerated &amp; Frozen Combined  -  </t>
    </r>
    <r>
      <rPr>
        <sz val="10"/>
        <color theme="1"/>
        <rFont val="Arial"/>
        <family val="2"/>
      </rPr>
      <t>Refrigerated and/or Frozen floorspace</t>
    </r>
  </si>
  <si>
    <t>FCZ05 Tot</t>
  </si>
  <si>
    <t>FCZ06 Tot</t>
  </si>
  <si>
    <t>FCZ07 Tot</t>
  </si>
  <si>
    <t>FCZ08 Tot</t>
  </si>
  <si>
    <t>FCZ09 Tot</t>
  </si>
  <si>
    <t>FCZ10 Tot</t>
  </si>
  <si>
    <t>FCZ11 Tot</t>
  </si>
  <si>
    <t>FCZ12c Tot</t>
  </si>
  <si>
    <t>FCZ12i Tot</t>
  </si>
  <si>
    <t>FCZ13 Tot</t>
  </si>
  <si>
    <t>FCZ16 Tot</t>
  </si>
  <si>
    <t>FCZ17 Tot</t>
  </si>
  <si>
    <t>Ventilated (k SqFt)</t>
  </si>
  <si>
    <t>Ventilated-Only (k SqFt)</t>
  </si>
  <si>
    <t>Calculation Method</t>
  </si>
  <si>
    <t>0%</t>
  </si>
  <si>
    <t>0%&lt; X &lt;10%</t>
  </si>
  <si>
    <t>10%&lt;= X &lt;20%</t>
  </si>
  <si>
    <t>20%&lt;= X &lt;30%</t>
  </si>
  <si>
    <t>30%&lt;= X &lt;40%</t>
  </si>
  <si>
    <t>40%&lt;= X &lt;50%</t>
  </si>
  <si>
    <t>50%&lt;= X &lt;60%</t>
  </si>
  <si>
    <t>60%&lt;= X &lt;70%</t>
  </si>
  <si>
    <t>70%&lt;= X &lt;80%</t>
  </si>
  <si>
    <t>80%&lt;= X &lt;90%</t>
  </si>
  <si>
    <t>90%&lt;= X &lt;100%</t>
  </si>
  <si>
    <t>100%</t>
  </si>
  <si>
    <t>←   % Floorspace Conditioned</t>
  </si>
  <si>
    <t>Floorspace %</t>
  </si>
  <si>
    <t>Floorspace   (k SqFt)</t>
  </si>
  <si>
    <t>Water Heater - OfficeSmall</t>
  </si>
  <si>
    <t>Fuel type</t>
  </si>
  <si>
    <t>Burner Efficiency</t>
  </si>
  <si>
    <t>Tank Volume</t>
  </si>
  <si>
    <t>Tank Loss</t>
  </si>
  <si>
    <t>TBD</t>
  </si>
  <si>
    <t>Water Heater</t>
  </si>
  <si>
    <t xml:space="preserve">Fuel and Share </t>
  </si>
  <si>
    <t>49.9% Electric and 49.1% Gas</t>
  </si>
  <si>
    <t xml:space="preserve">CEUS 2022 Data </t>
  </si>
  <si>
    <t xml:space="preserve"> Fuel Share of Water Heater</t>
  </si>
  <si>
    <t xml:space="preserve">Saturation rate for Water heating fuel type) Ref: CEUS 2018 Appendix K2    </t>
  </si>
  <si>
    <t>Water Heating</t>
  </si>
  <si>
    <t>% Hot Water Available</t>
  </si>
  <si>
    <t>Electric</t>
  </si>
  <si>
    <t>No water heating</t>
  </si>
  <si>
    <t>Other</t>
  </si>
  <si>
    <t>By Floorspace</t>
  </si>
  <si>
    <t>By Numbers</t>
  </si>
  <si>
    <t>End Use Saturation</t>
  </si>
  <si>
    <t>Commercial-Grade Cooking Equipment</t>
  </si>
  <si>
    <t>Planning Area
&amp;
Forecast Zone</t>
  </si>
  <si>
    <t>End Use Saturation or Penetration</t>
  </si>
  <si>
    <t>Commercial Cooking Space</t>
  </si>
  <si>
    <t>Air Compressors</t>
  </si>
  <si>
    <t>NA</t>
  </si>
  <si>
    <t>Commercial-Grade Refrigerators</t>
  </si>
  <si>
    <t>Commercial-Grade Freezers</t>
  </si>
  <si>
    <t>Frozen Floor Space</t>
  </si>
  <si>
    <t>Interior Lighting - OfficeSmall</t>
  </si>
  <si>
    <t>Method</t>
  </si>
  <si>
    <t>Area</t>
  </si>
  <si>
    <t>Lighting density for office area &gt;250 sf
(Watts/ft²)</t>
  </si>
  <si>
    <t>Additional lighting power for portable lighting (Watts/ft²)</t>
  </si>
  <si>
    <t>Technology</t>
  </si>
  <si>
    <t>Notes for the Additional power</t>
  </si>
  <si>
    <t xml:space="preserve">New Construction </t>
  </si>
  <si>
    <t>Whole Building</t>
  </si>
  <si>
    <t xml:space="preserve">Office Building </t>
  </si>
  <si>
    <t xml:space="preserve">LED </t>
  </si>
  <si>
    <t>T24, part 6, 2025, Table 140.6 B</t>
  </si>
  <si>
    <t xml:space="preserve">Area Category </t>
  </si>
  <si>
    <t>Office Area</t>
  </si>
  <si>
    <t>T24, part 6, 2025, Table 140.6 C</t>
  </si>
  <si>
    <t xml:space="preserve">Additional lighting for Floor Display &amp; Task MH  &lt;= 10’6” </t>
  </si>
  <si>
    <t>Conference and Meeting</t>
  </si>
  <si>
    <t>Additional lighting for Decorative</t>
  </si>
  <si>
    <t>Mechanical</t>
  </si>
  <si>
    <t>Additional lighting for Detailed Task Work (extreme close up work)</t>
  </si>
  <si>
    <t>Lobby</t>
  </si>
  <si>
    <t>Copy room</t>
  </si>
  <si>
    <t>Stairwell</t>
  </si>
  <si>
    <t xml:space="preserve">Existing </t>
  </si>
  <si>
    <t>See below</t>
  </si>
  <si>
    <t>T24, part 6, 2013, Table 140.6 B</t>
  </si>
  <si>
    <t>59% LED, 31% halogen, 7% CFL (Comstock 2023)</t>
  </si>
  <si>
    <t>T24, part 6, 2013, Table 140.6 C</t>
  </si>
  <si>
    <t xml:space="preserve">According to CEUS, more than 80% of existing small office upgraded their lighting system between 2014-2018 and it conflicts the lighting generation considered by Comstock. </t>
  </si>
  <si>
    <t xml:space="preserve">OfficeSmall will continue to use the existing CEC interior lighting schedules </t>
  </si>
  <si>
    <t>Ref: Title 24, Part 6- Table 140.6-C (office area &gt;250nSF)</t>
  </si>
  <si>
    <t xml:space="preserve">Title 24, part 6 Code cycle </t>
  </si>
  <si>
    <t>Lighting density for office Buildings: (complete building Method)</t>
  </si>
  <si>
    <t xml:space="preserve"> Lighting density for office area &gt;250 sf Floor area Method</t>
  </si>
  <si>
    <t>Table</t>
  </si>
  <si>
    <t>0.6, 0.2 (additional)</t>
  </si>
  <si>
    <t>Table 140.6 C</t>
  </si>
  <si>
    <t>Table 146-E</t>
  </si>
  <si>
    <t xml:space="preserve">TBD: Review the CASE report on 2016 for lighting </t>
  </si>
  <si>
    <t>T24, part 6 2022</t>
  </si>
  <si>
    <t>file://carcgl.com/amer/NOR/Groups/CodesStds/Standards/California/2022%20Building%20Energy%20Efficiency%20Standards%20for%20Residential%20and%20Nonresidential%20Buildings.pdf</t>
  </si>
  <si>
    <t>Title 24, 2016</t>
  </si>
  <si>
    <t>T24, part 6 2019</t>
  </si>
  <si>
    <t>file://carcgl.com/amer/NOR/Groups/CodesStds/Standards/California/2016-CEC-400-2015-037-CMF.pdf</t>
  </si>
  <si>
    <t>0.75 (1 for office &lt;=250)</t>
  </si>
  <si>
    <t>T24, part 6 2016</t>
  </si>
  <si>
    <t>Review of existing prototype</t>
  </si>
  <si>
    <t>Prototype/Source</t>
  </si>
  <si>
    <t>Downloaded on</t>
  </si>
  <si>
    <t>Light Intensity</t>
  </si>
  <si>
    <t>Total intensity multipliers</t>
  </si>
  <si>
    <t>Total lighting intensity</t>
  </si>
  <si>
    <t>Core/Perims area ratio</t>
  </si>
  <si>
    <t>Working days</t>
  </si>
  <si>
    <t xml:space="preserve">DEER </t>
  </si>
  <si>
    <t>Core</t>
  </si>
  <si>
    <t xml:space="preserve"> W/m2</t>
  </si>
  <si>
    <t>Saturday</t>
  </si>
  <si>
    <t>Perimeter zone</t>
  </si>
  <si>
    <t>Sunday</t>
  </si>
  <si>
    <t>All</t>
  </si>
  <si>
    <t>Holiday</t>
  </si>
  <si>
    <t>CEC (CBECC 2023)</t>
  </si>
  <si>
    <t>Interior lighting Schedules (existing prototypes extracted from the idf files (presented below)</t>
  </si>
  <si>
    <t>Hour</t>
  </si>
  <si>
    <t>CEC-Weekday</t>
  </si>
  <si>
    <t>CEC-Saturday</t>
  </si>
  <si>
    <t>CEC-Sunday</t>
  </si>
  <si>
    <t>DEER- Weekday</t>
  </si>
  <si>
    <t>DEER- Saturday</t>
  </si>
  <si>
    <t>DEER-Otherday</t>
  </si>
  <si>
    <t>PNNL-Weekday</t>
  </si>
  <si>
    <t>PNNL-Saturday</t>
  </si>
  <si>
    <t>PNNL-Otherday</t>
  </si>
  <si>
    <t>Sum of intensity multiplier</t>
  </si>
  <si>
    <t>gen5_led</t>
  </si>
  <si>
    <t>gen2_t8_halogen</t>
  </si>
  <si>
    <t>gen4_led</t>
  </si>
  <si>
    <t>gen3_t5_cfl</t>
  </si>
  <si>
    <t>gen1_t12_incandescent</t>
  </si>
  <si>
    <t>ComStock 2023</t>
  </si>
  <si>
    <t>Lighting Generation</t>
  </si>
  <si>
    <t>lumen per w</t>
  </si>
  <si>
    <t>W/sf</t>
  </si>
  <si>
    <t>Floor area Fraction</t>
  </si>
  <si>
    <t>equivalent W/sf to provide lumen like LED gen 4</t>
  </si>
  <si>
    <t>CEUS 2022 ( Mostly gathered in 2018)</t>
  </si>
  <si>
    <t>% LED</t>
  </si>
  <si>
    <t>&lt;=10%</t>
  </si>
  <si>
    <t>&lt;=20%</t>
  </si>
  <si>
    <t>&lt;=30%</t>
  </si>
  <si>
    <t>&lt;=40%</t>
  </si>
  <si>
    <t>&lt;=50%</t>
  </si>
  <si>
    <t>&lt;=60%</t>
  </si>
  <si>
    <t>&lt;=70%</t>
  </si>
  <si>
    <t>&lt;=80%</t>
  </si>
  <si>
    <t>&lt;=90%</t>
  </si>
  <si>
    <t>&lt;100%</t>
  </si>
  <si>
    <t>Floorspace (statewide)</t>
  </si>
  <si>
    <t>%  Upgraded</t>
  </si>
  <si>
    <t>Before2004</t>
  </si>
  <si>
    <t>2004-2013</t>
  </si>
  <si>
    <t>2014-2018</t>
  </si>
  <si>
    <t>It shows lighting has been upgraded in less than 5 years</t>
  </si>
  <si>
    <t>CBECC 2023</t>
  </si>
  <si>
    <t>Schedule:Day:Interval,</t>
  </si>
  <si>
    <t xml:space="preserve">    OfficeLightsWD,          !- Name</t>
  </si>
  <si>
    <t xml:space="preserve">    OfficeLightsSun,         !- Name</t>
  </si>
  <si>
    <t xml:space="preserve">    OfficeLightsSat,         !- Name</t>
  </si>
  <si>
    <t xml:space="preserve">    Fraction,                !- Schedule Type Limits Name</t>
  </si>
  <si>
    <t xml:space="preserve">    No,                      !- Interpolate to Timestep</t>
  </si>
  <si>
    <t>Full occupancy</t>
  </si>
  <si>
    <t>: 9 hour</t>
  </si>
  <si>
    <t xml:space="preserve">    01:00,                   !- Time 1</t>
  </si>
  <si>
    <t xml:space="preserve">    0.05,                    !- Value Until Time 1</t>
  </si>
  <si>
    <t xml:space="preserve">    02:00,                   !- Time 2</t>
  </si>
  <si>
    <t xml:space="preserve">    0.05,                    !- Value Until Time 2</t>
  </si>
  <si>
    <t xml:space="preserve">    03:00,                   !- Time 3</t>
  </si>
  <si>
    <t xml:space="preserve">    0.05,                    !- Value Until Time 3</t>
  </si>
  <si>
    <t xml:space="preserve">    04:00,                   !- Time 4</t>
  </si>
  <si>
    <t xml:space="preserve">    0.05,                    !- Value Until Time 4</t>
  </si>
  <si>
    <t xml:space="preserve">    05:00,                   !- Time 5</t>
  </si>
  <si>
    <t xml:space="preserve">    0.05,                    !- Value Until Time 5</t>
  </si>
  <si>
    <t xml:space="preserve">    06:00,                   !- Time 6</t>
  </si>
  <si>
    <t xml:space="preserve">    0.1,                     !- Value Until Time 6</t>
  </si>
  <si>
    <t xml:space="preserve">    0.05,                    !- Value Until Time 6</t>
  </si>
  <si>
    <t xml:space="preserve">    07:00,                   !- Time 7</t>
  </si>
  <si>
    <t xml:space="preserve">    0.1,                     !- Value Until Time 7</t>
  </si>
  <si>
    <t xml:space="preserve">    0.05,                    !- Value Until Time 7</t>
  </si>
  <si>
    <t xml:space="preserve">    08:00,                   !- Time 8</t>
  </si>
  <si>
    <t xml:space="preserve">    0.3,                     !- Value Until Time 8</t>
  </si>
  <si>
    <t xml:space="preserve">    0.05,                    !- Value Until Time 8</t>
  </si>
  <si>
    <t xml:space="preserve">    0.1,                     !- Value Until Time 8</t>
  </si>
  <si>
    <t xml:space="preserve">    09:00,                   !- Time 9</t>
  </si>
  <si>
    <t xml:space="preserve">    0.65,                    !- Value Until Time 9</t>
  </si>
  <si>
    <t xml:space="preserve">    0.05,                    !- Value Until Time 9</t>
  </si>
  <si>
    <t xml:space="preserve">    0.3,                     !- Value Until Time 9</t>
  </si>
  <si>
    <t xml:space="preserve">    10:00,                   !- Time 10</t>
  </si>
  <si>
    <t xml:space="preserve">    0.65,                    !- Value Until Time 10</t>
  </si>
  <si>
    <t xml:space="preserve">    0.05,                    !- Value Until Time 10</t>
  </si>
  <si>
    <t xml:space="preserve">    0.3,                     !- Value Until Time 10</t>
  </si>
  <si>
    <t xml:space="preserve">    11:00,                   !- Time 11</t>
  </si>
  <si>
    <t xml:space="preserve">    0.65,                    !- Value Until Time 11</t>
  </si>
  <si>
    <t xml:space="preserve">    0.05,                    !- Value Until Time 11</t>
  </si>
  <si>
    <t xml:space="preserve">    0.3,                     !- Value Until Time 11</t>
  </si>
  <si>
    <t xml:space="preserve">    12:00,                   !- Time 12</t>
  </si>
  <si>
    <t xml:space="preserve">    0.65,                    !- Value Until Time 12</t>
  </si>
  <si>
    <t xml:space="preserve">    0.05,                    !- Value Until Time 12</t>
  </si>
  <si>
    <t xml:space="preserve">    0.3,                     !- Value Until Time 12</t>
  </si>
  <si>
    <t xml:space="preserve">    13:00,                   !- Time 13</t>
  </si>
  <si>
    <t xml:space="preserve">    0.65,                    !- Value Until Time 13</t>
  </si>
  <si>
    <t xml:space="preserve">    0.05,                    !- Value Until Time 13</t>
  </si>
  <si>
    <t xml:space="preserve">    0.15,                    !- Value Until Time 13</t>
  </si>
  <si>
    <t xml:space="preserve">    14:00,                   !- Time 14</t>
  </si>
  <si>
    <t xml:space="preserve">    0.65,                    !- Value Until Time 14</t>
  </si>
  <si>
    <t xml:space="preserve">    0.05,                    !- Value Until Time 14</t>
  </si>
  <si>
    <t xml:space="preserve">    0.15,                    !- Value Until Time 14</t>
  </si>
  <si>
    <t xml:space="preserve">    15:00,                   !- Time 15</t>
  </si>
  <si>
    <t xml:space="preserve">    0.65,                    !- Value Until Time 15</t>
  </si>
  <si>
    <t xml:space="preserve">    0.05,                    !- Value Until Time 15</t>
  </si>
  <si>
    <t xml:space="preserve">    0.15,                    !- Value Until Time 15</t>
  </si>
  <si>
    <t xml:space="preserve">    16:00,                   !- Time 16</t>
  </si>
  <si>
    <t xml:space="preserve">    0.65,                    !- Value Until Time 16</t>
  </si>
  <si>
    <t xml:space="preserve">    0.05,                    !- Value Until Time 16</t>
  </si>
  <si>
    <t xml:space="preserve">    0.15,                    !- Value Until Time 16</t>
  </si>
  <si>
    <t xml:space="preserve">    17:00,                   !- Time 17</t>
  </si>
  <si>
    <t xml:space="preserve">    0.65,                    !- Value Until Time 17</t>
  </si>
  <si>
    <t xml:space="preserve">    0.05,                    !- Value Until Time 17</t>
  </si>
  <si>
    <t xml:space="preserve">    0.15,                    !- Value Until Time 17</t>
  </si>
  <si>
    <t xml:space="preserve">    18:00,                   !- Time 18</t>
  </si>
  <si>
    <t xml:space="preserve">    0.35,                    !- Value Until Time 18</t>
  </si>
  <si>
    <t xml:space="preserve">    0.05,                    !- Value Until Time 18</t>
  </si>
  <si>
    <t xml:space="preserve">    19:00,                   !- Time 19</t>
  </si>
  <si>
    <t xml:space="preserve">    0.3,                     !- Value Until Time 19</t>
  </si>
  <si>
    <t xml:space="preserve">    0.05,                    !- Value Until Time 19</t>
  </si>
  <si>
    <t xml:space="preserve">    20:00,                   !- Time 20</t>
  </si>
  <si>
    <t xml:space="preserve">    0.3,                     !- Value Until Time 20</t>
  </si>
  <si>
    <t xml:space="preserve">    0.05,                    !- Value Until Time 20</t>
  </si>
  <si>
    <t xml:space="preserve">    21:00,                   !- Time 21</t>
  </si>
  <si>
    <t xml:space="preserve">    0.2,                     !- Value Until Time 21</t>
  </si>
  <si>
    <t xml:space="preserve">    0.05,                    !- Value Until Time 21</t>
  </si>
  <si>
    <t xml:space="preserve">    22:00,                   !- Time 22</t>
  </si>
  <si>
    <t xml:space="preserve">    0.2,                     !- Value Until Time 22</t>
  </si>
  <si>
    <t xml:space="preserve">    0.05,                    !- Value Until Time 22</t>
  </si>
  <si>
    <t xml:space="preserve">    23:00,                   !- Time 23</t>
  </si>
  <si>
    <t xml:space="preserve">    0.1,                     !- Value Until Time 23</t>
  </si>
  <si>
    <t xml:space="preserve">    0.05,                    !- Value Until Time 23</t>
  </si>
  <si>
    <t xml:space="preserve">    24:00,                   !- Time 24</t>
  </si>
  <si>
    <t xml:space="preserve">    0.05;                    !- Value Until Time 24</t>
  </si>
  <si>
    <t>PNNL 2022</t>
  </si>
  <si>
    <t xml:space="preserve"> SCHEDULE:COMPACT,</t>
  </si>
  <si>
    <t xml:space="preserve">    ltg_sch_office,          !- Name</t>
  </si>
  <si>
    <t xml:space="preserve">    Through: 12/31,          !- Field 1</t>
  </si>
  <si>
    <t xml:space="preserve">    For: SummerDesignDay,    !- Field 2</t>
  </si>
  <si>
    <t xml:space="preserve">    Until: 24:00,1,          !- Field 3</t>
  </si>
  <si>
    <t xml:space="preserve">    For: WinterDesignDay,    !- Field 5</t>
  </si>
  <si>
    <t xml:space="preserve">    Until: 24:00,0,          !- Field 6</t>
  </si>
  <si>
    <t xml:space="preserve">    For: Weekdays,           !- Field 8</t>
  </si>
  <si>
    <t xml:space="preserve">    Until: 5:00,0.120934906, !- Field 9</t>
  </si>
  <si>
    <t xml:space="preserve">    Until: 7:00,0.1545268315,!- Field 11</t>
  </si>
  <si>
    <t xml:space="preserve">    Until: 8:00,0.2821781355,!- Field 13</t>
  </si>
  <si>
    <t xml:space="preserve">    Until: 12:00,0.6046645945, !- Field 15</t>
  </si>
  <si>
    <t xml:space="preserve">    Until: 13:00,0.5374807435, !- Field 17</t>
  </si>
  <si>
    <t xml:space="preserve">    Until: 17:00,0.6046645945, !- Field 19</t>
  </si>
  <si>
    <t xml:space="preserve">    Until: 18:00,0.4098294395, !- Field 21</t>
  </si>
  <si>
    <t xml:space="preserve">    Until: 20:00,0.2821781355, !- Field 23</t>
  </si>
  <si>
    <t xml:space="preserve">    Until: 22:00,0.2149942845, !- Field 25</t>
  </si>
  <si>
    <t xml:space="preserve">    Until: 23:00,0.1545268315, !- Field 27</t>
  </si>
  <si>
    <t xml:space="preserve">    Until: 24:00,0.120934906,!- Field 29</t>
  </si>
  <si>
    <t xml:space="preserve">    For: Saturday,           !- Field 31</t>
  </si>
  <si>
    <t xml:space="preserve">    Until: 24:00,0.120934906,!- Field 32</t>
  </si>
  <si>
    <t xml:space="preserve">    For: AllOtherDays,       !- Field 34</t>
  </si>
  <si>
    <t xml:space="preserve">    Until: 24:00,0.120934906;!- Field 35</t>
  </si>
  <si>
    <t>DEER 2024 (Old model rebuilt in E+)</t>
  </si>
  <si>
    <t xml:space="preserve"> Schedule:Compact,</t>
  </si>
  <si>
    <t>Schedule:Compact,</t>
  </si>
  <si>
    <t xml:space="preserve">  Schedule:Compact,</t>
  </si>
  <si>
    <t xml:space="preserve">    Hall EL1 Core Spc (G.C5) Lighting Schedule,  !- Name</t>
  </si>
  <si>
    <t xml:space="preserve">    OfficeSmall EL1 North Perim Spc (G.N3) Lighting Schedule,  !- Name</t>
  </si>
  <si>
    <t xml:space="preserve">    OfficeSmall EL1 East Perim Spc (G.E2) Lighting Schedule,  !- Name</t>
  </si>
  <si>
    <t xml:space="preserve">    OfficeSmall EL1 South Perim Spc (G.S1) Lighting Schedule,  !- Name</t>
  </si>
  <si>
    <t xml:space="preserve">    OfficeSmall EL1 West Perim Spc (G.W4) Lighting Schedule,  !- Name</t>
  </si>
  <si>
    <t xml:space="preserve">    Hall EL1 Core Spc (T.C15) Lighting Schedule,  !- Name</t>
  </si>
  <si>
    <t xml:space="preserve">    OfficeSmall EL1 East Perim Spc (T.E12) Lighting Schedule,  !- Name</t>
  </si>
  <si>
    <t xml:space="preserve">    OfficeSmall EL1 North Perim Spc (T.N13) Lighting Schedule,  !- Name</t>
  </si>
  <si>
    <t xml:space="preserve">    OfficeSmall EL1 South Perim Spc (T.S11) Lighting Schedule,  !- Name</t>
  </si>
  <si>
    <t xml:space="preserve">    OfficeSmall EL1 West Perim Spc (T.W14) Lighting Schedule,  !- Name</t>
  </si>
  <si>
    <t xml:space="preserve">    Unit Interval,           !- Schedule Type Limits Name</t>
  </si>
  <si>
    <t xml:space="preserve">    Until: 24:00,1.0,        !- Field 3</t>
  </si>
  <si>
    <t xml:space="preserve">    Until: 24:00,0.0,        !- Field 6</t>
  </si>
  <si>
    <t xml:space="preserve">    Until: 05:00,0.05,       !- Field 9</t>
  </si>
  <si>
    <t xml:space="preserve">    Until: 07:00,0.10,       !- Field 11</t>
  </si>
  <si>
    <t xml:space="preserve">    Until: 08:00,0.30,       !- Field 13</t>
  </si>
  <si>
    <t xml:space="preserve">    Until: 17:00,0.65,       !- Field 15</t>
  </si>
  <si>
    <t xml:space="preserve">    Until: 18:00,0.35,       !- Field 17</t>
  </si>
  <si>
    <t xml:space="preserve">    Until: 20:00,0.30,       !- Field 19</t>
  </si>
  <si>
    <t xml:space="preserve">    Until: 22:00,0.20,       !- Field 21</t>
  </si>
  <si>
    <t xml:space="preserve">    Until: 23:00,0.10,       !- Field 23</t>
  </si>
  <si>
    <t xml:space="preserve">    Until: 24:00,0.05,       !- Field 25</t>
  </si>
  <si>
    <t xml:space="preserve">    For: Saturday,           !- Field 27</t>
  </si>
  <si>
    <t xml:space="preserve">    Until: 06:00,0.05,       !- Field 28</t>
  </si>
  <si>
    <t xml:space="preserve">    Until: 08:00,0.10,       !- Field 30</t>
  </si>
  <si>
    <t xml:space="preserve">    Until: 12:00,0.30,       !- Field 32</t>
  </si>
  <si>
    <t xml:space="preserve">    Until: 17:00,0.15,       !- Field 34</t>
  </si>
  <si>
    <t xml:space="preserve">    Until: 24:00,0.05,       !- Field 36</t>
  </si>
  <si>
    <t xml:space="preserve">    For: AllOtherDays,       !- Field 38</t>
  </si>
  <si>
    <t xml:space="preserve">    Until: 24:00,0.05;       !- Field 39</t>
  </si>
  <si>
    <t>Exterior Lighting - OfficeSmall</t>
  </si>
  <si>
    <t>Non-motion Controlled Luminaires (W)</t>
  </si>
  <si>
    <t>Motion-Controlled Luminaires (W)</t>
  </si>
  <si>
    <t>Total (W)</t>
  </si>
  <si>
    <t>Title 24, 2022</t>
  </si>
  <si>
    <t>Assumptions:</t>
  </si>
  <si>
    <t>LZ2</t>
  </si>
  <si>
    <t>1 entrance for the building</t>
  </si>
  <si>
    <t>1 parking space per 250 sf of gross building area</t>
  </si>
  <si>
    <t xml:space="preserve"> 400 sf for every parking space</t>
  </si>
  <si>
    <t>0.1 SF per sf of gross bldg. area for hardscape ornamental light</t>
  </si>
  <si>
    <t>0.1 watts per sf of wall area</t>
  </si>
  <si>
    <t>0.007 watts per sf of accepted area by hardscape ornamental light</t>
  </si>
  <si>
    <t>15 watts per each entrance</t>
  </si>
  <si>
    <t>0.019 watts per sf of total area (for building area + parking area)</t>
  </si>
  <si>
    <t>200 Watts for Initial Wattage Allowance</t>
  </si>
  <si>
    <t xml:space="preserve">Exterior Lighting </t>
  </si>
  <si>
    <t>Ref: Title 24, Part 6- Table 140.6-C (office area &gt;250 SF)</t>
  </si>
  <si>
    <t>Lighting for parking area</t>
  </si>
  <si>
    <t>Daylight 
Adaptation Zones**</t>
  </si>
  <si>
    <t>**Daylight Adaptation Zones shall be no farther than 66 feet from the entrance to the parking garage</t>
  </si>
  <si>
    <t>Exterior Lighting - OfficeSmall (CEUS 2022 data)</t>
  </si>
  <si>
    <t xml:space="preserve">Exterior Lighting  Saturation </t>
  </si>
  <si>
    <r>
      <rPr>
        <b/>
        <sz val="10"/>
        <color theme="1"/>
        <rFont val="Arial"/>
        <family val="2"/>
      </rPr>
      <t xml:space="preserve">Ref: </t>
    </r>
    <r>
      <rPr>
        <sz val="10"/>
        <color theme="1"/>
        <rFont val="Arial"/>
        <family val="2"/>
      </rPr>
      <t>CEUS 2022 dataset</t>
    </r>
  </si>
  <si>
    <t xml:space="preserve">DEER  OFS Prototype -7/2024 </t>
  </si>
  <si>
    <t>PNNL OfficeSmall 02-2024</t>
  </si>
  <si>
    <t>Exterior Lights W</t>
  </si>
  <si>
    <t xml:space="preserve">Schedule </t>
  </si>
  <si>
    <t>0-6: 0.5</t>
  </si>
  <si>
    <t>0-6:0</t>
  </si>
  <si>
    <t>7-19:1</t>
  </si>
  <si>
    <t>7-24: 1</t>
  </si>
  <si>
    <t>20-24: 0.5</t>
  </si>
  <si>
    <t>HVAC  Operating Hour</t>
  </si>
  <si>
    <t>Period</t>
  </si>
  <si>
    <t>Weekdays Multiplier</t>
  </si>
  <si>
    <t>12:00 am - 6:00 am</t>
  </si>
  <si>
    <t>6:00 am -7:00 am</t>
  </si>
  <si>
    <t>20% capcaity</t>
  </si>
  <si>
    <t>7:00 am - 8:00 am</t>
  </si>
  <si>
    <t>70% Capacity</t>
  </si>
  <si>
    <t xml:space="preserve">8:00 am - 17:00 pm </t>
  </si>
  <si>
    <t>Full capacity</t>
  </si>
  <si>
    <t>17:00 pm - 18:00 pm</t>
  </si>
  <si>
    <t>18:00 pm - 19:00 pm</t>
  </si>
  <si>
    <t>50% capacity</t>
  </si>
  <si>
    <t>19:00 pm - 20:00 pm</t>
  </si>
  <si>
    <t>20:00 pm - 22:00 pm</t>
  </si>
  <si>
    <t>22:00 pm - 12:00 am</t>
  </si>
  <si>
    <t>CEUS 2022 data</t>
  </si>
  <si>
    <t>Total Weighted Average Annual Operating Hours</t>
  </si>
  <si>
    <t>Working day</t>
  </si>
  <si>
    <t xml:space="preserve"> Weighted Average Operating Hours Per Day </t>
  </si>
  <si>
    <t>Weighted average operating hours  per working day (assuming zeo load for weekends)</t>
  </si>
  <si>
    <t>Operating Hours Per Day (in 4-hrs bin) By Planning Area &amp; Forecast Zone</t>
  </si>
  <si>
    <t>0&lt; X &lt;=4</t>
  </si>
  <si>
    <t>4&lt; X &lt;=8</t>
  </si>
  <si>
    <t>8&lt; X &lt;=12</t>
  </si>
  <si>
    <t>12&lt; X &lt;=16</t>
  </si>
  <si>
    <t>16&lt; X &lt;=20</t>
  </si>
  <si>
    <t>20&lt;= X &lt;24</t>
  </si>
  <si>
    <t>24 Hrs/Day</t>
  </si>
  <si>
    <r>
      <rPr>
        <b/>
        <sz val="14"/>
        <color rgb="FF0070C0"/>
        <rFont val="Calibri"/>
        <family val="2"/>
        <scheme val="minor"/>
      </rPr>
      <t xml:space="preserve">←  </t>
    </r>
    <r>
      <rPr>
        <b/>
        <sz val="11"/>
        <color rgb="FF0070C0"/>
        <rFont val="Calibri"/>
        <family val="2"/>
        <scheme val="minor"/>
      </rPr>
      <t xml:space="preserve"> Operating Hours Per Day</t>
    </r>
  </si>
  <si>
    <t>Floorspace-Based</t>
  </si>
  <si>
    <t>Annual Operating Hours By Planning Area &amp; Forecast Zone</t>
  </si>
  <si>
    <t>&lt;=500 Hrs</t>
  </si>
  <si>
    <t>500 &lt; Hrs &lt;=1000</t>
  </si>
  <si>
    <t>1000 &lt; Hrs &lt;=1500</t>
  </si>
  <si>
    <t>1500 &lt; Hrs &lt;=2000</t>
  </si>
  <si>
    <t>2000 &lt; Hrs &lt;=2500</t>
  </si>
  <si>
    <t>2500 &lt; Hrs &lt;=3000</t>
  </si>
  <si>
    <t>3000 &lt; Hrs &lt;=3500</t>
  </si>
  <si>
    <t>3500 &lt; Hrs &lt;=4000</t>
  </si>
  <si>
    <t>4000 &lt; Hrs &lt;=4500</t>
  </si>
  <si>
    <t>4500 &lt; Hrs &lt;=5000</t>
  </si>
  <si>
    <t>5000 &lt; Hrs &lt;=5500</t>
  </si>
  <si>
    <t>5500 &lt; Hrs &lt;=6000</t>
  </si>
  <si>
    <t>6500 &lt; Hrs &lt;=7000</t>
  </si>
  <si>
    <t>7000 &lt; Hrs &lt;=7000</t>
  </si>
  <si>
    <t>7500 &lt; Hrs &lt;=8000</t>
  </si>
  <si>
    <t>8000&lt; Hrs &lt;=8500</t>
  </si>
  <si>
    <t>8001 &lt; Hrs &lt;=8500</t>
  </si>
  <si>
    <t xml:space="preserve"> 8500 &lt; Hrs &lt;8760</t>
  </si>
  <si>
    <t>8760 Hours</t>
  </si>
  <si>
    <t xml:space="preserve">←   Annual Operating Hours </t>
  </si>
  <si>
    <t>Occupnacy Schedules (existing prototypes extracted from the idf files (presented below)</t>
  </si>
  <si>
    <t>m2/person</t>
  </si>
  <si>
    <t>Person/m2: 0.0538195521</t>
  </si>
  <si>
    <t>Person/m2 :0.0538195521</t>
  </si>
  <si>
    <t>PNNL (Core+ 3 Perimeter)</t>
  </si>
  <si>
    <t>PNNL( 1 Perimeter)</t>
  </si>
  <si>
    <t>DEER Normal day</t>
  </si>
  <si>
    <t>DEER Saturday</t>
  </si>
  <si>
    <t>DEER (Other day)</t>
  </si>
  <si>
    <t>CEC Weekday</t>
  </si>
  <si>
    <t>CEC Saturday</t>
  </si>
  <si>
    <t>CEC Sunday</t>
  </si>
  <si>
    <t xml:space="preserve">10 h entirely occupied </t>
  </si>
  <si>
    <t xml:space="preserve">9 h entirely occupied </t>
  </si>
  <si>
    <t>DEERSmall Office idf: 07-2024</t>
  </si>
  <si>
    <t xml:space="preserve">    Hall EL1 Core Spc (G.C5) Occupant Sch,  !- Name</t>
  </si>
  <si>
    <t xml:space="preserve">    OfficeSmall EL1 North Perim Spc (G.N3) Occupant Sch,  !- Name</t>
  </si>
  <si>
    <t xml:space="preserve">    OfficeSmall EL1 East Perim Spc (G.E2) Occupant Sch,  !- Name</t>
  </si>
  <si>
    <t xml:space="preserve">    OfficeSmall EL1 South Perim Spc (G.S1) Occupant Sch,  !- Name</t>
  </si>
  <si>
    <t xml:space="preserve">    OfficeSmall EL1 West Perim Spc (G.W4) Occupant Sch,  !- Name</t>
  </si>
  <si>
    <t xml:space="preserve">    Hall EL1 Core Spc (T.C15) Occupant Sch,  !- Name</t>
  </si>
  <si>
    <t xml:space="preserve">    OfficeSmall EL1 East Perim Spc (T.E12) Occupant Sch,  !- Name</t>
  </si>
  <si>
    <t xml:space="preserve">    OfficeSmall EL1 North Perim Spc (T.N13) Occupant Sch,  !- Name</t>
  </si>
  <si>
    <t xml:space="preserve">    OfficeSmall EL1 South Perim Spc (T.S11) Occupant Sch,  !- Name</t>
  </si>
  <si>
    <t xml:space="preserve">    OfficeSmall EL1 West Perim Spc (T.W14) Occupant Sch,  !- Name</t>
  </si>
  <si>
    <t xml:space="preserve">    Until: 06:00,0.0,        !- Field 9</t>
  </si>
  <si>
    <t xml:space="preserve">    Until: 08:00,0.20,       !- Field 13</t>
  </si>
  <si>
    <t xml:space="preserve">    Until: 12:00,0.95,       !- Field 15</t>
  </si>
  <si>
    <t xml:space="preserve">    Until: 13:00,0.50,       !- Field 17</t>
  </si>
  <si>
    <t xml:space="preserve">    Until: 17:00,0.95,       !- Field 19</t>
  </si>
  <si>
    <t xml:space="preserve">    Until: 18:00,0.30,       !- Field 21</t>
  </si>
  <si>
    <t xml:space="preserve">    Until: 22:00,0.10,       !- Field 23</t>
  </si>
  <si>
    <t xml:space="preserve">    Until: 06:00,0.0,        !- Field 28</t>
  </si>
  <si>
    <t xml:space="preserve">    Until: 17:00,0.10,       !- Field 34</t>
  </si>
  <si>
    <t xml:space="preserve">    Until: 19:00,0.05,       !- Field 36</t>
  </si>
  <si>
    <t xml:space="preserve">    Until: 24:00,0.0,        !- Field 38</t>
  </si>
  <si>
    <t xml:space="preserve">    For: AllOtherDays,       !- Field 40</t>
  </si>
  <si>
    <t xml:space="preserve">    Until: 06:00,0.0,        !- Field 41</t>
  </si>
  <si>
    <t xml:space="preserve">    Until: 18:00,0.05,       !- Field 43</t>
  </si>
  <si>
    <t xml:space="preserve">    Until: 24:00,0.0;        !- Field 45</t>
  </si>
  <si>
    <t>PNNL Small Office</t>
  </si>
  <si>
    <t xml:space="preserve">For only 1 perimeter zone </t>
  </si>
  <si>
    <t xml:space="preserve">    BLDG_OCC_SCH_w_SB,       !- Name</t>
  </si>
  <si>
    <t xml:space="preserve">    BLDG_OCC_SCH_wo_SB,      !- Name</t>
  </si>
  <si>
    <t xml:space="preserve">    For: Weekdays,           !- Field 2</t>
  </si>
  <si>
    <t xml:space="preserve">    Until: 01:00,0,          !- Field 3</t>
  </si>
  <si>
    <t xml:space="preserve">    Until: 02:00,0,          !- Field 5</t>
  </si>
  <si>
    <t xml:space="preserve">    Until: 03:00,0,          !- Field 7</t>
  </si>
  <si>
    <t xml:space="preserve">    Until: 04:00,0,          !- Field 9</t>
  </si>
  <si>
    <t xml:space="preserve">    Until: 05:00,0,          !- Field 11</t>
  </si>
  <si>
    <t xml:space="preserve">    Until: 06:00,0,          !- Field 13</t>
  </si>
  <si>
    <t xml:space="preserve">    Until: 07:00,0.11,       !- Field 15</t>
  </si>
  <si>
    <t xml:space="preserve">    Until: 08:00,0.21,       !- Field 17</t>
  </si>
  <si>
    <t xml:space="preserve">    Until: 09:00,1,          !- Field 19</t>
  </si>
  <si>
    <t xml:space="preserve">    Until: 10:00,1,          !- Field 21</t>
  </si>
  <si>
    <t xml:space="preserve">    Until: 11:00,0,          !- Field 23</t>
  </si>
  <si>
    <t xml:space="preserve">    Until: 11:00,1,          !- Field 23</t>
  </si>
  <si>
    <t xml:space="preserve">    Until: 12:00,1,          !- Field 25</t>
  </si>
  <si>
    <t xml:space="preserve">    Until: 13:00,0,          !- Field 27</t>
  </si>
  <si>
    <t xml:space="preserve">    Until: 13:00,0.610394505402463, !- Field 27</t>
  </si>
  <si>
    <t xml:space="preserve">    Until: 14:00,1,          !- Field 29</t>
  </si>
  <si>
    <t xml:space="preserve">    Until: 15:00,0,          !- Field 31</t>
  </si>
  <si>
    <t xml:space="preserve">    Until: 15:00,1,          !- Field 31</t>
  </si>
  <si>
    <t xml:space="preserve">    Until: 16:00,1,          !- Field 33</t>
  </si>
  <si>
    <t xml:space="preserve">    Until: 17:00,1,          !- Field 35</t>
  </si>
  <si>
    <t xml:space="preserve">    Until: 18:00,0.32,       !- Field 37</t>
  </si>
  <si>
    <t xml:space="preserve">    Until: 19:00,0.11,       !- Field 39</t>
  </si>
  <si>
    <t xml:space="preserve">    Until: 20:00,0.11,       !- Field 41</t>
  </si>
  <si>
    <t xml:space="preserve">    Until: 21:00,0.11,       !- Field 43</t>
  </si>
  <si>
    <t xml:space="preserve">    Until: 22:00,0.11,       !- Field 45</t>
  </si>
  <si>
    <t xml:space="preserve">    Until: 23:00,0.05,       !- Field 47</t>
  </si>
  <si>
    <t xml:space="preserve">    Until: 24:00,0,          !- Field 49</t>
  </si>
  <si>
    <t xml:space="preserve">    For: Weekends,           !- Field 51</t>
  </si>
  <si>
    <t xml:space="preserve">    Until: 01:00,0,          !- Field 52</t>
  </si>
  <si>
    <t xml:space="preserve">    Until: 02:00,0,          !- Field 54</t>
  </si>
  <si>
    <t xml:space="preserve">    Until: 03:00,0,          !- Field 56</t>
  </si>
  <si>
    <t xml:space="preserve">    Until: 04:00,0,          !- Field 58</t>
  </si>
  <si>
    <t xml:space="preserve">    Until: 05:00,0,          !- Field 60</t>
  </si>
  <si>
    <t xml:space="preserve">    Until: 06:00,0,          !- Field 62</t>
  </si>
  <si>
    <t xml:space="preserve">    Until: 07:00,0,          !- Field 64</t>
  </si>
  <si>
    <t xml:space="preserve">    Until: 08:00,0,          !- Field 66</t>
  </si>
  <si>
    <t xml:space="preserve">    Until: 09:00,0,          !- Field 68</t>
  </si>
  <si>
    <t xml:space="preserve">    Until: 10:00,0,          !- Field 70</t>
  </si>
  <si>
    <t xml:space="preserve">    Until: 11:00,0,          !- Field 72</t>
  </si>
  <si>
    <t xml:space="preserve">    Until: 12:00,0,          !- Field 74</t>
  </si>
  <si>
    <t xml:space="preserve">    Until: 13:00,0,          !- Field 76</t>
  </si>
  <si>
    <t xml:space="preserve">    Until: 14:00,0,          !- Field 78</t>
  </si>
  <si>
    <t xml:space="preserve">    Until: 15:00,0,          !- Field 80</t>
  </si>
  <si>
    <t xml:space="preserve">    Until: 16:00,0,          !- Field 82</t>
  </si>
  <si>
    <t xml:space="preserve">    Until: 17:00,0,          !- Field 84</t>
  </si>
  <si>
    <t xml:space="preserve">    Until: 18:00,0,          !- Field 86</t>
  </si>
  <si>
    <t xml:space="preserve">    Until: 19:00,0,          !- Field 88</t>
  </si>
  <si>
    <t xml:space="preserve">    Until: 20:00,0,          !- Field 90</t>
  </si>
  <si>
    <t xml:space="preserve">    Until: 21:00,0,          !- Field 92</t>
  </si>
  <si>
    <t xml:space="preserve">    Until: 22:00,0,          !- Field 94</t>
  </si>
  <si>
    <t>Weekday</t>
  </si>
  <si>
    <t xml:space="preserve">    Until: 23:00,0,          !- Field 96</t>
  </si>
  <si>
    <t xml:space="preserve">Occupancy Load </t>
  </si>
  <si>
    <t>13 hours</t>
  </si>
  <si>
    <t xml:space="preserve">    Until: 24:00,0,          !- Field 98</t>
  </si>
  <si>
    <t xml:space="preserve">    For: Holiday,            !- Field 100</t>
  </si>
  <si>
    <t xml:space="preserve">    Until: 24:00,0.0,        !- Field 101</t>
  </si>
  <si>
    <t xml:space="preserve">    For: WinterDesignDay,    !- Field 103</t>
  </si>
  <si>
    <t>CEUS</t>
  </si>
  <si>
    <t>Entirely occupied</t>
  </si>
  <si>
    <t xml:space="preserve">    Until: 24:00,0.0,        !- Field 104</t>
  </si>
  <si>
    <t xml:space="preserve">    For: SummerDesignDay,    !- Field 106</t>
  </si>
  <si>
    <t xml:space="preserve">    Until: 24:00,1.0,        !- Field 107</t>
  </si>
  <si>
    <t>Weighted average operating hours per working day</t>
  </si>
  <si>
    <t xml:space="preserve">    For: CustomDay1,         !- Field 109</t>
  </si>
  <si>
    <t xml:space="preserve">    Until: 24:00,0.0,        !- Field 110</t>
  </si>
  <si>
    <t xml:space="preserve">    For: CustomDay2,         !- Field 112</t>
  </si>
  <si>
    <t xml:space="preserve">    Until: 24:00,0.0;        !- Field 113</t>
  </si>
  <si>
    <t>CEC: CBEC 2023</t>
  </si>
  <si>
    <t xml:space="preserve">  Schedule:Day:Interval,</t>
  </si>
  <si>
    <t xml:space="preserve"> Schedule:Day:Interval,</t>
  </si>
  <si>
    <t xml:space="preserve">    OfficeOccupancyWD,       !- Name</t>
  </si>
  <si>
    <t xml:space="preserve">    OfficeOccupancySat,      !- Name</t>
  </si>
  <si>
    <t xml:space="preserve">    OfficeOccupancySun,      !- Name</t>
  </si>
  <si>
    <t xml:space="preserve">    0,                       !- Value Until Time 1</t>
  </si>
  <si>
    <t xml:space="preserve">    0,                       !- Value Until Time 2</t>
  </si>
  <si>
    <t xml:space="preserve">    0,                       !- Value Until Time 3</t>
  </si>
  <si>
    <t xml:space="preserve">    0,                       !- Value Until Time 4</t>
  </si>
  <si>
    <t xml:space="preserve">    0,                       !- Value Until Time 5</t>
  </si>
  <si>
    <t xml:space="preserve">    0,                       !- Value Until Time 6</t>
  </si>
  <si>
    <t xml:space="preserve">    0.2,                     !- Value Until Time 8</t>
  </si>
  <si>
    <t xml:space="preserve">    0.95,                    !- Value Until Time 9</t>
  </si>
  <si>
    <t xml:space="preserve">    0.95,                    !- Value Until Time 10</t>
  </si>
  <si>
    <t xml:space="preserve">    0.95,                    !- Value Until Time 11</t>
  </si>
  <si>
    <t xml:space="preserve">    0.95,                    !- Value Until Time 12</t>
  </si>
  <si>
    <t xml:space="preserve">    0.5,                     !- Value Until Time 13</t>
  </si>
  <si>
    <t xml:space="preserve">    0.1,                     !- Value Until Time 13</t>
  </si>
  <si>
    <t xml:space="preserve">    0.95,                    !- Value Until Time 14</t>
  </si>
  <si>
    <t xml:space="preserve">    0.1,                     !- Value Until Time 14</t>
  </si>
  <si>
    <t xml:space="preserve">    0.95,                    !- Value Until Time 15</t>
  </si>
  <si>
    <t xml:space="preserve">    0.1,                     !- Value Until Time 15</t>
  </si>
  <si>
    <t xml:space="preserve">    0.95,                    !- Value Until Time 16</t>
  </si>
  <si>
    <t xml:space="preserve">    0.1,                     !- Value Until Time 16</t>
  </si>
  <si>
    <t xml:space="preserve">    0.95,                    !- Value Until Time 17</t>
  </si>
  <si>
    <t xml:space="preserve">    0.1,                     !- Value Until Time 17</t>
  </si>
  <si>
    <t xml:space="preserve">    0.3,                     !- Value Until Time 18</t>
  </si>
  <si>
    <t xml:space="preserve">    0.1,                     !- Value Until Time 19</t>
  </si>
  <si>
    <t xml:space="preserve">    0,                       !- Value Until Time 19</t>
  </si>
  <si>
    <t xml:space="preserve">    0.1,                     !- Value Until Time 20</t>
  </si>
  <si>
    <t xml:space="preserve">    0,                       !- Value Until Time 20</t>
  </si>
  <si>
    <t xml:space="preserve">    0.1,                     !- Value Until Time 21</t>
  </si>
  <si>
    <t xml:space="preserve">    0,                       !- Value Until Time 21</t>
  </si>
  <si>
    <t xml:space="preserve">    0.1,                     !- Value Until Time 22</t>
  </si>
  <si>
    <t xml:space="preserve">    0,                       !- Value Until Time 22</t>
  </si>
  <si>
    <t xml:space="preserve">    0,                       !- Value Until Time 23</t>
  </si>
  <si>
    <t xml:space="preserve">    0;                       !- Value Until Time 24</t>
  </si>
  <si>
    <t>Equipment - OfficeSmall</t>
  </si>
  <si>
    <t>Spaces</t>
  </si>
  <si>
    <t>Plug load Intensity (W/ft2)</t>
  </si>
  <si>
    <t>Schedule</t>
  </si>
  <si>
    <t>Office area</t>
  </si>
  <si>
    <t>T24 2022 - Appendix 5.4A</t>
  </si>
  <si>
    <t>Ref:</t>
  </si>
  <si>
    <t>T24 2022 - Appendix 5.4A: Space Use Data-T24N-2022</t>
  </si>
  <si>
    <t>https://www.energy.ca.gov/publications/2022/2022-nonresidential-and-multifamily-alternative-calculation-method-reference</t>
  </si>
  <si>
    <t>Equipment (Plug load)</t>
  </si>
  <si>
    <t>Zones</t>
  </si>
  <si>
    <t>floor area (ft2)</t>
  </si>
  <si>
    <t>Total equipment load (W)</t>
  </si>
  <si>
    <t>Equipment (Plug Load )- Prototypes comparison</t>
  </si>
  <si>
    <t>CEC OffSml</t>
  </si>
  <si>
    <t xml:space="preserve">DEER  OFS </t>
  </si>
  <si>
    <t xml:space="preserve">PNNL </t>
  </si>
  <si>
    <t>ComStock</t>
  </si>
  <si>
    <t>W/m2</t>
  </si>
  <si>
    <t xml:space="preserve"> PNNL considers higher load for electric equipment</t>
  </si>
  <si>
    <t xml:space="preserve">Yearly Load multiplier </t>
  </si>
  <si>
    <t>DEER 2024</t>
  </si>
  <si>
    <t>PNNL-Sunday</t>
  </si>
  <si>
    <t>DEER-Weekday</t>
  </si>
  <si>
    <t>DEER-Saturday</t>
  </si>
  <si>
    <t>DEER-OtherDays</t>
  </si>
  <si>
    <t>EL1</t>
  </si>
  <si>
    <t>Interval,</t>
  </si>
  <si>
    <t>12/31,</t>
  </si>
  <si>
    <t>SummerDesignDay,</t>
  </si>
  <si>
    <t>24:00,1.0,</t>
  </si>
  <si>
    <t>WinterDesignDay,</t>
  </si>
  <si>
    <t>24:00,0.0,</t>
  </si>
  <si>
    <t>Weekdays,</t>
  </si>
  <si>
    <t>05:00,0.05,</t>
  </si>
  <si>
    <t>07:00,0.10,</t>
  </si>
  <si>
    <t>08:00,0.30,</t>
  </si>
  <si>
    <t>17:00,0.90,</t>
  </si>
  <si>
    <t>18:00,0.50,</t>
  </si>
  <si>
    <t>20:00,0.30,</t>
  </si>
  <si>
    <t>22:00,0.20,</t>
  </si>
  <si>
    <t>23:00,0.10,</t>
  </si>
  <si>
    <t>24:00,0.05,</t>
  </si>
  <si>
    <t>Saturday,</t>
  </si>
  <si>
    <t>06:00,0.05,</t>
  </si>
  <si>
    <t>08:00,0.10,</t>
  </si>
  <si>
    <t>12:00,0.30,</t>
  </si>
  <si>
    <t>17:00,0.15,</t>
  </si>
  <si>
    <t>AllOtherDays,</t>
  </si>
  <si>
    <t>24:00,0.05;</t>
  </si>
  <si>
    <t xml:space="preserve">    BLDG_EQUIP_SCH,          !- Name</t>
  </si>
  <si>
    <t xml:space="preserve">    For: WeekDays,           !- Field 2</t>
  </si>
  <si>
    <t xml:space="preserve">    Until: 6:00,0.4094775565,!- Field 3</t>
  </si>
  <si>
    <t xml:space="preserve">    Until: 8:00,0.4797526335,!- Field 5</t>
  </si>
  <si>
    <t xml:space="preserve">    Until: 12:00,0.959505267,!- Field 7</t>
  </si>
  <si>
    <t xml:space="preserve">    Until: 13:00,0.90193495098, !- Field 9</t>
  </si>
  <si>
    <t xml:space="preserve">    Until: 17:00,0.959505267,!- Field 11</t>
  </si>
  <si>
    <t xml:space="preserve">    Until: 18:00,0.4797526335, !- Field 13</t>
  </si>
  <si>
    <t xml:space="preserve">    Until: 23:00,0.1919010534, !- Field 15</t>
  </si>
  <si>
    <t xml:space="preserve">    Until: 24:00,0.1637910226, !- Field 17</t>
  </si>
  <si>
    <t xml:space="preserve">    For: Weekends,           !- Field 19</t>
  </si>
  <si>
    <t xml:space="preserve">    Until: 24:00,0.1637910226, !- Field 20</t>
  </si>
  <si>
    <t xml:space="preserve">    For: Holiday,            !- Field 22</t>
  </si>
  <si>
    <t xml:space="preserve">    Until: 24:00,0.1637910226, !- Field 23</t>
  </si>
  <si>
    <t xml:space="preserve">    For: WinterDesignDay,    !- Field 25</t>
  </si>
  <si>
    <t xml:space="preserve">    Until: 24:00,0.0,        !- Field 26</t>
  </si>
  <si>
    <t xml:space="preserve">    For: SummerDesignDay,    !- Field 28</t>
  </si>
  <si>
    <t xml:space="preserve">    Until: 24:00,1.0,        !- Field 29</t>
  </si>
  <si>
    <t xml:space="preserve">    For: CustomDay1,         !- Field 31</t>
  </si>
  <si>
    <t xml:space="preserve">    Until: 24:00,0.0,        !- Field 32</t>
  </si>
  <si>
    <t xml:space="preserve">    For: CustomDay2,         !- Field 34</t>
  </si>
  <si>
    <t xml:space="preserve">    Until: 24:00,0.0;        !- Field 35</t>
  </si>
  <si>
    <t>OfficeReceptacleWD,</t>
  </si>
  <si>
    <t>OfficeReceptacleSat,</t>
  </si>
  <si>
    <t>OfficeReceptacleSun,</t>
  </si>
  <si>
    <t>Fraction,</t>
  </si>
  <si>
    <t>No,</t>
  </si>
  <si>
    <t>01:00,</t>
  </si>
  <si>
    <t>0.05,</t>
  </si>
  <si>
    <t>02:00,</t>
  </si>
  <si>
    <t>03:00,</t>
  </si>
  <si>
    <t>04:00,</t>
  </si>
  <si>
    <t>05:00,</t>
  </si>
  <si>
    <t>06:00,</t>
  </si>
  <si>
    <t>0.1,</t>
  </si>
  <si>
    <t>07:00,</t>
  </si>
  <si>
    <t>08:00,</t>
  </si>
  <si>
    <t>0.3,</t>
  </si>
  <si>
    <t>09:00,</t>
  </si>
  <si>
    <t>0.9,</t>
  </si>
  <si>
    <t>10:00,</t>
  </si>
  <si>
    <t>11:00,</t>
  </si>
  <si>
    <t>12:00,</t>
  </si>
  <si>
    <t>13:00,</t>
  </si>
  <si>
    <t>0.15,</t>
  </si>
  <si>
    <t>14:00,</t>
  </si>
  <si>
    <t>15:00,</t>
  </si>
  <si>
    <t>16:00,</t>
  </si>
  <si>
    <t>17:00,</t>
  </si>
  <si>
    <t>18:00,</t>
  </si>
  <si>
    <t>0.5,</t>
  </si>
  <si>
    <t>19:00,</t>
  </si>
  <si>
    <t>20:00,</t>
  </si>
  <si>
    <t>21:00,</t>
  </si>
  <si>
    <t>0.2,</t>
  </si>
  <si>
    <t>22:00,</t>
  </si>
  <si>
    <t>23:00,</t>
  </si>
  <si>
    <t>24:00,</t>
  </si>
  <si>
    <t>0.05;</t>
  </si>
  <si>
    <t>Schedules - OfficeSmall</t>
  </si>
  <si>
    <t>Type</t>
  </si>
  <si>
    <t>Occupancy</t>
  </si>
  <si>
    <t xml:space="preserve">Office Zones		</t>
  </si>
  <si>
    <t>Lighting</t>
  </si>
  <si>
    <t>Equipmet (Plug load)</t>
  </si>
  <si>
    <t>Office</t>
  </si>
  <si>
    <t>Operating Schedule</t>
  </si>
  <si>
    <t>System Capacity fraction</t>
  </si>
  <si>
    <t xml:space="preserve">Developed based on CEC and CEUS </t>
  </si>
  <si>
    <t>Office Zones</t>
  </si>
  <si>
    <t xml:space="preserve">Alternative HVAC System Operating	</t>
  </si>
  <si>
    <t xml:space="preserve">Alternative HVAC System Operating					</t>
  </si>
  <si>
    <t xml:space="preserve">Developed based on CEC schedules and CEUS operating hours					</t>
  </si>
  <si>
    <t>Office Closed Zones</t>
  </si>
  <si>
    <t>Otherday</t>
  </si>
  <si>
    <t>Office Open Zones</t>
  </si>
  <si>
    <t>Equipment</t>
  </si>
  <si>
    <t>Energy Consumption - OfficeSmall</t>
  </si>
  <si>
    <t>Total Floorspace (Thousand of ft2)</t>
  </si>
  <si>
    <t>Electric Energy Intensity (kWh/ft2)</t>
  </si>
  <si>
    <t>Annual Gas Intensity (kBTU/ft2)</t>
  </si>
  <si>
    <r>
      <rPr>
        <b/>
        <sz val="10"/>
        <color theme="1"/>
        <rFont val="Arial"/>
        <family val="2"/>
      </rPr>
      <t xml:space="preserve">Ref: </t>
    </r>
    <r>
      <rPr>
        <sz val="10"/>
        <color theme="1"/>
        <rFont val="Arial"/>
        <family val="2"/>
      </rPr>
      <t xml:space="preserve">CEUS 2022 Report </t>
    </r>
  </si>
  <si>
    <t xml:space="preserve">And converted FZ level data to CZ level </t>
  </si>
  <si>
    <t>Planning Area</t>
  </si>
  <si>
    <t>Floorspace (ksqft)</t>
  </si>
  <si>
    <t>Electric Energy Intensity (kWh/sqft)</t>
  </si>
  <si>
    <t>Electricity Usage (GWh)</t>
  </si>
  <si>
    <t>Percent of Total</t>
  </si>
  <si>
    <t>Gas Usage (Therms)</t>
  </si>
  <si>
    <t>Percent of Therms</t>
  </si>
  <si>
    <t>Floor Stock (kft2)</t>
  </si>
  <si>
    <t>Annual Electric Usage (GWh)</t>
  </si>
  <si>
    <t>Annual Gas Usage (MTherms)</t>
  </si>
  <si>
    <t>Annual Electric Intensity (kWh/ft2)</t>
  </si>
  <si>
    <t>Participating Utilities Only</t>
  </si>
  <si>
    <t>Nonparticipating Utilities</t>
  </si>
  <si>
    <t>na</t>
  </si>
  <si>
    <t>Planning Are</t>
  </si>
  <si>
    <t>Sector</t>
  </si>
  <si>
    <t>Percent Floorspace with End Use</t>
  </si>
  <si>
    <t>Saturation (Elect)</t>
  </si>
  <si>
    <t>Saturations (Gas)</t>
  </si>
  <si>
    <t>Saturations
(Other Fuels)</t>
  </si>
  <si>
    <t>&lt;= The saturations here are the % of total floorspace with for each combination of end-use and fuel type.</t>
  </si>
  <si>
    <t>Cooking, Major</t>
  </si>
  <si>
    <t>Cooking, Minor</t>
  </si>
  <si>
    <t>Exterior Lighting</t>
  </si>
  <si>
    <t>Freezers, Commercial</t>
  </si>
  <si>
    <t>43=40/(40+51+1)</t>
  </si>
  <si>
    <t>Miscellaneous</t>
  </si>
  <si>
    <t>Motors</t>
  </si>
  <si>
    <t>Office Equipment</t>
  </si>
  <si>
    <t>Refrigerated Floor Space</t>
  </si>
  <si>
    <t>Refrigerators, Commercial</t>
  </si>
  <si>
    <t>Refrigerators, Residential</t>
  </si>
  <si>
    <t>Ventilation</t>
  </si>
  <si>
    <t>Utility &amp; Forecast Zone</t>
  </si>
  <si>
    <t>2008-2017</t>
  </si>
  <si>
    <t xml:space="preserve">
Year-Built Not Available</t>
  </si>
  <si>
    <t>12c</t>
  </si>
  <si>
    <t>12i</t>
  </si>
  <si>
    <t>% of floor area per CZ and vintage bin - OfficeSmall</t>
  </si>
  <si>
    <t>Not available</t>
  </si>
  <si>
    <t>Ref: CEUS 2022 dataset</t>
  </si>
  <si>
    <t>FZ</t>
  </si>
  <si>
    <t>Floor area</t>
  </si>
  <si>
    <t>STC 7:305,405  
Area/Project&gt;&lt;25
Constructed after 1967 before 1978</t>
  </si>
  <si>
    <t xml:space="preserve">STC 7:305,405  
Area/Project&gt;&lt;25
Constructed after 1967 </t>
  </si>
  <si>
    <t>Total Floor are for small office(&lt;30 ksf)</t>
  </si>
  <si>
    <t>Total Floor area for small office (&lt;30 ksf) Pre-1978</t>
  </si>
  <si>
    <t>Small office (1967-1977)/All Pre 1878</t>
  </si>
  <si>
    <t>PV - TBD</t>
  </si>
  <si>
    <t>EV Charger - OfficeSmall (TBD)</t>
  </si>
  <si>
    <t xml:space="preserve">According To CEUS 2022 and their survey around 2018-2020, almost 92% of small office buildings have no EV charger </t>
  </si>
  <si>
    <t>CEUS 2022 (Base on Survey 2018)</t>
  </si>
  <si>
    <t>The data presented in this worksheet represents the projected number of EV charger ports, or the number of cars that can be charged at the same time, for the year 2022 (last year of CEUC)</t>
  </si>
  <si>
    <t>Has EV Chargers</t>
  </si>
  <si>
    <t>Level 1,  120 volt Charger     (No. ports/SqFT)</t>
  </si>
  <si>
    <t>Level 2,  240 volt Charger    (No. ports/SqFT)</t>
  </si>
  <si>
    <t>Level 3,  DC fast     (No. ports/SqFT)</t>
  </si>
  <si>
    <t>Charger Type Unkown  (No. ports/SqFT)</t>
  </si>
  <si>
    <t>All Chargers Totals   (No. ports/SqFT)</t>
  </si>
  <si>
    <t xml:space="preserve">No </t>
  </si>
  <si>
    <t>Public Only</t>
  </si>
  <si>
    <t>Public &amp; Employee</t>
  </si>
  <si>
    <t>Public &amp; Fleet</t>
  </si>
  <si>
    <t>Employee Only</t>
  </si>
  <si>
    <t>Employee &amp; Fleet</t>
  </si>
  <si>
    <t>Fleet Only</t>
  </si>
  <si>
    <t>All 3 Types</t>
  </si>
  <si>
    <t>Level 1 Total</t>
  </si>
  <si>
    <t>Level 2 Total</t>
  </si>
  <si>
    <t>Level 3 Total</t>
  </si>
  <si>
    <t>Unkonwn Total</t>
  </si>
  <si>
    <r>
      <t xml:space="preserve">Table B: To be used for converting from New Forecast Zones to Standards Zone </t>
    </r>
    <r>
      <rPr>
        <b/>
        <sz val="12"/>
        <rFont val="Calibri"/>
        <family val="2"/>
        <scheme val="minor"/>
      </rPr>
      <t>(Using 2010 Census Population Data)</t>
    </r>
  </si>
  <si>
    <t>Source:CECCFM/Weather/ClimateZoneAnalysis 12-06-16.xlsx</t>
  </si>
  <si>
    <t xml:space="preserve"> New Forecast Zones</t>
  </si>
  <si>
    <t xml:space="preserve">Ref: </t>
  </si>
  <si>
    <t>\\carcgl.com\amer\NOR\Prj_SUS\2023\S23668 SCE CA Prototypes Development\Technical\NR\FCZ to CZ.xlsx</t>
  </si>
  <si>
    <t>33% of CZ 9 comes from FZ 7 and when we apply floor area then this 33% play a very important role.</t>
  </si>
  <si>
    <t xml:space="preserve"> </t>
  </si>
  <si>
    <t>Small office Floor area (Ref: CEUS 2018 Appendix K)*</t>
  </si>
  <si>
    <r>
      <t xml:space="preserve">Trasposed Table B: To be used for converting from New Forecast Zones to Standards Zone </t>
    </r>
    <r>
      <rPr>
        <b/>
        <sz val="12"/>
        <rFont val="Calibri"/>
        <family val="2"/>
        <scheme val="minor"/>
      </rPr>
      <t>(Using 2010 Census Population Data)</t>
    </r>
  </si>
  <si>
    <t>Floor area kft2</t>
  </si>
  <si>
    <t>FZ/CZ</t>
  </si>
  <si>
    <t>* Small office in CEUS 2018 is any office below 30KSF. It is pretty close to our definition for small office ( any office below 25KSF)</t>
  </si>
  <si>
    <t>https://bees.noresco.com/software2022.html</t>
  </si>
  <si>
    <t>https://www.energycodes.gov/prototype-building-models#Commercial</t>
  </si>
  <si>
    <t>https://github.com/sound-data/DEER-Prototypes-EnergyPlus</t>
  </si>
  <si>
    <t>CFR Title 10 (2010, 2024)</t>
  </si>
  <si>
    <t>ASHRAE 90.1 (2022)</t>
  </si>
  <si>
    <t>Title 24, part 6 (1984, 2001, 2007, 2013, 2022, 2025)</t>
  </si>
  <si>
    <t>T24, Part 6, 2007/ CFR Energy 2008</t>
  </si>
  <si>
    <t>T24, Part 6, 2007 /CFR Energy 2008</t>
  </si>
  <si>
    <r>
      <t>CEC Small Office prototype</t>
    </r>
    <r>
      <rPr>
        <sz val="10"/>
        <rFont val="Arial"/>
        <family val="2"/>
      </rPr>
      <t xml:space="preserve"> (CBECC 2022.3.1)</t>
    </r>
  </si>
  <si>
    <t>PNNL Small Office prototype (90.1-2022)</t>
  </si>
  <si>
    <t>DEER Small Office prototype (June 2023)</t>
  </si>
  <si>
    <t>ORNL 2019 Small Office protoype zoning</t>
  </si>
  <si>
    <t>Wall properties remain unchanged from the 2008 code to the 2016 code but the roof did changed. Although the 2016 code introduced improvement for roof in nearly all CZ and for wall in a few CZ, and  construction activity surged between 2017 and 2018, the extende period from 2008 to 2016 resulted in a higher construction rate during that time . As a result, it was decided to select the code that was effective during 2008-2016. 
The 2013 code modified the solar reflectance requirement for low-sloped roof products ( by approximately 15%), and enhanced window properties. Therefore, the 2013 coce was chosen as the representative code.  Additionally, construction activity from 2014-2018  was higher compared to 2008-2013 period.</t>
  </si>
  <si>
    <t>NonRes-Vintage bins-Draft Report-30Nov2023-Final.docx</t>
  </si>
  <si>
    <t>Tited (Low-Sloped)</t>
  </si>
  <si>
    <t>Conditioned (k SqFt)</t>
  </si>
  <si>
    <t>Unconditioned (k SqFt)</t>
  </si>
  <si>
    <t>Vintage Bin</t>
  </si>
  <si>
    <t>Supported by CBECS 2018 data  (Same as CEC and PNNL)</t>
  </si>
  <si>
    <t xml:space="preserve">Wall and roof prescriptive criteria from 1998 to 2005  remain unchanged except for CZ2 and 6 in 2001 code  (the percentage of change is less than 10%). 
Since the construction rate between 1998-2005 is greater than the 2006-2007 period,  the envelope properties of 1998 -2005 were chosen for envelope properties. Since the windows requirement considerably changed in the 2001 code,  the nominated year for this vintage is 2001. 
It should be noticed that, only one Title 24 should be chosen within each vintage bin for building envelope properties since the entire envelope is built at once. We can't choose 1998 for walls and 2001 for windows. Wall and roof prescriptive criteria from 1998 to 2005  remain unchanged except for CZ2 and 6 in 2001 version (the percentage of change is less than 10%). </t>
  </si>
  <si>
    <t>Space</t>
  </si>
  <si>
    <t>Thermal Zone</t>
  </si>
  <si>
    <t>North_ZN</t>
  </si>
  <si>
    <t>West_ZN</t>
  </si>
  <si>
    <t>East_ZN</t>
  </si>
  <si>
    <t>South_ZN</t>
  </si>
  <si>
    <t>Corridor-W</t>
  </si>
  <si>
    <t>Corridor-N</t>
  </si>
  <si>
    <t>Corridor-E</t>
  </si>
  <si>
    <t>Corridor-S</t>
  </si>
  <si>
    <t>Attic_ZN</t>
  </si>
  <si>
    <t>Total (14 Space)</t>
  </si>
  <si>
    <t>Total (5 Thermal Zones)</t>
  </si>
  <si>
    <t xml:space="preserve"> Total (4 Conditioned zones, 1 Unconditioned Zones)</t>
  </si>
  <si>
    <t>Area (ft²)</t>
  </si>
  <si>
    <t>Un-known</t>
  </si>
  <si>
    <r>
      <rPr>
        <b/>
        <sz val="10"/>
        <color theme="1"/>
        <rFont val="Arial"/>
        <family val="2"/>
      </rPr>
      <t>For 1998-2007 :</t>
    </r>
    <r>
      <rPr>
        <sz val="10"/>
        <color theme="1"/>
        <rFont val="Arial"/>
        <family val="2"/>
      </rPr>
      <t xml:space="preserve">  T24, </t>
    </r>
    <r>
      <rPr>
        <sz val="10"/>
        <color rgb="FFC00000"/>
        <rFont val="Arial"/>
        <family val="2"/>
      </rPr>
      <t>20051</t>
    </r>
    <r>
      <rPr>
        <sz val="10"/>
        <color theme="1"/>
        <rFont val="Arial"/>
        <family val="2"/>
      </rPr>
      <t xml:space="preserve">!  (shifted from 2001 to T24 2005 code to consider the impact of the upgraded HVA). However, later it's been decided to select 2008 code to align with the earlier vintages </t>
    </r>
  </si>
  <si>
    <t xml:space="preserve">People 
[Persons/1,000 ft2]  
Ref: Title 24, 2025,  Table 120.1-A </t>
  </si>
  <si>
    <t>NORESCO, Updated February 2025</t>
  </si>
  <si>
    <t xml:space="preserve">Based on the vintage bin analysis
</t>
  </si>
  <si>
    <t xml:space="preserve">CEC </t>
  </si>
  <si>
    <t>Total floor area of the CA stock (kft2)</t>
  </si>
  <si>
    <t>Wood-frame roof + insulation + Acoustic tile/Gypsum board</t>
  </si>
  <si>
    <t>Documents\CBECC 2022-3.1 Data\Documents\RulesetSource\T24N\Rules\Tables\App5-4A_SpaceBySpace-T24N_2022.csv</t>
  </si>
  <si>
    <t>CBECC 2022 , App5-4_SpaceBySpace file</t>
  </si>
  <si>
    <t>Occupancy load in CEBC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</si>
</sst>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_(* \(#,##0.00\);_(* &quot;-&quot;??_);_(@_)"/>
    <numFmt numFmtId="164" formatCode="0.0%"/>
    <numFmt numFmtId="165" formatCode="0.000000000000000%"/>
    <numFmt numFmtId="166" formatCode="0.0"/>
    <numFmt numFmtId="167" formatCode="#,##0.0"/>
    <numFmt numFmtId="168" formatCode="0.0000"/>
    <numFmt numFmtId="169" formatCode="0.000"/>
    <numFmt numFmtId="170" formatCode="_(* #,##0.0_);_(* \(#,##0.0\);_(* &quot;-&quot;??_);_(@_)"/>
    <numFmt numFmtId="171" formatCode="_(* #,##0_);_(* \(#,##0\);_(* &quot;-&quot;??_);_(@_)"/>
  </numFmts>
  <fonts count="78">
    <font>
      <sz val="11"/>
      <color theme="1"/>
      <name val="Calibri"/>
      <family val="2"/>
      <scheme val="minor"/>
    </font>
    <font>
      <b/>
      <sz val="14"/>
      <color theme="1"/>
      <name val="Calibri"/>
      <family val="2"/>
      <scheme val="minor"/>
    </font>
    <font>
      <sz val="10"/>
      <name val="Arial"/>
      <family val="2"/>
    </font>
    <font>
      <sz val="11"/>
      <color theme="1"/>
      <name val="Calibri"/>
      <family val="2"/>
      <scheme val="minor"/>
    </font>
    <font>
      <b/>
      <sz val="11"/>
      <color theme="1"/>
      <name val="Calibri"/>
      <family val="2"/>
      <scheme val="minor"/>
    </font>
    <font>
      <b/>
      <sz val="9"/>
      <color indexed="81"/>
      <name val="Tahoma"/>
      <family val="2"/>
    </font>
    <font>
      <b/>
      <sz val="12"/>
      <color indexed="81"/>
      <name val="Tahoma"/>
      <family val="2"/>
    </font>
    <font>
      <sz val="9"/>
      <color indexed="81"/>
      <name val="Tahoma"/>
      <family val="2"/>
    </font>
    <font>
      <sz val="8"/>
      <color indexed="8"/>
      <name val="MS Sans Serif"/>
      <family val="2"/>
    </font>
    <font>
      <sz val="8"/>
      <name val="Calibri"/>
      <family val="2"/>
      <scheme val="minor"/>
    </font>
    <font>
      <sz val="12"/>
      <color theme="1"/>
      <name val="Calibri"/>
      <family val="2"/>
      <scheme val="minor"/>
    </font>
    <font>
      <sz val="10"/>
      <color theme="1"/>
      <name val="Arial"/>
      <family val="2"/>
    </font>
    <font>
      <b/>
      <sz val="14"/>
      <name val="Calibri"/>
      <family val="2"/>
      <scheme val="minor"/>
    </font>
    <font>
      <b/>
      <sz val="12"/>
      <name val="Calibri"/>
      <family val="2"/>
      <scheme val="minor"/>
    </font>
    <font>
      <b/>
      <sz val="14"/>
      <color rgb="FF00B0F0"/>
      <name val="Calibri"/>
      <family val="2"/>
      <scheme val="minor"/>
    </font>
    <font>
      <sz val="9"/>
      <name val="Calibri"/>
      <family val="2"/>
      <scheme val="minor"/>
    </font>
    <font>
      <b/>
      <sz val="12"/>
      <color rgb="FFFF0000"/>
      <name val="Calibri"/>
      <family val="2"/>
      <scheme val="minor"/>
    </font>
    <font>
      <b/>
      <sz val="10"/>
      <color theme="1"/>
      <name val="Arial"/>
      <family val="2"/>
    </font>
    <font>
      <u/>
      <sz val="11"/>
      <color theme="10"/>
      <name val="Calibri"/>
      <family val="2"/>
      <scheme val="minor"/>
    </font>
    <font>
      <b/>
      <sz val="11"/>
      <color theme="0"/>
      <name val="Calibri"/>
      <family val="2"/>
      <scheme val="minor"/>
    </font>
    <font>
      <sz val="11"/>
      <color theme="1"/>
      <name val="Tahoma"/>
      <family val="2"/>
    </font>
    <font>
      <b/>
      <sz val="14"/>
      <color theme="0"/>
      <name val="Calibri"/>
      <family val="2"/>
      <scheme val="minor"/>
    </font>
    <font>
      <sz val="14"/>
      <color theme="1"/>
      <name val="Calibri"/>
      <family val="2"/>
      <scheme val="minor"/>
    </font>
    <font>
      <b/>
      <sz val="12"/>
      <color theme="1"/>
      <name val="Calibri"/>
      <family val="2"/>
      <scheme val="minor"/>
    </font>
    <font>
      <b/>
      <sz val="12"/>
      <color theme="0"/>
      <name val="Calibri"/>
      <family val="2"/>
      <scheme val="minor"/>
    </font>
    <font>
      <b/>
      <sz val="11"/>
      <name val="Calibri"/>
      <family val="2"/>
      <scheme val="minor"/>
    </font>
    <font>
      <sz val="10"/>
      <color indexed="8"/>
      <name val="Arial"/>
      <family val="2"/>
    </font>
    <font>
      <sz val="11"/>
      <color theme="0"/>
      <name val="Calibri"/>
      <family val="2"/>
      <scheme val="minor"/>
    </font>
    <font>
      <sz val="11"/>
      <color theme="1"/>
      <name val="Arial"/>
      <family val="2"/>
    </font>
    <font>
      <b/>
      <sz val="12"/>
      <color theme="0"/>
      <name val="Arial"/>
      <family val="2"/>
    </font>
    <font>
      <sz val="11"/>
      <color rgb="FF000000"/>
      <name val="Calibri"/>
      <family val="2"/>
      <scheme val="minor"/>
    </font>
    <font>
      <b/>
      <sz val="14"/>
      <color theme="1"/>
      <name val="Arial"/>
      <family val="2"/>
    </font>
    <font>
      <u/>
      <sz val="10"/>
      <color theme="10"/>
      <name val="Arial"/>
      <family val="2"/>
    </font>
    <font>
      <sz val="10"/>
      <color rgb="FF000000"/>
      <name val="Calibri"/>
      <family val="2"/>
      <scheme val="minor"/>
    </font>
    <font>
      <sz val="10"/>
      <color theme="1"/>
      <name val="Calibri"/>
      <family val="2"/>
      <scheme val="minor"/>
    </font>
    <font>
      <b/>
      <sz val="18"/>
      <color theme="0"/>
      <name val="Calibri"/>
      <family val="2"/>
      <scheme val="minor"/>
    </font>
    <font>
      <b/>
      <sz val="11"/>
      <color rgb="FF0070C0"/>
      <name val="Calibri"/>
      <family val="2"/>
      <scheme val="minor"/>
    </font>
    <font>
      <b/>
      <sz val="14"/>
      <color rgb="FF0070C0"/>
      <name val="Calibri"/>
      <family val="2"/>
      <scheme val="minor"/>
    </font>
    <font>
      <sz val="8"/>
      <color rgb="FF000000"/>
      <name val="Calibri"/>
      <family val="2"/>
      <scheme val="minor"/>
    </font>
    <font>
      <b/>
      <sz val="11"/>
      <color rgb="FFFF0000"/>
      <name val="Calibri"/>
      <family val="2"/>
      <scheme val="minor"/>
    </font>
    <font>
      <b/>
      <sz val="10"/>
      <color theme="0"/>
      <name val="Arial"/>
      <family val="2"/>
    </font>
    <font>
      <sz val="11"/>
      <color rgb="FF0070C0"/>
      <name val="Arial"/>
      <family val="2"/>
    </font>
    <font>
      <b/>
      <sz val="10"/>
      <name val="Arial"/>
      <family val="2"/>
    </font>
    <font>
      <b/>
      <sz val="10"/>
      <color indexed="8"/>
      <name val="Arial"/>
      <family val="2"/>
    </font>
    <font>
      <sz val="10"/>
      <color theme="4" tint="-0.499984740745262"/>
      <name val="Arial"/>
      <family val="2"/>
    </font>
    <font>
      <sz val="10"/>
      <color theme="1" tint="0.499984740745262"/>
      <name val="Arial"/>
      <family val="2"/>
    </font>
    <font>
      <sz val="10"/>
      <color theme="0" tint="-0.249977111117893"/>
      <name val="Arial"/>
      <family val="2"/>
    </font>
    <font>
      <sz val="10"/>
      <color rgb="FFFF0000"/>
      <name val="Arial"/>
      <family val="2"/>
    </font>
    <font>
      <sz val="10"/>
      <color rgb="FFC00000"/>
      <name val="Arial"/>
      <family val="2"/>
    </font>
    <font>
      <sz val="9"/>
      <color theme="1"/>
      <name val="Arial"/>
      <family val="2"/>
    </font>
    <font>
      <sz val="10"/>
      <color rgb="FF000000"/>
      <name val="Arial"/>
      <family val="2"/>
    </font>
    <font>
      <sz val="10"/>
      <color theme="0"/>
      <name val="Arial"/>
      <family val="2"/>
    </font>
    <font>
      <b/>
      <sz val="10"/>
      <color rgb="FF000000"/>
      <name val="Arial"/>
      <family val="2"/>
    </font>
    <font>
      <sz val="10"/>
      <color theme="7" tint="-0.499984740745262"/>
      <name val="Arial"/>
      <family val="2"/>
    </font>
    <font>
      <i/>
      <sz val="10"/>
      <color theme="7" tint="-0.499984740745262"/>
      <name val="Arial"/>
      <family val="2"/>
    </font>
    <font>
      <sz val="10"/>
      <color rgb="FF2F5597"/>
      <name val="Arial"/>
      <family val="2"/>
    </font>
    <font>
      <b/>
      <u/>
      <sz val="10"/>
      <color theme="10"/>
      <name val="Arial"/>
      <family val="2"/>
    </font>
    <font>
      <b/>
      <sz val="9"/>
      <color theme="0"/>
      <name val="Arial"/>
      <family val="2"/>
    </font>
    <font>
      <sz val="9"/>
      <name val="Arial"/>
      <family val="2"/>
    </font>
    <font>
      <b/>
      <sz val="10"/>
      <color rgb="FF7030A0"/>
      <name val="Arial"/>
      <family val="2"/>
    </font>
    <font>
      <sz val="10"/>
      <color rgb="FF000000"/>
      <name val="Arial"/>
      <family val="2"/>
      <charset val="1"/>
    </font>
    <font>
      <sz val="11"/>
      <color theme="1"/>
      <name val="Calibri"/>
      <family val="2"/>
      <charset val="1"/>
    </font>
    <font>
      <b/>
      <sz val="12"/>
      <color theme="0"/>
      <name val="Arial"/>
      <family val="2"/>
    </font>
    <font>
      <b/>
      <sz val="11"/>
      <color theme="1"/>
      <name val="Arial"/>
      <family val="2"/>
    </font>
    <font>
      <sz val="11"/>
      <color theme="1"/>
      <name val="Arial"/>
      <family val="2"/>
    </font>
    <font>
      <sz val="10"/>
      <color theme="1"/>
      <name val="Arial"/>
      <family val="2"/>
    </font>
    <font>
      <sz val="10"/>
      <name val="Arial"/>
      <family val="2"/>
    </font>
    <font>
      <b/>
      <sz val="10"/>
      <color theme="1"/>
      <name val="Arial"/>
      <family val="2"/>
    </font>
    <font>
      <sz val="10"/>
      <color indexed="8"/>
      <name val="Arial"/>
      <family val="2"/>
    </font>
    <font>
      <b/>
      <sz val="12"/>
      <color theme="1"/>
      <name val="Arial"/>
      <family val="2"/>
    </font>
    <font>
      <b/>
      <sz val="14"/>
      <color theme="1"/>
      <name val="Arial"/>
      <family val="2"/>
    </font>
    <font>
      <b/>
      <sz val="10"/>
      <color rgb="FF000000"/>
      <name val="Arial"/>
      <family val="2"/>
    </font>
    <font>
      <sz val="10"/>
      <color rgb="FF000000"/>
      <name val="Arial"/>
      <family val="2"/>
    </font>
    <font>
      <b/>
      <sz val="10"/>
      <color rgb="FF0070C0"/>
      <name val="Arial"/>
      <family val="2"/>
    </font>
    <font>
      <sz val="11"/>
      <color theme="0"/>
      <name val="Arial"/>
      <family val="2"/>
    </font>
    <font>
      <b/>
      <sz val="14"/>
      <color rgb="FF000000"/>
      <name val="Calibri"/>
      <family val="2"/>
      <scheme val="minor"/>
    </font>
    <font>
      <b/>
      <sz val="11"/>
      <color rgb="FF000000"/>
      <name val="Arial"/>
      <family val="2"/>
    </font>
    <font>
      <sz val="11"/>
      <color rgb="FF000000"/>
      <name val="Arial"/>
      <family val="2"/>
    </font>
  </fonts>
  <fills count="31">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1"/>
        <bgColor indexed="64"/>
      </patternFill>
    </fill>
    <fill>
      <patternFill patternType="solid">
        <fgColor rgb="FF00206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5" tint="-0.49998474074526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6795556505021"/>
        <bgColor indexed="64"/>
      </patternFill>
    </fill>
    <fill>
      <patternFill patternType="solid">
        <fgColor theme="8" tint="0.79998168889431442"/>
        <bgColor indexed="64"/>
      </patternFill>
    </fill>
    <fill>
      <patternFill patternType="solid">
        <fgColor rgb="FFFFEBCD"/>
        <bgColor indexed="64"/>
      </patternFill>
    </fill>
    <fill>
      <patternFill patternType="solid">
        <fgColor rgb="FFCCCCFF"/>
        <bgColor indexed="64"/>
      </patternFill>
    </fill>
    <fill>
      <patternFill patternType="solid">
        <fgColor theme="1" tint="0.249977111117893"/>
        <bgColor indexed="64"/>
      </patternFill>
    </fill>
    <fill>
      <patternFill patternType="solid">
        <fgColor theme="4" tint="-0.499984740745262"/>
        <bgColor indexed="64"/>
      </patternFill>
    </fill>
    <fill>
      <patternFill patternType="solid">
        <fgColor theme="1" tint="0.34998626667073579"/>
        <bgColor indexed="64"/>
      </patternFill>
    </fill>
    <fill>
      <patternFill patternType="solid">
        <fgColor rgb="FFFFFFFF"/>
        <bgColor indexed="64"/>
      </patternFill>
    </fill>
  </fills>
  <borders count="75">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808080"/>
      </left>
      <right style="medium">
        <color rgb="FF808080"/>
      </right>
      <top style="medium">
        <color rgb="FF808080"/>
      </top>
      <bottom style="medium">
        <color rgb="FF808080"/>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right style="medium">
        <color rgb="FF808080"/>
      </right>
      <top/>
      <bottom style="medium">
        <color rgb="FF808080"/>
      </bottom>
      <diagonal/>
    </border>
    <border>
      <left style="medium">
        <color rgb="FF808080"/>
      </left>
      <right style="medium">
        <color rgb="FF808080"/>
      </right>
      <top/>
      <bottom style="medium">
        <color rgb="FF808080"/>
      </bottom>
      <diagonal/>
    </border>
    <border>
      <left/>
      <right/>
      <top style="medium">
        <color rgb="FF808080"/>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diagonal/>
    </border>
    <border>
      <left style="thin">
        <color theme="0" tint="-0.499984740745262"/>
      </left>
      <right/>
      <top style="thin">
        <color theme="0" tint="-0.499984740745262"/>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thin">
        <color indexed="64"/>
      </left>
      <right style="thin">
        <color indexed="64"/>
      </right>
      <top style="thin">
        <color indexed="64"/>
      </top>
      <bottom style="medium">
        <color indexed="64"/>
      </bottom>
      <diagonal/>
    </border>
    <border>
      <left/>
      <right/>
      <top/>
      <bottom style="thin">
        <color theme="0" tint="-0.499984740745262"/>
      </bottom>
      <diagonal/>
    </border>
    <border>
      <left style="thin">
        <color auto="1"/>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theme="0" tint="-0.499984740745262"/>
      </left>
      <right style="thin">
        <color theme="0" tint="-0.499984740745262"/>
      </right>
      <top style="thin">
        <color indexed="64"/>
      </top>
      <bottom/>
      <diagonal/>
    </border>
  </borders>
  <cellStyleXfs count="13">
    <xf numFmtId="0" fontId="0" fillId="0" borderId="0"/>
    <xf numFmtId="0" fontId="2" fillId="0" borderId="0"/>
    <xf numFmtId="9" fontId="3" fillId="0" borderId="0" applyFont="0" applyFill="0" applyBorder="0" applyAlignment="0" applyProtection="0"/>
    <xf numFmtId="0" fontId="8" fillId="0" borderId="0" applyNumberFormat="0" applyFill="0" applyBorder="0" applyAlignment="0" applyProtection="0"/>
    <xf numFmtId="0" fontId="11" fillId="0" borderId="0"/>
    <xf numFmtId="0" fontId="18" fillId="0" borderId="0" applyNumberFormat="0" applyFill="0" applyBorder="0" applyAlignment="0" applyProtection="0"/>
    <xf numFmtId="43" fontId="3" fillId="0" borderId="0" applyFont="0" applyFill="0" applyBorder="0" applyAlignment="0" applyProtection="0"/>
    <xf numFmtId="0" fontId="3" fillId="0" borderId="0"/>
    <xf numFmtId="9" fontId="11" fillId="0" borderId="0" applyFont="0" applyFill="0" applyBorder="0" applyAlignment="0" applyProtection="0"/>
    <xf numFmtId="0" fontId="30" fillId="0" borderId="0"/>
    <xf numFmtId="0" fontId="32" fillId="0" borderId="0" applyNumberFormat="0" applyFill="0" applyBorder="0" applyAlignment="0" applyProtection="0"/>
    <xf numFmtId="0" fontId="11" fillId="0" borderId="0"/>
    <xf numFmtId="0" fontId="11" fillId="0" borderId="0"/>
  </cellStyleXfs>
  <cellXfs count="899">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center"/>
    </xf>
    <xf numFmtId="0" fontId="4" fillId="3"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9" fontId="0" fillId="0" borderId="2" xfId="2" applyFont="1" applyBorder="1"/>
    <xf numFmtId="0" fontId="0" fillId="0" borderId="2" xfId="0" applyBorder="1"/>
    <xf numFmtId="9" fontId="0" fillId="0" borderId="2" xfId="2" applyFont="1" applyBorder="1" applyAlignment="1">
      <alignment horizontal="center"/>
    </xf>
    <xf numFmtId="9" fontId="0" fillId="4" borderId="2" xfId="2" applyFont="1" applyFill="1" applyBorder="1" applyAlignment="1">
      <alignment horizontal="center"/>
    </xf>
    <xf numFmtId="9" fontId="0" fillId="4" borderId="2" xfId="2" applyFont="1" applyFill="1" applyBorder="1"/>
    <xf numFmtId="0" fontId="4" fillId="3" borderId="2" xfId="0" applyFont="1" applyFill="1" applyBorder="1" applyAlignment="1">
      <alignment horizontal="center" wrapText="1"/>
    </xf>
    <xf numFmtId="0" fontId="0" fillId="0" borderId="2" xfId="0" applyBorder="1" applyAlignment="1">
      <alignment vertical="center"/>
    </xf>
    <xf numFmtId="164" fontId="0" fillId="0" borderId="2" xfId="2" applyNumberFormat="1" applyFont="1" applyBorder="1" applyAlignment="1">
      <alignment horizontal="center"/>
    </xf>
    <xf numFmtId="9" fontId="0" fillId="5" borderId="2" xfId="2" applyFont="1" applyFill="1" applyBorder="1"/>
    <xf numFmtId="0" fontId="0" fillId="5" borderId="2" xfId="0" applyFill="1" applyBorder="1"/>
    <xf numFmtId="164" fontId="0" fillId="5" borderId="2" xfId="2" applyNumberFormat="1" applyFont="1" applyFill="1" applyBorder="1" applyAlignment="1">
      <alignment horizontal="center"/>
    </xf>
    <xf numFmtId="9" fontId="0" fillId="0" borderId="2" xfId="2" applyFont="1" applyFill="1" applyBorder="1"/>
    <xf numFmtId="164" fontId="0" fillId="0" borderId="2" xfId="2" applyNumberFormat="1" applyFont="1" applyFill="1" applyBorder="1" applyAlignment="1">
      <alignment horizontal="center"/>
    </xf>
    <xf numFmtId="11" fontId="0" fillId="0" borderId="0" xfId="0" applyNumberFormat="1"/>
    <xf numFmtId="0" fontId="4" fillId="2" borderId="2" xfId="0" applyFont="1" applyFill="1" applyBorder="1" applyAlignment="1">
      <alignment horizontal="left" vertical="center" wrapText="1"/>
    </xf>
    <xf numFmtId="164" fontId="0" fillId="0" borderId="0" xfId="2" applyNumberFormat="1" applyFont="1" applyFill="1" applyBorder="1" applyAlignment="1">
      <alignment horizontal="center"/>
    </xf>
    <xf numFmtId="0" fontId="4" fillId="0" borderId="0" xfId="0" applyFont="1" applyAlignment="1">
      <alignment horizontal="left" vertical="center" wrapText="1"/>
    </xf>
    <xf numFmtId="9" fontId="0" fillId="0" borderId="0" xfId="2" applyFont="1" applyBorder="1"/>
    <xf numFmtId="9" fontId="0" fillId="0" borderId="0" xfId="2" applyFont="1" applyFill="1" applyBorder="1"/>
    <xf numFmtId="0" fontId="11" fillId="0" borderId="0" xfId="4"/>
    <xf numFmtId="0" fontId="12" fillId="0" borderId="0" xfId="4" applyFont="1"/>
    <xf numFmtId="0" fontId="14" fillId="0" borderId="0" xfId="4" applyFont="1"/>
    <xf numFmtId="0" fontId="15" fillId="7" borderId="0" xfId="4" applyFont="1" applyFill="1"/>
    <xf numFmtId="0" fontId="17" fillId="9" borderId="2" xfId="4" applyFont="1" applyFill="1" applyBorder="1" applyAlignment="1">
      <alignment horizontal="center"/>
    </xf>
    <xf numFmtId="0" fontId="17" fillId="9" borderId="15" xfId="4" applyFont="1" applyFill="1" applyBorder="1" applyAlignment="1">
      <alignment horizontal="center"/>
    </xf>
    <xf numFmtId="10" fontId="11" fillId="0" borderId="16" xfId="4" applyNumberFormat="1" applyBorder="1" applyAlignment="1">
      <alignment horizontal="center"/>
    </xf>
    <xf numFmtId="10" fontId="11" fillId="0" borderId="17" xfId="4" applyNumberFormat="1" applyBorder="1" applyAlignment="1">
      <alignment horizontal="center"/>
    </xf>
    <xf numFmtId="10" fontId="11" fillId="0" borderId="18" xfId="4" applyNumberFormat="1" applyBorder="1" applyAlignment="1">
      <alignment horizontal="center"/>
    </xf>
    <xf numFmtId="0" fontId="17" fillId="9" borderId="19" xfId="4" applyFont="1" applyFill="1" applyBorder="1" applyAlignment="1">
      <alignment horizontal="center"/>
    </xf>
    <xf numFmtId="10" fontId="11" fillId="0" borderId="20" xfId="4" applyNumberFormat="1" applyBorder="1" applyAlignment="1">
      <alignment horizontal="center"/>
    </xf>
    <xf numFmtId="10" fontId="11" fillId="0" borderId="0" xfId="4" applyNumberFormat="1" applyAlignment="1">
      <alignment horizontal="center"/>
    </xf>
    <xf numFmtId="10" fontId="11" fillId="0" borderId="21" xfId="4" applyNumberFormat="1" applyBorder="1" applyAlignment="1">
      <alignment horizontal="center"/>
    </xf>
    <xf numFmtId="0" fontId="17" fillId="9" borderId="22" xfId="4" applyFont="1" applyFill="1" applyBorder="1" applyAlignment="1">
      <alignment horizontal="center"/>
    </xf>
    <xf numFmtId="10" fontId="11" fillId="0" borderId="23" xfId="4" applyNumberFormat="1" applyBorder="1" applyAlignment="1">
      <alignment horizontal="center"/>
    </xf>
    <xf numFmtId="10" fontId="11" fillId="0" borderId="24" xfId="4" applyNumberFormat="1" applyBorder="1" applyAlignment="1">
      <alignment horizontal="center"/>
    </xf>
    <xf numFmtId="10" fontId="11" fillId="0" borderId="25" xfId="4" applyNumberFormat="1" applyBorder="1" applyAlignment="1">
      <alignment horizontal="center"/>
    </xf>
    <xf numFmtId="0" fontId="17" fillId="0" borderId="2" xfId="4" applyFont="1" applyBorder="1" applyAlignment="1">
      <alignment horizontal="center"/>
    </xf>
    <xf numFmtId="10" fontId="17" fillId="0" borderId="2" xfId="4" applyNumberFormat="1" applyFont="1" applyBorder="1" applyAlignment="1">
      <alignment horizontal="center"/>
    </xf>
    <xf numFmtId="0" fontId="18" fillId="0" borderId="0" xfId="5"/>
    <xf numFmtId="164" fontId="0" fillId="0" borderId="0" xfId="0" applyNumberFormat="1"/>
    <xf numFmtId="0" fontId="4" fillId="3" borderId="0" xfId="0" applyFont="1" applyFill="1" applyAlignment="1">
      <alignment horizontal="left" vertical="center" wrapText="1"/>
    </xf>
    <xf numFmtId="164" fontId="0" fillId="0" borderId="0" xfId="2" applyNumberFormat="1" applyFont="1" applyBorder="1" applyAlignment="1">
      <alignment horizontal="center"/>
    </xf>
    <xf numFmtId="9" fontId="0" fillId="0" borderId="0" xfId="2" applyFont="1" applyAlignment="1">
      <alignment horizontal="left"/>
    </xf>
    <xf numFmtId="9" fontId="4" fillId="0" borderId="0" xfId="2" applyFont="1" applyFill="1" applyBorder="1"/>
    <xf numFmtId="3" fontId="20" fillId="0" borderId="0" xfId="6" applyNumberFormat="1" applyFont="1" applyFill="1" applyBorder="1" applyAlignment="1">
      <alignment horizontal="center"/>
    </xf>
    <xf numFmtId="3" fontId="0" fillId="0" borderId="2" xfId="0" applyNumberFormat="1" applyBorder="1"/>
    <xf numFmtId="0" fontId="19" fillId="0" borderId="0" xfId="0" applyFont="1" applyAlignment="1">
      <alignment horizontal="left" vertical="center" wrapText="1"/>
    </xf>
    <xf numFmtId="9" fontId="0" fillId="0" borderId="2" xfId="0" applyNumberFormat="1" applyBorder="1" applyAlignment="1">
      <alignment horizontal="center"/>
    </xf>
    <xf numFmtId="0" fontId="10" fillId="0" borderId="0" xfId="0" applyFont="1" applyAlignment="1">
      <alignment horizontal="left"/>
    </xf>
    <xf numFmtId="0" fontId="4" fillId="8" borderId="2" xfId="0" applyFont="1" applyFill="1" applyBorder="1" applyAlignment="1">
      <alignment horizontal="center" vertical="center"/>
    </xf>
    <xf numFmtId="0" fontId="19" fillId="7" borderId="0" xfId="0" applyFont="1" applyFill="1" applyAlignment="1">
      <alignment wrapText="1"/>
    </xf>
    <xf numFmtId="9" fontId="0" fillId="7" borderId="0" xfId="0" applyNumberFormat="1" applyFill="1" applyAlignment="1">
      <alignment horizontal="center"/>
    </xf>
    <xf numFmtId="0" fontId="23" fillId="0" borderId="17" xfId="0" applyFont="1" applyBorder="1" applyAlignment="1">
      <alignment horizontal="center" vertical="center" wrapText="1"/>
    </xf>
    <xf numFmtId="0" fontId="25" fillId="12" borderId="2" xfId="0" applyFont="1" applyFill="1" applyBorder="1" applyAlignment="1">
      <alignment wrapText="1"/>
    </xf>
    <xf numFmtId="9" fontId="0" fillId="0" borderId="0" xfId="2" applyFont="1" applyBorder="1" applyAlignment="1">
      <alignment horizontal="left"/>
    </xf>
    <xf numFmtId="9" fontId="0" fillId="0" borderId="24" xfId="2" applyFont="1" applyFill="1" applyBorder="1"/>
    <xf numFmtId="9" fontId="0" fillId="0" borderId="24" xfId="2" applyFont="1" applyBorder="1" applyAlignment="1">
      <alignment horizontal="left"/>
    </xf>
    <xf numFmtId="0" fontId="4" fillId="3" borderId="24" xfId="0" applyFont="1" applyFill="1" applyBorder="1" applyAlignment="1">
      <alignment horizontal="left" vertical="center" wrapText="1"/>
    </xf>
    <xf numFmtId="0" fontId="17" fillId="9" borderId="24" xfId="4" applyFont="1" applyFill="1" applyBorder="1" applyAlignment="1">
      <alignment horizontal="center"/>
    </xf>
    <xf numFmtId="164" fontId="0" fillId="0" borderId="0" xfId="2" applyNumberFormat="1" applyFont="1"/>
    <xf numFmtId="2" fontId="0" fillId="0" borderId="0" xfId="0" applyNumberFormat="1"/>
    <xf numFmtId="9" fontId="0" fillId="16" borderId="2" xfId="2" applyFont="1" applyFill="1" applyBorder="1" applyAlignment="1">
      <alignment horizontal="center"/>
    </xf>
    <xf numFmtId="0" fontId="25" fillId="17" borderId="2" xfId="0" applyFont="1" applyFill="1" applyBorder="1" applyAlignment="1">
      <alignment wrapText="1"/>
    </xf>
    <xf numFmtId="0" fontId="24" fillId="0" borderId="0" xfId="0" applyFont="1" applyAlignment="1">
      <alignment horizontal="center" vertical="center" wrapText="1"/>
    </xf>
    <xf numFmtId="0" fontId="4" fillId="0" borderId="0" xfId="0" applyFont="1" applyAlignment="1">
      <alignment horizontal="center" vertical="center"/>
    </xf>
    <xf numFmtId="0" fontId="24" fillId="10" borderId="3" xfId="0" applyFont="1" applyFill="1" applyBorder="1" applyAlignment="1">
      <alignment horizontal="center" vertical="center" wrapText="1"/>
    </xf>
    <xf numFmtId="0" fontId="25" fillId="10" borderId="2" xfId="0" applyFont="1" applyFill="1" applyBorder="1" applyAlignment="1">
      <alignment wrapText="1"/>
    </xf>
    <xf numFmtId="9" fontId="0" fillId="10" borderId="2" xfId="2" applyFont="1" applyFill="1" applyBorder="1" applyAlignment="1">
      <alignment horizontal="center"/>
    </xf>
    <xf numFmtId="0" fontId="0" fillId="10" borderId="0" xfId="0" applyFill="1"/>
    <xf numFmtId="0" fontId="17" fillId="13" borderId="2" xfId="4" applyFont="1" applyFill="1" applyBorder="1" applyAlignment="1">
      <alignment horizontal="center"/>
    </xf>
    <xf numFmtId="10" fontId="11" fillId="13" borderId="17" xfId="4" applyNumberFormat="1" applyFill="1" applyBorder="1" applyAlignment="1">
      <alignment horizontal="center"/>
    </xf>
    <xf numFmtId="10" fontId="11" fillId="13" borderId="0" xfId="4" applyNumberFormat="1" applyFill="1" applyAlignment="1">
      <alignment horizontal="center"/>
    </xf>
    <xf numFmtId="10" fontId="11" fillId="13" borderId="24" xfId="4" applyNumberFormat="1" applyFill="1" applyBorder="1" applyAlignment="1">
      <alignment horizontal="center"/>
    </xf>
    <xf numFmtId="164" fontId="0" fillId="13" borderId="0" xfId="2" applyNumberFormat="1" applyFont="1" applyFill="1" applyBorder="1" applyAlignment="1">
      <alignment horizontal="center"/>
    </xf>
    <xf numFmtId="0" fontId="17" fillId="20" borderId="19" xfId="4" applyFont="1" applyFill="1" applyBorder="1" applyAlignment="1">
      <alignment horizontal="center"/>
    </xf>
    <xf numFmtId="10" fontId="11" fillId="20" borderId="20" xfId="4" applyNumberFormat="1" applyFill="1" applyBorder="1" applyAlignment="1">
      <alignment horizontal="center"/>
    </xf>
    <xf numFmtId="10" fontId="11" fillId="20" borderId="0" xfId="4" applyNumberFormat="1" applyFill="1" applyAlignment="1">
      <alignment horizontal="center"/>
    </xf>
    <xf numFmtId="10" fontId="11" fillId="20" borderId="21" xfId="4" applyNumberFormat="1" applyFill="1" applyBorder="1" applyAlignment="1">
      <alignment horizontal="center"/>
    </xf>
    <xf numFmtId="9" fontId="0" fillId="0" borderId="0" xfId="0" applyNumberFormat="1" applyAlignment="1">
      <alignment horizontal="center"/>
    </xf>
    <xf numFmtId="9" fontId="0" fillId="13" borderId="2" xfId="0" applyNumberFormat="1" applyFill="1" applyBorder="1" applyAlignment="1">
      <alignment horizontal="center"/>
    </xf>
    <xf numFmtId="0" fontId="0" fillId="21" borderId="2" xfId="0" applyFill="1" applyBorder="1" applyAlignment="1">
      <alignment horizontal="center"/>
    </xf>
    <xf numFmtId="164" fontId="0" fillId="7" borderId="2" xfId="2" applyNumberFormat="1" applyFont="1" applyFill="1" applyBorder="1" applyAlignment="1">
      <alignment horizontal="center"/>
    </xf>
    <xf numFmtId="164" fontId="0" fillId="19" borderId="2" xfId="2" applyNumberFormat="1" applyFont="1" applyFill="1" applyBorder="1" applyAlignment="1">
      <alignment horizontal="center"/>
    </xf>
    <xf numFmtId="0" fontId="4" fillId="0" borderId="0" xfId="0" applyFont="1"/>
    <xf numFmtId="0" fontId="0" fillId="0" borderId="0" xfId="0" applyAlignment="1">
      <alignment horizontal="left"/>
    </xf>
    <xf numFmtId="0" fontId="30" fillId="0" borderId="0" xfId="0" applyFont="1" applyAlignment="1">
      <alignment horizontal="left"/>
    </xf>
    <xf numFmtId="0" fontId="30" fillId="0" borderId="2" xfId="0" applyFont="1" applyBorder="1" applyAlignment="1">
      <alignment horizontal="left"/>
    </xf>
    <xf numFmtId="0" fontId="0" fillId="0" borderId="2" xfId="0" applyBorder="1" applyAlignment="1">
      <alignment horizontal="center"/>
    </xf>
    <xf numFmtId="0" fontId="0" fillId="0" borderId="0" xfId="0" applyAlignment="1">
      <alignment horizontal="center" vertical="center"/>
    </xf>
    <xf numFmtId="0" fontId="35" fillId="27" borderId="0" xfId="0" applyFont="1" applyFill="1"/>
    <xf numFmtId="0" fontId="27" fillId="27" borderId="0" xfId="0" applyFont="1" applyFill="1"/>
    <xf numFmtId="0" fontId="21" fillId="0" borderId="0" xfId="0" applyFont="1" applyAlignment="1">
      <alignment horizontal="center"/>
    </xf>
    <xf numFmtId="9" fontId="0" fillId="0" borderId="0" xfId="0" applyNumberFormat="1"/>
    <xf numFmtId="10" fontId="0" fillId="0" borderId="0" xfId="8" applyNumberFormat="1" applyFont="1" applyBorder="1" applyAlignment="1">
      <alignment horizontal="center"/>
    </xf>
    <xf numFmtId="0" fontId="35" fillId="0" borderId="0" xfId="0" applyFont="1"/>
    <xf numFmtId="0" fontId="27" fillId="0" borderId="0" xfId="0" applyFont="1"/>
    <xf numFmtId="3" fontId="34" fillId="0" borderId="2" xfId="4" applyNumberFormat="1" applyFont="1" applyBorder="1" applyAlignment="1">
      <alignment horizontal="center"/>
    </xf>
    <xf numFmtId="167" fontId="34" fillId="0" borderId="2" xfId="4" applyNumberFormat="1" applyFont="1" applyBorder="1" applyAlignment="1">
      <alignment horizontal="center"/>
    </xf>
    <xf numFmtId="0" fontId="23" fillId="0" borderId="0" xfId="0" applyFont="1" applyAlignment="1">
      <alignment vertical="top"/>
    </xf>
    <xf numFmtId="0" fontId="36" fillId="0" borderId="0" xfId="4" applyFont="1" applyAlignment="1">
      <alignment horizontal="left" vertical="center"/>
    </xf>
    <xf numFmtId="0" fontId="34" fillId="0" borderId="0" xfId="4" applyFont="1"/>
    <xf numFmtId="168" fontId="0" fillId="0" borderId="0" xfId="0" applyNumberFormat="1"/>
    <xf numFmtId="0" fontId="0" fillId="22" borderId="0" xfId="0" applyFill="1"/>
    <xf numFmtId="0" fontId="0" fillId="6" borderId="0" xfId="0" applyFill="1"/>
    <xf numFmtId="166" fontId="0" fillId="0" borderId="2" xfId="0" applyNumberFormat="1" applyBorder="1"/>
    <xf numFmtId="10" fontId="27" fillId="0" borderId="0" xfId="8" applyNumberFormat="1" applyFont="1" applyBorder="1" applyAlignment="1">
      <alignment horizontal="center"/>
    </xf>
    <xf numFmtId="164" fontId="27" fillId="0" borderId="0" xfId="8" applyNumberFormat="1" applyFont="1" applyBorder="1" applyAlignment="1">
      <alignment horizontal="center"/>
    </xf>
    <xf numFmtId="0" fontId="4" fillId="0" borderId="0" xfId="0" applyFont="1" applyAlignment="1">
      <alignment vertical="top"/>
    </xf>
    <xf numFmtId="1" fontId="30" fillId="0" borderId="0" xfId="4" applyNumberFormat="1" applyFont="1" applyAlignment="1">
      <alignment horizontal="left"/>
    </xf>
    <xf numFmtId="0" fontId="30" fillId="0" borderId="0" xfId="4" applyFont="1" applyAlignment="1">
      <alignment horizontal="left"/>
    </xf>
    <xf numFmtId="0" fontId="0" fillId="0" borderId="0" xfId="4" applyFont="1" applyAlignment="1">
      <alignment horizontal="left"/>
    </xf>
    <xf numFmtId="164" fontId="0" fillId="0" borderId="0" xfId="8" applyNumberFormat="1" applyFont="1" applyFill="1" applyBorder="1" applyAlignment="1">
      <alignment horizontal="center"/>
    </xf>
    <xf numFmtId="0" fontId="30" fillId="21" borderId="13" xfId="4" applyFont="1" applyFill="1" applyBorder="1" applyAlignment="1">
      <alignment horizontal="left" vertical="center" wrapText="1"/>
    </xf>
    <xf numFmtId="0" fontId="30" fillId="21" borderId="13" xfId="4" applyFont="1" applyFill="1" applyBorder="1" applyAlignment="1">
      <alignment horizontal="left" vertical="center"/>
    </xf>
    <xf numFmtId="0" fontId="33" fillId="21" borderId="13" xfId="4" applyFont="1" applyFill="1" applyBorder="1" applyAlignment="1">
      <alignment horizontal="center" vertical="center" wrapText="1"/>
    </xf>
    <xf numFmtId="164" fontId="0" fillId="0" borderId="0" xfId="8" applyNumberFormat="1" applyFont="1" applyBorder="1" applyAlignment="1">
      <alignment horizontal="center"/>
    </xf>
    <xf numFmtId="164" fontId="0" fillId="13" borderId="0" xfId="8" applyNumberFormat="1" applyFont="1" applyFill="1" applyBorder="1" applyAlignment="1">
      <alignment horizontal="center"/>
    </xf>
    <xf numFmtId="164" fontId="0" fillId="16" borderId="0" xfId="8" applyNumberFormat="1" applyFont="1" applyFill="1" applyBorder="1" applyAlignment="1">
      <alignment horizontal="center"/>
    </xf>
    <xf numFmtId="164" fontId="0" fillId="4" borderId="0" xfId="8" applyNumberFormat="1" applyFont="1" applyFill="1" applyBorder="1" applyAlignment="1">
      <alignment horizontal="center"/>
    </xf>
    <xf numFmtId="0" fontId="33" fillId="21" borderId="13" xfId="4" applyFont="1" applyFill="1" applyBorder="1" applyAlignment="1">
      <alignment horizontal="left" vertical="center" wrapText="1"/>
    </xf>
    <xf numFmtId="0" fontId="33" fillId="21" borderId="13" xfId="4" applyFont="1" applyFill="1" applyBorder="1" applyAlignment="1">
      <alignment horizontal="left" vertical="center"/>
    </xf>
    <xf numFmtId="0" fontId="38" fillId="21" borderId="13" xfId="4" applyFont="1" applyFill="1" applyBorder="1" applyAlignment="1">
      <alignment horizontal="center" vertical="center" wrapText="1"/>
    </xf>
    <xf numFmtId="0" fontId="38" fillId="23" borderId="13" xfId="4" applyFont="1" applyFill="1" applyBorder="1" applyAlignment="1">
      <alignment horizontal="center" vertical="center" wrapText="1"/>
    </xf>
    <xf numFmtId="0" fontId="0" fillId="29" borderId="0" xfId="0" applyFill="1"/>
    <xf numFmtId="0" fontId="0" fillId="28" borderId="0" xfId="0" applyFill="1" applyAlignment="1">
      <alignment vertical="center"/>
    </xf>
    <xf numFmtId="0" fontId="21" fillId="0" borderId="0" xfId="0" applyFont="1" applyAlignment="1">
      <alignment horizontal="center" vertical="center"/>
    </xf>
    <xf numFmtId="166" fontId="0" fillId="0" borderId="0" xfId="0" applyNumberFormat="1" applyAlignment="1">
      <alignment horizontal="center"/>
    </xf>
    <xf numFmtId="166" fontId="0" fillId="0" borderId="2" xfId="0" applyNumberFormat="1" applyBorder="1" applyAlignment="1">
      <alignment horizontal="center" vertical="center" wrapText="1"/>
    </xf>
    <xf numFmtId="0" fontId="30" fillId="0" borderId="2" xfId="0" applyFont="1" applyBorder="1" applyAlignment="1">
      <alignment horizontal="left" vertical="center" wrapText="1"/>
    </xf>
    <xf numFmtId="0" fontId="12" fillId="0" borderId="0" xfId="0" applyFont="1" applyAlignment="1">
      <alignment horizontal="center"/>
    </xf>
    <xf numFmtId="0" fontId="0" fillId="0" borderId="2" xfId="0" applyBorder="1" applyAlignment="1">
      <alignment horizontal="center" vertical="center"/>
    </xf>
    <xf numFmtId="0" fontId="1" fillId="2" borderId="0" xfId="0" applyFont="1" applyFill="1"/>
    <xf numFmtId="9" fontId="0" fillId="0" borderId="0" xfId="2" applyFont="1"/>
    <xf numFmtId="0" fontId="1" fillId="0" borderId="0" xfId="0" applyFont="1" applyAlignment="1">
      <alignment horizontal="center" vertical="center"/>
    </xf>
    <xf numFmtId="0" fontId="1" fillId="2" borderId="0" xfId="0" applyFont="1" applyFill="1" applyAlignment="1">
      <alignment wrapText="1"/>
    </xf>
    <xf numFmtId="0" fontId="1" fillId="2" borderId="0" xfId="0" applyFont="1" applyFill="1" applyAlignment="1">
      <alignment horizontal="left"/>
    </xf>
    <xf numFmtId="0" fontId="1" fillId="2" borderId="0" xfId="0" applyFont="1" applyFill="1" applyAlignment="1">
      <alignment horizontal="center"/>
    </xf>
    <xf numFmtId="0" fontId="0" fillId="20" borderId="2" xfId="0" applyFill="1" applyBorder="1" applyAlignment="1">
      <alignment horizontal="center" vertical="center"/>
    </xf>
    <xf numFmtId="16" fontId="0" fillId="0" borderId="2" xfId="0" applyNumberFormat="1" applyBorder="1" applyAlignment="1">
      <alignment horizontal="center" vertical="center"/>
    </xf>
    <xf numFmtId="3" fontId="0" fillId="0" borderId="0" xfId="0" applyNumberFormat="1" applyAlignment="1">
      <alignment horizontal="center" vertical="center"/>
    </xf>
    <xf numFmtId="0" fontId="23" fillId="0" borderId="0" xfId="0" applyFont="1" applyAlignment="1">
      <alignment horizontal="center" vertical="center"/>
    </xf>
    <xf numFmtId="3" fontId="1" fillId="0" borderId="0" xfId="0" applyNumberFormat="1" applyFont="1" applyAlignment="1">
      <alignment vertical="center"/>
    </xf>
    <xf numFmtId="0" fontId="4" fillId="20" borderId="20" xfId="0" applyFont="1" applyFill="1" applyBorder="1" applyAlignment="1">
      <alignment vertical="center"/>
    </xf>
    <xf numFmtId="0" fontId="4" fillId="20" borderId="0" xfId="0" applyFont="1" applyFill="1" applyAlignment="1">
      <alignment vertical="center"/>
    </xf>
    <xf numFmtId="3" fontId="4" fillId="0" borderId="0" xfId="0" applyNumberFormat="1" applyFont="1" applyAlignment="1">
      <alignment horizontal="center" vertical="center"/>
    </xf>
    <xf numFmtId="3" fontId="39" fillId="0" borderId="0" xfId="0" applyNumberFormat="1" applyFont="1" applyAlignment="1">
      <alignment horizontal="center" vertical="center"/>
    </xf>
    <xf numFmtId="0" fontId="28" fillId="0" borderId="0" xfId="0" applyFont="1"/>
    <xf numFmtId="0" fontId="28" fillId="0" borderId="0" xfId="0" applyFont="1" applyAlignment="1">
      <alignment horizontal="center" vertical="center"/>
    </xf>
    <xf numFmtId="0" fontId="11" fillId="0" borderId="0" xfId="0" applyFont="1"/>
    <xf numFmtId="0" fontId="11" fillId="0" borderId="0" xfId="0" applyFont="1" applyAlignment="1">
      <alignment horizontal="center"/>
    </xf>
    <xf numFmtId="0" fontId="17" fillId="0" borderId="0" xfId="0" applyFont="1"/>
    <xf numFmtId="0" fontId="11" fillId="0" borderId="0" xfId="0" applyFont="1" applyAlignment="1">
      <alignment horizontal="center" vertical="center"/>
    </xf>
    <xf numFmtId="0" fontId="11" fillId="0" borderId="0" xfId="0" applyFont="1" applyAlignment="1">
      <alignment vertical="center"/>
    </xf>
    <xf numFmtId="169" fontId="11" fillId="0" borderId="0" xfId="0" applyNumberFormat="1" applyFont="1"/>
    <xf numFmtId="166" fontId="11" fillId="0" borderId="0" xfId="0" applyNumberFormat="1" applyFont="1"/>
    <xf numFmtId="0" fontId="11" fillId="0" borderId="0" xfId="0" applyFont="1" applyAlignment="1">
      <alignment horizontal="left"/>
    </xf>
    <xf numFmtId="0" fontId="11" fillId="0" borderId="0" xfId="0" applyFont="1" applyAlignment="1">
      <alignment horizontal="center" vertical="center" wrapText="1"/>
    </xf>
    <xf numFmtId="0" fontId="11" fillId="0" borderId="0" xfId="0" applyFont="1" applyAlignment="1">
      <alignment vertical="center" wrapText="1"/>
    </xf>
    <xf numFmtId="0" fontId="11" fillId="0" borderId="0" xfId="0" applyFont="1" applyAlignment="1">
      <alignment horizontal="left" vertical="center"/>
    </xf>
    <xf numFmtId="0" fontId="32" fillId="0" borderId="0" xfId="5" applyFont="1"/>
    <xf numFmtId="0" fontId="11" fillId="0" borderId="0" xfId="0" applyFont="1" applyAlignment="1">
      <alignment wrapText="1"/>
    </xf>
    <xf numFmtId="0" fontId="11" fillId="0" borderId="25" xfId="0" applyFont="1" applyBorder="1" applyAlignment="1">
      <alignment vertical="center" wrapText="1"/>
    </xf>
    <xf numFmtId="0" fontId="11" fillId="9" borderId="2" xfId="0" applyFont="1" applyFill="1" applyBorder="1" applyAlignment="1">
      <alignment horizontal="center" vertical="center"/>
    </xf>
    <xf numFmtId="0" fontId="11" fillId="9" borderId="2" xfId="0" applyFont="1" applyFill="1" applyBorder="1" applyAlignment="1">
      <alignment vertical="center" wrapText="1"/>
    </xf>
    <xf numFmtId="9" fontId="11" fillId="0" borderId="2" xfId="2" applyFont="1" applyBorder="1" applyAlignment="1">
      <alignment horizontal="center" vertical="center"/>
    </xf>
    <xf numFmtId="0" fontId="31" fillId="0" borderId="0" xfId="0" applyFont="1" applyAlignment="1">
      <alignment vertical="center"/>
    </xf>
    <xf numFmtId="0" fontId="2" fillId="0" borderId="2" xfId="1" applyBorder="1" applyAlignment="1">
      <alignment vertical="center" wrapText="1"/>
    </xf>
    <xf numFmtId="3" fontId="2" fillId="0" borderId="2" xfId="1" applyNumberFormat="1" applyBorder="1" applyAlignment="1">
      <alignment horizontal="center" vertical="center" wrapText="1"/>
    </xf>
    <xf numFmtId="0" fontId="2" fillId="0" borderId="2" xfId="1" applyBorder="1" applyAlignment="1">
      <alignment vertical="center"/>
    </xf>
    <xf numFmtId="0" fontId="2" fillId="0" borderId="2" xfId="1" applyBorder="1" applyAlignment="1">
      <alignment horizontal="center" vertical="center" wrapText="1"/>
    </xf>
    <xf numFmtId="0" fontId="11" fillId="0" borderId="2" xfId="0" applyFont="1" applyBorder="1" applyAlignment="1">
      <alignment vertical="center"/>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applyAlignment="1">
      <alignment vertical="center" wrapText="1"/>
    </xf>
    <xf numFmtId="0" fontId="42" fillId="20" borderId="2" xfId="0" applyFont="1" applyFill="1" applyBorder="1" applyAlignment="1">
      <alignment vertical="center"/>
    </xf>
    <xf numFmtId="0" fontId="17" fillId="20" borderId="0" xfId="0" applyFont="1" applyFill="1" applyAlignment="1">
      <alignment horizontal="center" vertical="center"/>
    </xf>
    <xf numFmtId="0" fontId="42" fillId="20" borderId="2" xfId="0" applyFont="1" applyFill="1" applyBorder="1" applyAlignment="1">
      <alignment horizontal="left" vertical="center"/>
    </xf>
    <xf numFmtId="3" fontId="11" fillId="0" borderId="2" xfId="7" applyNumberFormat="1" applyFont="1" applyBorder="1" applyAlignment="1">
      <alignment horizontal="center" vertical="center"/>
    </xf>
    <xf numFmtId="1" fontId="2" fillId="0" borderId="2" xfId="7" applyNumberFormat="1" applyFont="1" applyBorder="1" applyAlignment="1">
      <alignment horizontal="center" vertical="center"/>
    </xf>
    <xf numFmtId="1" fontId="44" fillId="0" borderId="2" xfId="7" applyNumberFormat="1" applyFont="1" applyBorder="1" applyAlignment="1">
      <alignment horizontal="center" vertical="center"/>
    </xf>
    <xf numFmtId="1" fontId="44" fillId="0" borderId="2" xfId="7" quotePrefix="1" applyNumberFormat="1" applyFont="1" applyBorder="1" applyAlignment="1">
      <alignment horizontal="center" vertical="center"/>
    </xf>
    <xf numFmtId="1" fontId="2" fillId="0" borderId="2" xfId="7" quotePrefix="1" applyNumberFormat="1" applyFont="1" applyBorder="1" applyAlignment="1">
      <alignment horizontal="center" vertical="center"/>
    </xf>
    <xf numFmtId="0" fontId="26" fillId="0" borderId="2" xfId="3" applyFont="1" applyBorder="1" applyAlignment="1">
      <alignment horizontal="center" vertical="center" wrapText="1"/>
    </xf>
    <xf numFmtId="3" fontId="26" fillId="0" borderId="2" xfId="3" applyNumberFormat="1" applyFont="1" applyBorder="1" applyAlignment="1">
      <alignment horizontal="center" vertical="center" wrapText="1"/>
    </xf>
    <xf numFmtId="3" fontId="26" fillId="0" borderId="2" xfId="3" applyNumberFormat="1" applyFont="1" applyFill="1" applyBorder="1" applyAlignment="1">
      <alignment horizontal="center" vertical="center" wrapText="1"/>
    </xf>
    <xf numFmtId="0" fontId="11" fillId="0" borderId="15" xfId="0" applyFont="1" applyBorder="1" applyAlignment="1">
      <alignment horizontal="center" vertical="center" wrapText="1"/>
    </xf>
    <xf numFmtId="171" fontId="11" fillId="0" borderId="2" xfId="6" applyNumberFormat="1" applyFont="1" applyBorder="1" applyAlignment="1">
      <alignment horizontal="center"/>
    </xf>
    <xf numFmtId="0" fontId="45" fillId="0" borderId="2" xfId="0" applyFont="1" applyBorder="1" applyAlignment="1">
      <alignment horizontal="center" vertical="center"/>
    </xf>
    <xf numFmtId="170" fontId="46" fillId="0" borderId="2" xfId="6" applyNumberFormat="1" applyFont="1" applyFill="1" applyBorder="1" applyAlignment="1">
      <alignment horizontal="center" vertical="center"/>
    </xf>
    <xf numFmtId="0" fontId="45" fillId="0" borderId="2" xfId="0" applyFont="1" applyBorder="1" applyAlignment="1">
      <alignment horizontal="center" vertical="center" wrapText="1"/>
    </xf>
    <xf numFmtId="170" fontId="45" fillId="0" borderId="2" xfId="6" applyNumberFormat="1" applyFont="1" applyFill="1" applyBorder="1" applyAlignment="1">
      <alignment horizontal="center" vertical="center"/>
    </xf>
    <xf numFmtId="170" fontId="46" fillId="0" borderId="2" xfId="6" applyNumberFormat="1" applyFont="1" applyBorder="1" applyAlignment="1">
      <alignment horizontal="center" vertical="center"/>
    </xf>
    <xf numFmtId="9" fontId="11" fillId="0" borderId="2" xfId="2" applyFont="1" applyBorder="1" applyAlignment="1">
      <alignment horizontal="center"/>
    </xf>
    <xf numFmtId="0" fontId="11" fillId="0" borderId="2" xfId="0" applyFont="1" applyBorder="1" applyAlignment="1">
      <alignment horizontal="center"/>
    </xf>
    <xf numFmtId="166" fontId="11" fillId="0" borderId="0" xfId="0" applyNumberFormat="1" applyFont="1" applyAlignment="1">
      <alignment horizontal="center" vertical="center"/>
    </xf>
    <xf numFmtId="0" fontId="2" fillId="0" borderId="0" xfId="0" applyFont="1" applyAlignment="1">
      <alignment vertical="top"/>
    </xf>
    <xf numFmtId="0" fontId="11" fillId="0" borderId="0" xfId="0" applyFont="1" applyAlignment="1">
      <alignment horizontal="center" vertical="top" wrapText="1"/>
    </xf>
    <xf numFmtId="0" fontId="11" fillId="0" borderId="0" xfId="0" applyFont="1" applyAlignment="1">
      <alignment horizontal="left" vertical="top" wrapText="1"/>
    </xf>
    <xf numFmtId="0" fontId="42" fillId="0" borderId="0" xfId="0" applyFont="1" applyAlignment="1">
      <alignment vertical="top"/>
    </xf>
    <xf numFmtId="0" fontId="17" fillId="0" borderId="0" xfId="0" applyFont="1" applyAlignment="1">
      <alignment horizontal="center" vertical="top" wrapText="1"/>
    </xf>
    <xf numFmtId="169" fontId="32" fillId="0" borderId="0" xfId="5" applyNumberFormat="1" applyFont="1" applyAlignment="1">
      <alignment horizontal="left" vertical="top"/>
    </xf>
    <xf numFmtId="0" fontId="17" fillId="2" borderId="0" xfId="0" applyFont="1" applyFill="1"/>
    <xf numFmtId="0" fontId="17" fillId="2" borderId="0" xfId="0" applyFont="1" applyFill="1" applyAlignment="1">
      <alignment wrapText="1"/>
    </xf>
    <xf numFmtId="0" fontId="17" fillId="2" borderId="0" xfId="0" applyFont="1" applyFill="1" applyAlignment="1">
      <alignment horizontal="left"/>
    </xf>
    <xf numFmtId="0" fontId="17" fillId="2" borderId="0" xfId="0" applyFont="1" applyFill="1" applyAlignment="1">
      <alignment horizontal="center"/>
    </xf>
    <xf numFmtId="0" fontId="17" fillId="20" borderId="15" xfId="0" applyFont="1" applyFill="1" applyBorder="1" applyAlignment="1">
      <alignment horizontal="center" vertical="center"/>
    </xf>
    <xf numFmtId="0" fontId="43" fillId="20" borderId="2" xfId="0" applyFont="1" applyFill="1" applyBorder="1" applyAlignment="1">
      <alignment horizontal="center" vertical="center" wrapText="1"/>
    </xf>
    <xf numFmtId="0" fontId="42" fillId="20" borderId="2" xfId="0" applyFont="1" applyFill="1" applyBorder="1" applyAlignment="1">
      <alignment horizontal="center" vertical="center"/>
    </xf>
    <xf numFmtId="0" fontId="11" fillId="0" borderId="15" xfId="0" quotePrefix="1" applyFont="1" applyBorder="1" applyAlignment="1">
      <alignment horizontal="center" vertical="center" wrapText="1"/>
    </xf>
    <xf numFmtId="0" fontId="11" fillId="0" borderId="3" xfId="0" applyFont="1" applyBorder="1" applyAlignment="1">
      <alignment horizontal="center" vertical="center" wrapText="1"/>
    </xf>
    <xf numFmtId="0" fontId="47" fillId="0" borderId="0" xfId="0" applyFont="1"/>
    <xf numFmtId="0" fontId="11" fillId="0" borderId="3" xfId="0" applyFont="1" applyBorder="1" applyAlignment="1">
      <alignment vertical="center"/>
    </xf>
    <xf numFmtId="0" fontId="11" fillId="0" borderId="2" xfId="0" applyFont="1" applyBorder="1" applyAlignment="1">
      <alignment horizontal="center" vertical="top" wrapText="1"/>
    </xf>
    <xf numFmtId="0" fontId="11" fillId="13" borderId="0" xfId="0" applyFont="1" applyFill="1" applyAlignment="1">
      <alignment horizontal="center" vertical="top" wrapText="1"/>
    </xf>
    <xf numFmtId="0" fontId="11" fillId="0" borderId="0" xfId="0" applyFont="1" applyAlignment="1">
      <alignment horizontal="left" wrapText="1"/>
    </xf>
    <xf numFmtId="0" fontId="46" fillId="0" borderId="0" xfId="0" applyFont="1" applyAlignment="1">
      <alignment horizontal="left" vertical="top" wrapText="1"/>
    </xf>
    <xf numFmtId="0" fontId="11" fillId="0" borderId="22" xfId="0" applyFont="1" applyBorder="1" applyAlignment="1">
      <alignment vertical="center"/>
    </xf>
    <xf numFmtId="0" fontId="11" fillId="0" borderId="22" xfId="0" applyFont="1" applyBorder="1" applyAlignment="1">
      <alignment horizontal="left" vertical="center"/>
    </xf>
    <xf numFmtId="0" fontId="11" fillId="0" borderId="22" xfId="0" applyFont="1" applyBorder="1" applyAlignment="1">
      <alignment horizontal="left" vertical="center" wrapText="1"/>
    </xf>
    <xf numFmtId="0" fontId="11" fillId="0" borderId="2" xfId="0" applyFont="1" applyBorder="1" applyAlignment="1">
      <alignment horizontal="left" vertical="center" wrapText="1"/>
    </xf>
    <xf numFmtId="0" fontId="11" fillId="0" borderId="2" xfId="0" applyFont="1" applyBorder="1" applyAlignment="1">
      <alignment horizontal="left" vertical="center"/>
    </xf>
    <xf numFmtId="2" fontId="11" fillId="0" borderId="2" xfId="0" applyNumberFormat="1" applyFont="1" applyBorder="1" applyAlignment="1">
      <alignment horizontal="left" vertical="center" wrapText="1"/>
    </xf>
    <xf numFmtId="171" fontId="11" fillId="0" borderId="2" xfId="6" applyNumberFormat="1" applyFont="1" applyBorder="1"/>
    <xf numFmtId="0" fontId="17" fillId="0" borderId="2" xfId="0" applyFont="1" applyBorder="1" applyAlignment="1">
      <alignment horizontal="left" vertical="center" wrapText="1"/>
    </xf>
    <xf numFmtId="17" fontId="11" fillId="0" borderId="2" xfId="0" applyNumberFormat="1" applyFont="1" applyBorder="1" applyAlignment="1">
      <alignment horizontal="left" vertical="center"/>
    </xf>
    <xf numFmtId="2" fontId="11" fillId="0" borderId="2" xfId="0" applyNumberFormat="1" applyFont="1" applyBorder="1" applyAlignment="1">
      <alignment horizontal="left" vertical="center"/>
    </xf>
    <xf numFmtId="0" fontId="17" fillId="0" borderId="2" xfId="0" applyFont="1" applyBorder="1" applyAlignment="1">
      <alignment vertical="center"/>
    </xf>
    <xf numFmtId="0" fontId="2" fillId="0" borderId="2" xfId="0" applyFont="1" applyBorder="1" applyAlignment="1">
      <alignment horizontal="center" vertical="center" wrapText="1"/>
    </xf>
    <xf numFmtId="0" fontId="11" fillId="0" borderId="2" xfId="0" applyFont="1" applyBorder="1"/>
    <xf numFmtId="2" fontId="11" fillId="0" borderId="2" xfId="0" applyNumberFormat="1" applyFont="1" applyBorder="1"/>
    <xf numFmtId="0" fontId="11" fillId="0" borderId="3" xfId="0" applyFont="1" applyBorder="1"/>
    <xf numFmtId="9" fontId="11" fillId="22" borderId="2" xfId="2" applyFont="1" applyFill="1" applyBorder="1" applyAlignment="1">
      <alignment horizontal="center" vertical="center"/>
    </xf>
    <xf numFmtId="9" fontId="11" fillId="0" borderId="2" xfId="2" applyFont="1" applyFill="1" applyBorder="1" applyAlignment="1">
      <alignment horizontal="center" vertical="center"/>
    </xf>
    <xf numFmtId="2" fontId="11" fillId="0" borderId="2" xfId="0" applyNumberFormat="1" applyFont="1" applyBorder="1" applyAlignment="1">
      <alignment vertical="center"/>
    </xf>
    <xf numFmtId="2" fontId="11" fillId="0" borderId="2" xfId="0" applyNumberFormat="1" applyFont="1" applyBorder="1" applyAlignment="1">
      <alignment horizontal="center" vertical="center"/>
    </xf>
    <xf numFmtId="9" fontId="11" fillId="25" borderId="2" xfId="2" applyFont="1" applyFill="1" applyBorder="1" applyAlignment="1">
      <alignment horizontal="center" vertical="center"/>
    </xf>
    <xf numFmtId="9" fontId="11" fillId="25" borderId="2" xfId="2" applyFont="1" applyFill="1" applyBorder="1" applyAlignment="1">
      <alignment horizontal="center" vertical="center" wrapText="1"/>
    </xf>
    <xf numFmtId="9" fontId="11" fillId="0" borderId="0" xfId="2" applyFont="1" applyFill="1" applyBorder="1" applyAlignment="1">
      <alignment horizontal="center" vertical="center"/>
    </xf>
    <xf numFmtId="9" fontId="11" fillId="0" borderId="0" xfId="2" applyFont="1" applyFill="1" applyBorder="1" applyAlignment="1">
      <alignment horizontal="center" vertical="center" wrapText="1"/>
    </xf>
    <xf numFmtId="9" fontId="11" fillId="0" borderId="0" xfId="2" applyFont="1" applyBorder="1" applyAlignment="1">
      <alignment horizontal="center" vertical="center"/>
    </xf>
    <xf numFmtId="10" fontId="11" fillId="0" borderId="0" xfId="8" applyNumberFormat="1" applyFont="1" applyFill="1" applyBorder="1" applyAlignment="1"/>
    <xf numFmtId="0" fontId="50" fillId="0" borderId="2" xfId="0" applyFont="1" applyBorder="1" applyAlignment="1">
      <alignment horizontal="center" vertical="center" wrapText="1"/>
    </xf>
    <xf numFmtId="0" fontId="48" fillId="0" borderId="0" xfId="0" applyFont="1" applyAlignment="1">
      <alignment horizontal="center" vertical="center" wrapText="1"/>
    </xf>
    <xf numFmtId="10" fontId="11" fillId="0" borderId="2" xfId="8" applyNumberFormat="1" applyFont="1" applyFill="1" applyBorder="1" applyAlignment="1">
      <alignment horizontal="center"/>
    </xf>
    <xf numFmtId="9" fontId="48" fillId="6" borderId="0" xfId="2" applyFont="1" applyFill="1" applyBorder="1" applyAlignment="1">
      <alignment horizontal="left" vertical="center"/>
    </xf>
    <xf numFmtId="9" fontId="11" fillId="6" borderId="0" xfId="2" applyFont="1" applyFill="1" applyBorder="1" applyAlignment="1">
      <alignment horizontal="center" vertical="center"/>
    </xf>
    <xf numFmtId="0" fontId="11" fillId="0" borderId="2" xfId="0" applyFont="1" applyBorder="1" applyAlignment="1">
      <alignment vertical="top" wrapText="1"/>
    </xf>
    <xf numFmtId="0" fontId="11" fillId="0" borderId="15" xfId="0" applyFont="1" applyBorder="1" applyAlignment="1">
      <alignment horizontal="center" vertical="center"/>
    </xf>
    <xf numFmtId="0" fontId="11" fillId="0" borderId="38" xfId="0" applyFont="1" applyBorder="1" applyAlignment="1">
      <alignment horizontal="center" vertical="center"/>
    </xf>
    <xf numFmtId="0" fontId="11" fillId="0" borderId="38" xfId="0" applyFont="1" applyBorder="1" applyAlignment="1">
      <alignment horizontal="center" wrapText="1"/>
    </xf>
    <xf numFmtId="2" fontId="17" fillId="13" borderId="0" xfId="0" applyNumberFormat="1" applyFont="1" applyFill="1" applyAlignment="1">
      <alignment horizontal="left" vertical="center"/>
    </xf>
    <xf numFmtId="0" fontId="11" fillId="13" borderId="0" xfId="0" applyFont="1" applyFill="1"/>
    <xf numFmtId="0" fontId="17" fillId="0" borderId="0" xfId="0" applyFont="1" applyAlignment="1">
      <alignment wrapText="1"/>
    </xf>
    <xf numFmtId="0" fontId="17" fillId="0" borderId="0" xfId="0" applyFont="1" applyAlignment="1">
      <alignment horizontal="left"/>
    </xf>
    <xf numFmtId="0" fontId="17" fillId="0" borderId="0" xfId="0" applyFont="1" applyAlignment="1">
      <alignment horizontal="center"/>
    </xf>
    <xf numFmtId="0" fontId="11" fillId="13" borderId="0" xfId="0" applyFont="1" applyFill="1" applyAlignment="1">
      <alignment horizontal="left"/>
    </xf>
    <xf numFmtId="2" fontId="11" fillId="0" borderId="0" xfId="0" applyNumberFormat="1" applyFont="1" applyAlignment="1">
      <alignment vertical="center"/>
    </xf>
    <xf numFmtId="17" fontId="11" fillId="0" borderId="0" xfId="0" applyNumberFormat="1" applyFont="1" applyAlignment="1">
      <alignment horizontal="left" vertical="center"/>
    </xf>
    <xf numFmtId="2" fontId="11" fillId="0" borderId="0" xfId="0" applyNumberFormat="1" applyFont="1" applyAlignment="1">
      <alignment horizontal="left" vertical="center"/>
    </xf>
    <xf numFmtId="0" fontId="11" fillId="0" borderId="0" xfId="0" applyFont="1" applyAlignment="1">
      <alignment horizontal="left" vertical="center" wrapText="1"/>
    </xf>
    <xf numFmtId="2" fontId="17" fillId="0" borderId="0" xfId="0" applyNumberFormat="1" applyFont="1" applyAlignment="1">
      <alignment horizontal="left" vertical="center"/>
    </xf>
    <xf numFmtId="0" fontId="40" fillId="27" borderId="0" xfId="0" applyFont="1" applyFill="1"/>
    <xf numFmtId="0" fontId="51" fillId="27" borderId="0" xfId="0" applyFont="1" applyFill="1"/>
    <xf numFmtId="0" fontId="17" fillId="20" borderId="2" xfId="0" applyFont="1" applyFill="1" applyBorder="1" applyAlignment="1">
      <alignment horizontal="center" vertical="center"/>
    </xf>
    <xf numFmtId="0" fontId="17" fillId="0" borderId="0" xfId="0" applyFont="1" applyAlignment="1">
      <alignment horizontal="center" vertical="center" wrapText="1"/>
    </xf>
    <xf numFmtId="0" fontId="42" fillId="20" borderId="38" xfId="0" applyFont="1" applyFill="1" applyBorder="1" applyAlignment="1">
      <alignment horizontal="center" vertical="center" wrapText="1"/>
    </xf>
    <xf numFmtId="0" fontId="11" fillId="0" borderId="38" xfId="0" applyFont="1" applyBorder="1" applyAlignment="1">
      <alignment horizontal="center" vertical="center" wrapText="1"/>
    </xf>
    <xf numFmtId="0" fontId="42" fillId="9" borderId="38" xfId="0" applyFont="1" applyFill="1" applyBorder="1" applyAlignment="1">
      <alignment horizontal="left" vertical="center" wrapText="1"/>
    </xf>
    <xf numFmtId="0" fontId="42" fillId="9" borderId="38" xfId="0" applyFont="1" applyFill="1" applyBorder="1" applyAlignment="1">
      <alignment horizontal="center" vertical="center" wrapText="1"/>
    </xf>
    <xf numFmtId="0" fontId="11" fillId="9" borderId="3" xfId="0" applyFont="1" applyFill="1" applyBorder="1" applyAlignment="1">
      <alignment vertical="center" wrapText="1"/>
    </xf>
    <xf numFmtId="164" fontId="11" fillId="0" borderId="38" xfId="8" applyNumberFormat="1" applyFont="1" applyBorder="1" applyAlignment="1">
      <alignment horizontal="center"/>
    </xf>
    <xf numFmtId="0" fontId="11" fillId="28" borderId="0" xfId="0" applyFont="1" applyFill="1"/>
    <xf numFmtId="0" fontId="17" fillId="3" borderId="22" xfId="0" applyFont="1" applyFill="1" applyBorder="1" applyAlignment="1">
      <alignment horizontal="center" vertical="center" wrapText="1"/>
    </xf>
    <xf numFmtId="0" fontId="17" fillId="3" borderId="22" xfId="0" applyFont="1" applyFill="1" applyBorder="1" applyAlignment="1">
      <alignment horizontal="left" vertical="center" wrapText="1"/>
    </xf>
    <xf numFmtId="0" fontId="17" fillId="3" borderId="0" xfId="0" applyFont="1" applyFill="1" applyAlignment="1">
      <alignment horizontal="left" vertical="center" wrapText="1"/>
    </xf>
    <xf numFmtId="0" fontId="17" fillId="0" borderId="0" xfId="0" applyFont="1" applyAlignment="1">
      <alignment horizontal="left" vertical="center" wrapText="1"/>
    </xf>
    <xf numFmtId="9" fontId="11" fillId="0" borderId="2" xfId="0" applyNumberFormat="1" applyFont="1" applyBorder="1" applyAlignment="1">
      <alignment horizontal="center"/>
    </xf>
    <xf numFmtId="9" fontId="11" fillId="0" borderId="2" xfId="2" applyFont="1" applyBorder="1"/>
    <xf numFmtId="164" fontId="11" fillId="0" borderId="2" xfId="2" applyNumberFormat="1" applyFont="1" applyBorder="1" applyAlignment="1">
      <alignment horizontal="center"/>
    </xf>
    <xf numFmtId="164" fontId="11" fillId="0" borderId="0" xfId="2" applyNumberFormat="1" applyFont="1" applyBorder="1" applyAlignment="1">
      <alignment horizontal="center"/>
    </xf>
    <xf numFmtId="9" fontId="11" fillId="0" borderId="0" xfId="2" applyFont="1" applyAlignment="1">
      <alignment horizontal="left"/>
    </xf>
    <xf numFmtId="1" fontId="11" fillId="0" borderId="0" xfId="2" applyNumberFormat="1" applyFont="1" applyAlignment="1">
      <alignment horizontal="left"/>
    </xf>
    <xf numFmtId="164" fontId="11" fillId="0" borderId="0" xfId="2" applyNumberFormat="1" applyFont="1" applyFill="1" applyBorder="1" applyAlignment="1">
      <alignment horizontal="center"/>
    </xf>
    <xf numFmtId="165" fontId="11" fillId="0" borderId="0" xfId="0" applyNumberFormat="1" applyFont="1"/>
    <xf numFmtId="9" fontId="11" fillId="0" borderId="0" xfId="2" applyFont="1" applyBorder="1"/>
    <xf numFmtId="1" fontId="11" fillId="0" borderId="0" xfId="2" applyNumberFormat="1" applyFont="1"/>
    <xf numFmtId="1" fontId="11" fillId="0" borderId="0" xfId="2" applyNumberFormat="1" applyFont="1" applyFill="1" applyBorder="1" applyAlignment="1">
      <alignment horizontal="center" vertical="center"/>
    </xf>
    <xf numFmtId="1" fontId="11" fillId="0" borderId="0" xfId="2" applyNumberFormat="1" applyFont="1" applyFill="1"/>
    <xf numFmtId="1" fontId="11" fillId="0" borderId="0" xfId="0" applyNumberFormat="1" applyFont="1" applyAlignment="1">
      <alignment vertical="center"/>
    </xf>
    <xf numFmtId="1" fontId="11" fillId="0" borderId="0" xfId="0" applyNumberFormat="1" applyFont="1"/>
    <xf numFmtId="9" fontId="11" fillId="0" borderId="0" xfId="2" applyFont="1" applyFill="1" applyBorder="1"/>
    <xf numFmtId="9" fontId="11" fillId="0" borderId="0" xfId="0" applyNumberFormat="1" applyFont="1"/>
    <xf numFmtId="9" fontId="11" fillId="0" borderId="0" xfId="2" applyFont="1"/>
    <xf numFmtId="0" fontId="17" fillId="3" borderId="2" xfId="0" applyFont="1" applyFill="1" applyBorder="1" applyAlignment="1">
      <alignment horizontal="left" vertical="center" wrapText="1"/>
    </xf>
    <xf numFmtId="9" fontId="11" fillId="0" borderId="0" xfId="2" applyFont="1" applyFill="1" applyBorder="1" applyAlignment="1">
      <alignment horizontal="center"/>
    </xf>
    <xf numFmtId="1" fontId="11" fillId="0" borderId="0" xfId="0" applyNumberFormat="1" applyFont="1" applyAlignment="1">
      <alignment horizontal="center"/>
    </xf>
    <xf numFmtId="0" fontId="52" fillId="23" borderId="2" xfId="0" applyFont="1" applyFill="1" applyBorder="1" applyAlignment="1">
      <alignment horizontal="left" vertical="center" wrapText="1"/>
    </xf>
    <xf numFmtId="0" fontId="52" fillId="23" borderId="2" xfId="0" applyFont="1" applyFill="1" applyBorder="1" applyAlignment="1">
      <alignment horizontal="left" vertical="center"/>
    </xf>
    <xf numFmtId="0" fontId="52" fillId="23" borderId="2" xfId="0" applyFont="1" applyFill="1" applyBorder="1" applyAlignment="1">
      <alignment horizontal="center" vertical="center" wrapText="1"/>
    </xf>
    <xf numFmtId="0" fontId="52" fillId="23" borderId="19" xfId="0" applyFont="1" applyFill="1" applyBorder="1" applyAlignment="1">
      <alignment horizontal="center" vertical="center" wrapText="1"/>
    </xf>
    <xf numFmtId="1" fontId="50" fillId="0" borderId="20" xfId="0" applyNumberFormat="1" applyFont="1" applyBorder="1" applyAlignment="1">
      <alignment horizontal="left"/>
    </xf>
    <xf numFmtId="0" fontId="50" fillId="0" borderId="20" xfId="0" applyFont="1" applyBorder="1" applyAlignment="1">
      <alignment horizontal="left"/>
    </xf>
    <xf numFmtId="0" fontId="11" fillId="0" borderId="20" xfId="0" applyFont="1" applyBorder="1" applyAlignment="1">
      <alignment horizontal="left"/>
    </xf>
    <xf numFmtId="10" fontId="11" fillId="0" borderId="20" xfId="8" applyNumberFormat="1" applyFont="1" applyBorder="1" applyAlignment="1">
      <alignment horizontal="center"/>
    </xf>
    <xf numFmtId="10" fontId="11" fillId="0" borderId="0" xfId="8" applyNumberFormat="1" applyFont="1" applyBorder="1" applyAlignment="1">
      <alignment horizontal="center"/>
    </xf>
    <xf numFmtId="10" fontId="11" fillId="0" borderId="21" xfId="8" applyNumberFormat="1" applyFont="1" applyBorder="1" applyAlignment="1">
      <alignment horizontal="center"/>
    </xf>
    <xf numFmtId="10" fontId="11" fillId="4" borderId="0" xfId="8" applyNumberFormat="1" applyFont="1" applyFill="1" applyBorder="1" applyAlignment="1">
      <alignment horizontal="center"/>
    </xf>
    <xf numFmtId="164" fontId="11" fillId="0" borderId="0" xfId="2" applyNumberFormat="1" applyFont="1"/>
    <xf numFmtId="9" fontId="17" fillId="0" borderId="0" xfId="2" applyFont="1" applyFill="1" applyBorder="1"/>
    <xf numFmtId="164" fontId="11" fillId="0" borderId="0" xfId="0" applyNumberFormat="1" applyFont="1"/>
    <xf numFmtId="0" fontId="53" fillId="0" borderId="0" xfId="0" applyFont="1"/>
    <xf numFmtId="0" fontId="40" fillId="0" borderId="0" xfId="0" applyFont="1" applyAlignment="1">
      <alignment vertical="center" wrapText="1"/>
    </xf>
    <xf numFmtId="0" fontId="52" fillId="21" borderId="15" xfId="0" applyFont="1" applyFill="1" applyBorder="1" applyAlignment="1">
      <alignment horizontal="center" vertical="center" wrapText="1"/>
    </xf>
    <xf numFmtId="0" fontId="11" fillId="0" borderId="2" xfId="4" applyBorder="1" applyAlignment="1">
      <alignment horizontal="center"/>
    </xf>
    <xf numFmtId="0" fontId="42" fillId="20" borderId="2" xfId="0" applyFont="1" applyFill="1" applyBorder="1" applyAlignment="1">
      <alignment horizontal="center" vertical="center" wrapText="1"/>
    </xf>
    <xf numFmtId="0" fontId="2" fillId="0" borderId="2" xfId="0" applyFont="1" applyBorder="1" applyAlignment="1">
      <alignment horizontal="center" vertical="center"/>
    </xf>
    <xf numFmtId="0" fontId="17" fillId="20" borderId="38" xfId="0" applyFont="1" applyFill="1" applyBorder="1" applyAlignment="1">
      <alignment horizontal="center" vertical="center"/>
    </xf>
    <xf numFmtId="0" fontId="11" fillId="0" borderId="47" xfId="0" applyFont="1" applyBorder="1" applyAlignment="1">
      <alignment horizontal="center" vertical="center"/>
    </xf>
    <xf numFmtId="9" fontId="11" fillId="0" borderId="0" xfId="0" applyNumberFormat="1" applyFont="1" applyAlignment="1">
      <alignment vertical="center"/>
    </xf>
    <xf numFmtId="0" fontId="17" fillId="0" borderId="0" xfId="0" applyFont="1" applyAlignment="1">
      <alignment vertical="center"/>
    </xf>
    <xf numFmtId="0" fontId="32" fillId="0" borderId="0" xfId="5" applyFont="1" applyAlignment="1">
      <alignment vertical="center"/>
    </xf>
    <xf numFmtId="0" fontId="2" fillId="0" borderId="0" xfId="5" applyFont="1"/>
    <xf numFmtId="0" fontId="32" fillId="0" borderId="0" xfId="5" applyFont="1" applyFill="1" applyAlignment="1">
      <alignment vertical="center"/>
    </xf>
    <xf numFmtId="0" fontId="11" fillId="0" borderId="38" xfId="0" applyFont="1" applyBorder="1"/>
    <xf numFmtId="0" fontId="17" fillId="9" borderId="0" xfId="0" applyFont="1" applyFill="1"/>
    <xf numFmtId="0" fontId="48" fillId="0" borderId="0" xfId="0" applyFont="1"/>
    <xf numFmtId="0" fontId="17" fillId="0" borderId="2" xfId="0" applyFont="1" applyBorder="1" applyAlignment="1">
      <alignment horizontal="center" vertical="center"/>
    </xf>
    <xf numFmtId="0" fontId="42" fillId="0" borderId="2" xfId="0" applyFont="1" applyBorder="1" applyAlignment="1">
      <alignment horizontal="center" vertical="center" wrapText="1"/>
    </xf>
    <xf numFmtId="0" fontId="42" fillId="0" borderId="3" xfId="0" applyFont="1" applyBorder="1" applyAlignment="1">
      <alignment horizontal="center" vertical="center" wrapText="1"/>
    </xf>
    <xf numFmtId="0" fontId="42" fillId="0" borderId="0" xfId="0" applyFont="1" applyAlignment="1">
      <alignment horizontal="center" vertical="center" wrapText="1"/>
    </xf>
    <xf numFmtId="164" fontId="11" fillId="0" borderId="2" xfId="2" applyNumberFormat="1" applyFont="1" applyBorder="1" applyAlignment="1">
      <alignment horizontal="center" vertical="center"/>
    </xf>
    <xf numFmtId="164" fontId="11" fillId="0" borderId="3" xfId="2" applyNumberFormat="1" applyFont="1" applyBorder="1" applyAlignment="1">
      <alignment horizontal="center" vertical="center"/>
    </xf>
    <xf numFmtId="164" fontId="11" fillId="0" borderId="0" xfId="2" applyNumberFormat="1" applyFont="1" applyBorder="1" applyAlignment="1">
      <alignment horizontal="center" vertical="center"/>
    </xf>
    <xf numFmtId="0" fontId="17" fillId="0" borderId="2" xfId="0" applyFont="1" applyBorder="1" applyAlignment="1">
      <alignment vertical="center" wrapText="1"/>
    </xf>
    <xf numFmtId="164" fontId="11" fillId="0" borderId="2" xfId="0" applyNumberFormat="1" applyFont="1" applyBorder="1" applyAlignment="1">
      <alignment horizontal="center" vertical="center"/>
    </xf>
    <xf numFmtId="164" fontId="11" fillId="0" borderId="3" xfId="2" applyNumberFormat="1" applyFont="1" applyFill="1" applyBorder="1" applyAlignment="1">
      <alignment horizontal="center" vertical="center"/>
    </xf>
    <xf numFmtId="164" fontId="11" fillId="0" borderId="2" xfId="0" applyNumberFormat="1" applyFont="1" applyBorder="1" applyAlignment="1">
      <alignment horizontal="center" vertical="center" wrapText="1"/>
    </xf>
    <xf numFmtId="0" fontId="11" fillId="0" borderId="23" xfId="0" applyFont="1" applyBorder="1" applyAlignment="1">
      <alignment horizontal="center" vertical="center" wrapText="1"/>
    </xf>
    <xf numFmtId="0" fontId="11" fillId="0" borderId="24" xfId="0" applyFont="1" applyBorder="1" applyAlignment="1">
      <alignment horizontal="center" vertical="center" wrapText="1"/>
    </xf>
    <xf numFmtId="0" fontId="11" fillId="7" borderId="0" xfId="0" applyFont="1" applyFill="1"/>
    <xf numFmtId="0" fontId="17" fillId="13" borderId="0" xfId="0" applyFont="1" applyFill="1" applyAlignment="1">
      <alignment vertical="center"/>
    </xf>
    <xf numFmtId="0" fontId="11" fillId="7" borderId="0" xfId="0" applyFont="1" applyFill="1" applyAlignment="1">
      <alignment horizontal="left" vertical="center" wrapText="1"/>
    </xf>
    <xf numFmtId="0" fontId="17" fillId="7" borderId="0" xfId="0" applyFont="1" applyFill="1"/>
    <xf numFmtId="0" fontId="50" fillId="7" borderId="39" xfId="0" applyFont="1" applyFill="1" applyBorder="1" applyAlignment="1">
      <alignment vertical="center"/>
    </xf>
    <xf numFmtId="0" fontId="50" fillId="0" borderId="43" xfId="0" applyFont="1" applyBorder="1" applyAlignment="1">
      <alignment horizontal="center" vertical="center"/>
    </xf>
    <xf numFmtId="0" fontId="50" fillId="7" borderId="44" xfId="0" applyFont="1" applyFill="1" applyBorder="1" applyAlignment="1">
      <alignment vertical="center"/>
    </xf>
    <xf numFmtId="9" fontId="50" fillId="0" borderId="43" xfId="0" applyNumberFormat="1" applyFont="1" applyBorder="1" applyAlignment="1">
      <alignment horizontal="center" vertical="center"/>
    </xf>
    <xf numFmtId="9" fontId="50" fillId="30" borderId="43" xfId="0" applyNumberFormat="1" applyFont="1" applyFill="1" applyBorder="1" applyAlignment="1">
      <alignment horizontal="center" vertical="center"/>
    </xf>
    <xf numFmtId="0" fontId="11" fillId="7" borderId="0" xfId="0" applyFont="1" applyFill="1" applyAlignment="1">
      <alignment horizontal="left" wrapText="1"/>
    </xf>
    <xf numFmtId="0" fontId="50" fillId="7" borderId="39" xfId="0" applyFont="1" applyFill="1" applyBorder="1" applyAlignment="1">
      <alignment horizontal="center" vertical="center"/>
    </xf>
    <xf numFmtId="0" fontId="50" fillId="7" borderId="43" xfId="0" applyFont="1" applyFill="1" applyBorder="1" applyAlignment="1">
      <alignment horizontal="center" vertical="center"/>
    </xf>
    <xf numFmtId="0" fontId="50" fillId="7" borderId="44" xfId="0" applyFont="1" applyFill="1" applyBorder="1" applyAlignment="1">
      <alignment horizontal="center" vertical="center"/>
    </xf>
    <xf numFmtId="9" fontId="50" fillId="7" borderId="43" xfId="0" applyNumberFormat="1" applyFont="1" applyFill="1" applyBorder="1" applyAlignment="1">
      <alignment horizontal="center" vertical="center"/>
    </xf>
    <xf numFmtId="0" fontId="48" fillId="7" borderId="0" xfId="0" applyFont="1" applyFill="1" applyAlignment="1">
      <alignment horizontal="left" wrapText="1"/>
    </xf>
    <xf numFmtId="0" fontId="11" fillId="13" borderId="0" xfId="0" applyFont="1" applyFill="1" applyAlignment="1">
      <alignment vertical="center"/>
    </xf>
    <xf numFmtId="0" fontId="48" fillId="13" borderId="0" xfId="0" applyFont="1" applyFill="1" applyAlignment="1">
      <alignment horizontal="left" wrapText="1"/>
    </xf>
    <xf numFmtId="0" fontId="11" fillId="7" borderId="0" xfId="0" applyFont="1" applyFill="1" applyAlignment="1">
      <alignment vertical="center"/>
    </xf>
    <xf numFmtId="0" fontId="48" fillId="0" borderId="0" xfId="0" applyFont="1" applyAlignment="1">
      <alignment horizontal="left" wrapText="1"/>
    </xf>
    <xf numFmtId="0" fontId="11" fillId="11" borderId="0" xfId="0" applyFont="1" applyFill="1"/>
    <xf numFmtId="0" fontId="11" fillId="21" borderId="15" xfId="0" applyFont="1" applyFill="1" applyBorder="1" applyAlignment="1">
      <alignment horizontal="center" vertical="center"/>
    </xf>
    <xf numFmtId="0" fontId="50" fillId="21" borderId="15" xfId="0" applyFont="1" applyFill="1" applyBorder="1" applyAlignment="1">
      <alignment horizontal="center" vertical="center" wrapText="1"/>
    </xf>
    <xf numFmtId="0" fontId="11" fillId="21" borderId="2" xfId="0" applyFont="1" applyFill="1" applyBorder="1" applyAlignment="1">
      <alignment vertical="center" wrapText="1"/>
    </xf>
    <xf numFmtId="0" fontId="50" fillId="0" borderId="0" xfId="0" applyFont="1" applyAlignment="1">
      <alignment horizontal="left" vertical="center"/>
    </xf>
    <xf numFmtId="0" fontId="17" fillId="0" borderId="2" xfId="0" applyFont="1" applyBorder="1" applyAlignment="1">
      <alignment horizontal="center"/>
    </xf>
    <xf numFmtId="1" fontId="11" fillId="0" borderId="2" xfId="0" applyNumberFormat="1" applyFont="1" applyBorder="1" applyAlignment="1">
      <alignment horizontal="center"/>
    </xf>
    <xf numFmtId="1" fontId="11" fillId="0" borderId="2" xfId="2" applyNumberFormat="1" applyFont="1" applyBorder="1" applyAlignment="1">
      <alignment horizontal="center"/>
    </xf>
    <xf numFmtId="0" fontId="50" fillId="0" borderId="2" xfId="0" applyFont="1" applyBorder="1" applyAlignment="1">
      <alignment horizontal="center" vertical="center"/>
    </xf>
    <xf numFmtId="1" fontId="11" fillId="0" borderId="2" xfId="2" applyNumberFormat="1" applyFont="1" applyFill="1" applyBorder="1" applyAlignment="1">
      <alignment horizontal="center"/>
    </xf>
    <xf numFmtId="9" fontId="11" fillId="0" borderId="2" xfId="2" applyFont="1" applyFill="1" applyBorder="1" applyAlignment="1">
      <alignment horizontal="center"/>
    </xf>
    <xf numFmtId="9" fontId="11" fillId="0" borderId="2" xfId="0" applyNumberFormat="1" applyFont="1" applyBorder="1" applyAlignment="1">
      <alignment horizontal="center" vertical="center"/>
    </xf>
    <xf numFmtId="0" fontId="11" fillId="12" borderId="2" xfId="0" applyFont="1" applyFill="1" applyBorder="1" applyAlignment="1">
      <alignment vertical="center" wrapText="1"/>
    </xf>
    <xf numFmtId="9" fontId="11" fillId="24" borderId="2" xfId="2" applyFont="1" applyFill="1" applyBorder="1" applyAlignment="1">
      <alignment horizontal="center" vertical="center"/>
    </xf>
    <xf numFmtId="0" fontId="17" fillId="0" borderId="17" xfId="0" applyFont="1" applyBorder="1" applyAlignment="1">
      <alignment horizontal="center" vertical="center" wrapText="1"/>
    </xf>
    <xf numFmtId="0" fontId="40" fillId="0" borderId="0" xfId="0" applyFont="1" applyAlignment="1">
      <alignment horizontal="center" vertical="center" wrapText="1"/>
    </xf>
    <xf numFmtId="0" fontId="40" fillId="7" borderId="0" xfId="0" applyFont="1" applyFill="1" applyAlignment="1">
      <alignment wrapText="1"/>
    </xf>
    <xf numFmtId="0" fontId="17" fillId="9" borderId="2" xfId="0" applyFont="1" applyFill="1" applyBorder="1" applyAlignment="1">
      <alignment horizontal="center" vertical="center"/>
    </xf>
    <xf numFmtId="0" fontId="17" fillId="0" borderId="0" xfId="0" applyFont="1" applyAlignment="1">
      <alignment horizontal="center" vertical="center"/>
    </xf>
    <xf numFmtId="0" fontId="17" fillId="9" borderId="2" xfId="0" applyFont="1" applyFill="1" applyBorder="1" applyAlignment="1">
      <alignment horizont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horizontal="left" vertical="center" wrapText="1"/>
    </xf>
    <xf numFmtId="9" fontId="11" fillId="7" borderId="0" xfId="0" applyNumberFormat="1" applyFont="1" applyFill="1" applyAlignment="1">
      <alignment horizontal="center"/>
    </xf>
    <xf numFmtId="9" fontId="11" fillId="0" borderId="2" xfId="2" applyFont="1" applyFill="1" applyBorder="1"/>
    <xf numFmtId="164" fontId="11" fillId="0" borderId="2" xfId="2" applyNumberFormat="1" applyFont="1" applyFill="1" applyBorder="1" applyAlignment="1">
      <alignment horizontal="center"/>
    </xf>
    <xf numFmtId="0" fontId="11" fillId="13" borderId="2" xfId="0" applyFont="1" applyFill="1" applyBorder="1" applyAlignment="1">
      <alignment horizontal="center"/>
    </xf>
    <xf numFmtId="164" fontId="11" fillId="6" borderId="2" xfId="2" applyNumberFormat="1" applyFont="1" applyFill="1" applyBorder="1" applyAlignment="1">
      <alignment horizontal="center"/>
    </xf>
    <xf numFmtId="9" fontId="11" fillId="0" borderId="0" xfId="2" applyFont="1" applyFill="1" applyBorder="1" applyAlignment="1">
      <alignment horizontal="left" vertical="center"/>
    </xf>
    <xf numFmtId="11" fontId="11" fillId="0" borderId="0" xfId="0" applyNumberFormat="1" applyFont="1"/>
    <xf numFmtId="0" fontId="11" fillId="6" borderId="0" xfId="0" applyFont="1" applyFill="1" applyAlignment="1">
      <alignment vertical="center"/>
    </xf>
    <xf numFmtId="0" fontId="56" fillId="20" borderId="2" xfId="5" applyFont="1" applyFill="1" applyBorder="1" applyAlignment="1">
      <alignment horizontal="center" vertical="center"/>
    </xf>
    <xf numFmtId="0" fontId="17" fillId="20" borderId="38" xfId="0" applyFont="1" applyFill="1" applyBorder="1" applyAlignment="1">
      <alignment vertical="center"/>
    </xf>
    <xf numFmtId="0" fontId="11" fillId="0" borderId="38" xfId="0" applyFont="1" applyBorder="1" applyAlignment="1">
      <alignment vertical="center"/>
    </xf>
    <xf numFmtId="0" fontId="48" fillId="0" borderId="0" xfId="0" applyFont="1" applyAlignment="1">
      <alignment wrapText="1"/>
    </xf>
    <xf numFmtId="0" fontId="11" fillId="0" borderId="38" xfId="4" applyBorder="1" applyAlignment="1">
      <alignment horizontal="center" vertical="center"/>
    </xf>
    <xf numFmtId="0" fontId="52" fillId="20" borderId="15" xfId="0" applyFont="1" applyFill="1" applyBorder="1" applyAlignment="1">
      <alignment horizontal="center" vertical="center" wrapText="1"/>
    </xf>
    <xf numFmtId="0" fontId="11" fillId="0" borderId="6" xfId="0" applyFont="1" applyBorder="1" applyAlignment="1">
      <alignment vertical="top" wrapText="1"/>
    </xf>
    <xf numFmtId="0" fontId="11" fillId="0" borderId="7" xfId="0" applyFont="1" applyBorder="1" applyAlignment="1">
      <alignment horizontal="center" vertical="top" wrapText="1"/>
    </xf>
    <xf numFmtId="0" fontId="52" fillId="20" borderId="15" xfId="0" applyFont="1" applyFill="1" applyBorder="1" applyAlignment="1">
      <alignment horizontal="center" vertical="center"/>
    </xf>
    <xf numFmtId="9" fontId="11" fillId="0" borderId="38" xfId="2" applyFont="1" applyFill="1" applyBorder="1" applyAlignment="1">
      <alignment horizontal="center" vertical="center"/>
    </xf>
    <xf numFmtId="0" fontId="2" fillId="26" borderId="3" xfId="0" applyFont="1" applyFill="1" applyBorder="1" applyAlignment="1">
      <alignment horizontal="center" wrapText="1"/>
    </xf>
    <xf numFmtId="11" fontId="11" fillId="0" borderId="14" xfId="0" applyNumberFormat="1" applyFont="1" applyBorder="1" applyAlignment="1">
      <alignment horizontal="center" vertical="center" wrapText="1"/>
    </xf>
    <xf numFmtId="0" fontId="11" fillId="0" borderId="15" xfId="0" applyFont="1" applyBorder="1"/>
    <xf numFmtId="0" fontId="11" fillId="0" borderId="18" xfId="0" applyFont="1" applyBorder="1"/>
    <xf numFmtId="0" fontId="11" fillId="0" borderId="21" xfId="0" applyFont="1" applyBorder="1"/>
    <xf numFmtId="0" fontId="11" fillId="0" borderId="19" xfId="0" applyFont="1" applyBorder="1"/>
    <xf numFmtId="0" fontId="11" fillId="0" borderId="25" xfId="0" applyFont="1" applyBorder="1"/>
    <xf numFmtId="0" fontId="11" fillId="0" borderId="22" xfId="0" applyFont="1" applyBorder="1"/>
    <xf numFmtId="3" fontId="11" fillId="0" borderId="2" xfId="0" applyNumberFormat="1" applyFont="1" applyBorder="1" applyAlignment="1">
      <alignment horizontal="center" vertical="center"/>
    </xf>
    <xf numFmtId="0" fontId="11" fillId="20" borderId="38" xfId="0" applyFont="1" applyFill="1" applyBorder="1" applyAlignment="1">
      <alignment horizontal="center" vertical="center"/>
    </xf>
    <xf numFmtId="2" fontId="11" fillId="0" borderId="38" xfId="0" applyNumberFormat="1" applyFont="1" applyBorder="1" applyAlignment="1">
      <alignment horizontal="center" vertical="center"/>
    </xf>
    <xf numFmtId="2" fontId="11" fillId="0" borderId="38" xfId="0" applyNumberFormat="1" applyFont="1" applyBorder="1" applyAlignment="1">
      <alignment horizontal="center" vertical="center" wrapText="1"/>
    </xf>
    <xf numFmtId="0" fontId="17" fillId="0" borderId="38" xfId="0" applyFont="1" applyBorder="1" applyAlignment="1">
      <alignment horizontal="center" vertical="center"/>
    </xf>
    <xf numFmtId="166" fontId="11" fillId="0" borderId="38" xfId="0" applyNumberFormat="1" applyFont="1" applyBorder="1" applyAlignment="1">
      <alignment horizontal="center" vertical="center"/>
    </xf>
    <xf numFmtId="11" fontId="11" fillId="0" borderId="0" xfId="0" applyNumberFormat="1" applyFont="1" applyAlignment="1">
      <alignment horizontal="center" vertical="center"/>
    </xf>
    <xf numFmtId="11" fontId="11" fillId="0" borderId="0" xfId="0" applyNumberFormat="1" applyFont="1" applyAlignment="1">
      <alignment horizontal="center" vertical="center" wrapText="1"/>
    </xf>
    <xf numFmtId="0" fontId="49" fillId="0" borderId="0" xfId="0" applyFont="1" applyAlignment="1">
      <alignment horizontal="center" vertical="center"/>
    </xf>
    <xf numFmtId="0" fontId="49" fillId="0" borderId="54" xfId="0" applyFont="1" applyBorder="1" applyAlignment="1">
      <alignment horizontal="center" vertical="center"/>
    </xf>
    <xf numFmtId="169" fontId="49" fillId="0" borderId="54" xfId="0" applyNumberFormat="1" applyFont="1" applyBorder="1" applyAlignment="1">
      <alignment horizontal="center" vertical="center"/>
    </xf>
    <xf numFmtId="0" fontId="49" fillId="0" borderId="55" xfId="0" applyFont="1" applyBorder="1" applyAlignment="1">
      <alignment horizontal="center" vertical="center"/>
    </xf>
    <xf numFmtId="0" fontId="49" fillId="0" borderId="57" xfId="0" applyFont="1" applyBorder="1" applyAlignment="1">
      <alignment horizontal="center" vertical="center"/>
    </xf>
    <xf numFmtId="0" fontId="49" fillId="0" borderId="58" xfId="0" applyFont="1" applyBorder="1" applyAlignment="1">
      <alignment horizontal="center" vertical="center"/>
    </xf>
    <xf numFmtId="0" fontId="49" fillId="0" borderId="60" xfId="0" applyFont="1" applyBorder="1" applyAlignment="1">
      <alignment horizontal="center" vertical="center"/>
    </xf>
    <xf numFmtId="0" fontId="49" fillId="0" borderId="62" xfId="0" applyFont="1" applyBorder="1" applyAlignment="1">
      <alignment horizontal="center" vertical="center"/>
    </xf>
    <xf numFmtId="0" fontId="49" fillId="0" borderId="63" xfId="0" applyFont="1" applyBorder="1" applyAlignment="1">
      <alignment horizontal="center" vertical="center"/>
    </xf>
    <xf numFmtId="169" fontId="49" fillId="0" borderId="57" xfId="0" applyNumberFormat="1" applyFont="1" applyBorder="1" applyAlignment="1">
      <alignment horizontal="center" vertical="center"/>
    </xf>
    <xf numFmtId="169" fontId="49" fillId="0" borderId="58" xfId="0" applyNumberFormat="1" applyFont="1" applyBorder="1" applyAlignment="1">
      <alignment horizontal="center" vertical="center"/>
    </xf>
    <xf numFmtId="169" fontId="49" fillId="0" borderId="60" xfId="0" applyNumberFormat="1" applyFont="1" applyBorder="1" applyAlignment="1">
      <alignment horizontal="center" vertical="center"/>
    </xf>
    <xf numFmtId="169" fontId="49" fillId="0" borderId="62" xfId="0" applyNumberFormat="1" applyFont="1" applyBorder="1" applyAlignment="1">
      <alignment horizontal="center" vertical="center"/>
    </xf>
    <xf numFmtId="169" fontId="49" fillId="0" borderId="63" xfId="0" applyNumberFormat="1" applyFont="1" applyBorder="1" applyAlignment="1">
      <alignment horizontal="center" vertical="center"/>
    </xf>
    <xf numFmtId="0" fontId="49" fillId="0" borderId="68" xfId="0" applyFont="1" applyBorder="1" applyAlignment="1">
      <alignment horizontal="center" vertical="center"/>
    </xf>
    <xf numFmtId="0" fontId="57" fillId="7" borderId="0" xfId="0" applyFont="1" applyFill="1" applyAlignment="1">
      <alignment vertical="center" wrapText="1"/>
    </xf>
    <xf numFmtId="0" fontId="49" fillId="7" borderId="0" xfId="0" applyFont="1" applyFill="1" applyAlignment="1">
      <alignment horizontal="center" vertical="center"/>
    </xf>
    <xf numFmtId="166" fontId="49" fillId="7" borderId="0" xfId="0" applyNumberFormat="1" applyFont="1" applyFill="1" applyAlignment="1">
      <alignment horizontal="center" vertical="center"/>
    </xf>
    <xf numFmtId="0" fontId="49" fillId="0" borderId="2" xfId="0" applyFont="1" applyBorder="1" applyAlignment="1">
      <alignment horizontal="center" vertical="center"/>
    </xf>
    <xf numFmtId="0" fontId="49" fillId="0" borderId="1" xfId="0" applyFont="1" applyBorder="1" applyAlignment="1">
      <alignment horizontal="center" vertical="center"/>
    </xf>
    <xf numFmtId="0" fontId="49" fillId="0" borderId="5" xfId="0" applyFont="1" applyBorder="1" applyAlignment="1">
      <alignment horizontal="center" vertical="center"/>
    </xf>
    <xf numFmtId="0" fontId="49" fillId="0" borderId="7" xfId="0" applyFont="1" applyBorder="1" applyAlignment="1">
      <alignment horizontal="center" vertical="center"/>
    </xf>
    <xf numFmtId="0" fontId="49" fillId="0" borderId="69" xfId="0" applyFont="1" applyBorder="1" applyAlignment="1">
      <alignment horizontal="center" vertical="center"/>
    </xf>
    <xf numFmtId="0" fontId="49" fillId="0" borderId="9" xfId="0" applyFont="1" applyBorder="1" applyAlignment="1">
      <alignment horizontal="center" vertical="center"/>
    </xf>
    <xf numFmtId="0" fontId="11" fillId="0" borderId="35" xfId="0" applyFont="1" applyBorder="1" applyAlignment="1">
      <alignment horizontal="center" vertical="center" wrapText="1"/>
    </xf>
    <xf numFmtId="3" fontId="11" fillId="0" borderId="6" xfId="6" applyNumberFormat="1" applyFont="1" applyFill="1" applyBorder="1" applyAlignment="1">
      <alignment horizontal="center"/>
    </xf>
    <xf numFmtId="3" fontId="11" fillId="0" borderId="2" xfId="6" applyNumberFormat="1" applyFont="1" applyFill="1" applyBorder="1" applyAlignment="1">
      <alignment horizontal="center"/>
    </xf>
    <xf numFmtId="3" fontId="11" fillId="0" borderId="7" xfId="6" applyNumberFormat="1" applyFont="1" applyFill="1" applyBorder="1" applyAlignment="1">
      <alignment horizontal="center"/>
    </xf>
    <xf numFmtId="3" fontId="11" fillId="0" borderId="0" xfId="6" applyNumberFormat="1" applyFont="1" applyFill="1" applyBorder="1" applyAlignment="1">
      <alignment horizontal="center"/>
    </xf>
    <xf numFmtId="167" fontId="11" fillId="0" borderId="6" xfId="6" applyNumberFormat="1" applyFont="1" applyFill="1" applyBorder="1" applyAlignment="1">
      <alignment horizontal="center"/>
    </xf>
    <xf numFmtId="167" fontId="11" fillId="0" borderId="2" xfId="6" applyNumberFormat="1" applyFont="1" applyFill="1" applyBorder="1" applyAlignment="1">
      <alignment horizontal="center"/>
    </xf>
    <xf numFmtId="167" fontId="11" fillId="0" borderId="7" xfId="6" applyNumberFormat="1" applyFont="1" applyFill="1" applyBorder="1" applyAlignment="1">
      <alignment horizontal="center"/>
    </xf>
    <xf numFmtId="0" fontId="42" fillId="20" borderId="48" xfId="0" applyFont="1" applyFill="1" applyBorder="1" applyAlignment="1">
      <alignment horizontal="center" vertical="center" wrapText="1"/>
    </xf>
    <xf numFmtId="171" fontId="11" fillId="0" borderId="38" xfId="6" applyNumberFormat="1" applyFont="1" applyBorder="1" applyAlignment="1">
      <alignment horizontal="center" vertical="center"/>
    </xf>
    <xf numFmtId="0" fontId="17" fillId="3" borderId="2" xfId="0" applyFont="1" applyFill="1" applyBorder="1" applyAlignment="1">
      <alignment horizontal="left" vertical="center"/>
    </xf>
    <xf numFmtId="0" fontId="17" fillId="5" borderId="2" xfId="0" applyFont="1" applyFill="1" applyBorder="1" applyAlignment="1">
      <alignment horizontal="left" vertical="center" wrapText="1"/>
    </xf>
    <xf numFmtId="0" fontId="11" fillId="0" borderId="2" xfId="0" applyFont="1" applyBorder="1" applyAlignment="1">
      <alignment horizontal="left"/>
    </xf>
    <xf numFmtId="3" fontId="11" fillId="0" borderId="2" xfId="0" applyNumberFormat="1" applyFont="1" applyBorder="1" applyAlignment="1">
      <alignment horizontal="left"/>
    </xf>
    <xf numFmtId="4" fontId="11" fillId="0" borderId="2" xfId="0" applyNumberFormat="1" applyFont="1" applyBorder="1" applyAlignment="1">
      <alignment horizontal="left"/>
    </xf>
    <xf numFmtId="164" fontId="11" fillId="0" borderId="2" xfId="2" applyNumberFormat="1" applyFont="1" applyBorder="1" applyAlignment="1">
      <alignment horizontal="left"/>
    </xf>
    <xf numFmtId="167" fontId="11" fillId="0" borderId="2" xfId="0" applyNumberFormat="1" applyFont="1" applyBorder="1" applyAlignment="1">
      <alignment horizontal="left"/>
    </xf>
    <xf numFmtId="3" fontId="11" fillId="0" borderId="0" xfId="0" applyNumberFormat="1" applyFont="1" applyAlignment="1">
      <alignment horizontal="left"/>
    </xf>
    <xf numFmtId="4" fontId="11" fillId="0" borderId="0" xfId="0" applyNumberFormat="1" applyFont="1" applyAlignment="1">
      <alignment horizontal="left"/>
    </xf>
    <xf numFmtId="164" fontId="11" fillId="0" borderId="0" xfId="2" applyNumberFormat="1" applyFont="1" applyFill="1" applyBorder="1" applyAlignment="1">
      <alignment horizontal="left"/>
    </xf>
    <xf numFmtId="167" fontId="11" fillId="0" borderId="0" xfId="0" applyNumberFormat="1" applyFont="1" applyAlignment="1">
      <alignment horizontal="left"/>
    </xf>
    <xf numFmtId="171" fontId="11" fillId="0" borderId="0" xfId="6" applyNumberFormat="1" applyFont="1"/>
    <xf numFmtId="0" fontId="17" fillId="7" borderId="0" xfId="0" applyFont="1" applyFill="1" applyAlignment="1">
      <alignment vertical="top" wrapText="1"/>
    </xf>
    <xf numFmtId="0" fontId="17" fillId="0" borderId="2" xfId="0" applyFont="1" applyBorder="1" applyAlignment="1">
      <alignment horizontal="center" vertical="center" wrapText="1"/>
    </xf>
    <xf numFmtId="0" fontId="17" fillId="0" borderId="3" xfId="0" applyFont="1" applyBorder="1" applyAlignment="1">
      <alignment vertical="center" wrapText="1"/>
    </xf>
    <xf numFmtId="0" fontId="17" fillId="0" borderId="35" xfId="0" applyFont="1" applyBorder="1" applyAlignment="1">
      <alignment horizontal="center" vertical="center" wrapText="1"/>
    </xf>
    <xf numFmtId="0" fontId="17" fillId="0" borderId="0" xfId="0" applyFont="1" applyAlignment="1">
      <alignment horizontal="left" vertical="center"/>
    </xf>
    <xf numFmtId="9" fontId="11" fillId="0" borderId="2" xfId="2" applyFont="1" applyBorder="1" applyAlignment="1">
      <alignment horizontal="left"/>
    </xf>
    <xf numFmtId="0" fontId="11" fillId="15" borderId="2" xfId="0" applyFont="1" applyFill="1" applyBorder="1" applyAlignment="1">
      <alignment horizontal="left"/>
    </xf>
    <xf numFmtId="9" fontId="11" fillId="4" borderId="2" xfId="2" applyFont="1" applyFill="1" applyBorder="1" applyAlignment="1">
      <alignment horizontal="left"/>
    </xf>
    <xf numFmtId="0" fontId="11" fillId="4" borderId="0" xfId="0" applyFont="1" applyFill="1"/>
    <xf numFmtId="0" fontId="52" fillId="23" borderId="2" xfId="0" applyFont="1" applyFill="1" applyBorder="1" applyAlignment="1">
      <alignment horizontal="left" wrapText="1"/>
    </xf>
    <xf numFmtId="0" fontId="52" fillId="23" borderId="2" xfId="0" applyFont="1" applyFill="1" applyBorder="1" applyAlignment="1">
      <alignment horizontal="left"/>
    </xf>
    <xf numFmtId="0" fontId="50" fillId="0" borderId="19" xfId="0" applyFont="1" applyBorder="1" applyAlignment="1">
      <alignment horizontal="left"/>
    </xf>
    <xf numFmtId="0" fontId="50" fillId="0" borderId="0" xfId="0" applyFont="1" applyAlignment="1">
      <alignment horizontal="left"/>
    </xf>
    <xf numFmtId="10" fontId="11" fillId="0" borderId="0" xfId="8" applyNumberFormat="1" applyFont="1" applyAlignment="1">
      <alignment horizontal="left"/>
    </xf>
    <xf numFmtId="0" fontId="52" fillId="23" borderId="2" xfId="0" applyFont="1" applyFill="1" applyBorder="1" applyAlignment="1">
      <alignment horizontal="center" vertical="center"/>
    </xf>
    <xf numFmtId="9" fontId="11" fillId="0" borderId="0" xfId="8" applyFont="1" applyAlignment="1">
      <alignment horizontal="left" vertical="center"/>
    </xf>
    <xf numFmtId="9" fontId="11" fillId="0" borderId="0" xfId="8" applyFont="1" applyAlignment="1">
      <alignment horizontal="left"/>
    </xf>
    <xf numFmtId="10" fontId="11" fillId="0" borderId="0" xfId="0" applyNumberFormat="1" applyFont="1"/>
    <xf numFmtId="3" fontId="11" fillId="0" borderId="38" xfId="0" applyNumberFormat="1" applyFont="1" applyBorder="1"/>
    <xf numFmtId="171" fontId="11" fillId="0" borderId="38" xfId="6" applyNumberFormat="1" applyFont="1" applyBorder="1"/>
    <xf numFmtId="3" fontId="11" fillId="0" borderId="38" xfId="0" applyNumberFormat="1" applyFont="1" applyBorder="1" applyAlignment="1">
      <alignment horizontal="left"/>
    </xf>
    <xf numFmtId="9" fontId="11" fillId="0" borderId="38" xfId="2" applyFont="1" applyBorder="1"/>
    <xf numFmtId="0" fontId="11" fillId="0" borderId="0" xfId="12"/>
    <xf numFmtId="0" fontId="52" fillId="0" borderId="0" xfId="0" applyFont="1" applyAlignment="1">
      <alignment horizontal="left" vertical="center" wrapText="1"/>
    </xf>
    <xf numFmtId="0" fontId="52" fillId="0" borderId="0" xfId="0" applyFont="1" applyAlignment="1">
      <alignment horizontal="left" vertical="center"/>
    </xf>
    <xf numFmtId="0" fontId="52" fillId="0" borderId="0" xfId="0" applyFont="1" applyAlignment="1">
      <alignment horizontal="center" vertical="center" wrapText="1"/>
    </xf>
    <xf numFmtId="10" fontId="11" fillId="0" borderId="0" xfId="8" applyNumberFormat="1" applyFont="1" applyFill="1" applyBorder="1" applyAlignment="1">
      <alignment horizontal="center"/>
    </xf>
    <xf numFmtId="0" fontId="40" fillId="28" borderId="0" xfId="0" applyFont="1" applyFill="1"/>
    <xf numFmtId="0" fontId="51" fillId="28" borderId="0" xfId="0" applyFont="1" applyFill="1"/>
    <xf numFmtId="0" fontId="52" fillId="0" borderId="0" xfId="12" applyFont="1"/>
    <xf numFmtId="0" fontId="52" fillId="23" borderId="22" xfId="0" applyFont="1" applyFill="1" applyBorder="1" applyAlignment="1">
      <alignment horizontal="center" vertical="center" wrapText="1"/>
    </xf>
    <xf numFmtId="0" fontId="52" fillId="23" borderId="2" xfId="12" applyFont="1" applyFill="1" applyBorder="1" applyAlignment="1">
      <alignment horizontal="left" vertical="center" wrapText="1"/>
    </xf>
    <xf numFmtId="0" fontId="52" fillId="23" borderId="3" xfId="12" applyFont="1" applyFill="1" applyBorder="1" applyAlignment="1">
      <alignment horizontal="left" vertical="center"/>
    </xf>
    <xf numFmtId="0" fontId="52" fillId="23" borderId="36" xfId="12" applyFont="1" applyFill="1" applyBorder="1" applyAlignment="1">
      <alignment horizontal="center" vertical="center" wrapText="1"/>
    </xf>
    <xf numFmtId="0" fontId="52" fillId="23" borderId="22" xfId="12" applyFont="1" applyFill="1" applyBorder="1" applyAlignment="1">
      <alignment horizontal="center" vertical="center" wrapText="1"/>
    </xf>
    <xf numFmtId="0" fontId="52" fillId="23" borderId="37" xfId="12" applyFont="1" applyFill="1" applyBorder="1" applyAlignment="1">
      <alignment horizontal="center" vertical="center" wrapText="1"/>
    </xf>
    <xf numFmtId="0" fontId="52" fillId="23" borderId="25" xfId="12" applyFont="1" applyFill="1" applyBorder="1" applyAlignment="1">
      <alignment horizontal="center" vertical="center" wrapText="1"/>
    </xf>
    <xf numFmtId="3" fontId="11" fillId="0" borderId="33" xfId="8" applyNumberFormat="1" applyFont="1" applyBorder="1" applyAlignment="1">
      <alignment horizontal="left"/>
    </xf>
    <xf numFmtId="3" fontId="11" fillId="0" borderId="0" xfId="8" applyNumberFormat="1" applyFont="1" applyBorder="1" applyAlignment="1">
      <alignment horizontal="left"/>
    </xf>
    <xf numFmtId="3" fontId="11" fillId="0" borderId="28" xfId="8" applyNumberFormat="1" applyFont="1" applyBorder="1" applyAlignment="1">
      <alignment horizontal="left"/>
    </xf>
    <xf numFmtId="9" fontId="42" fillId="0" borderId="0" xfId="0" applyNumberFormat="1" applyFont="1" applyAlignment="1">
      <alignment vertical="center"/>
    </xf>
    <xf numFmtId="0" fontId="2" fillId="0" borderId="3" xfId="0" applyFont="1" applyBorder="1" applyAlignment="1">
      <alignment horizontal="center" vertical="center" wrapText="1"/>
    </xf>
    <xf numFmtId="0" fontId="2" fillId="0" borderId="3" xfId="0" applyFont="1" applyBorder="1" applyAlignment="1">
      <alignment vertical="center"/>
    </xf>
    <xf numFmtId="9" fontId="11" fillId="0" borderId="38" xfId="0" applyNumberFormat="1" applyFont="1" applyBorder="1" applyAlignment="1">
      <alignment horizontal="center"/>
    </xf>
    <xf numFmtId="0" fontId="17" fillId="0" borderId="0" xfId="4" applyFont="1" applyAlignment="1">
      <alignment horizontal="left" vertical="center"/>
    </xf>
    <xf numFmtId="1" fontId="11" fillId="0" borderId="0" xfId="2" applyNumberFormat="1" applyFont="1" applyFill="1" applyBorder="1" applyAlignment="1">
      <alignment horizontal="left" vertical="center"/>
    </xf>
    <xf numFmtId="9" fontId="11" fillId="0" borderId="0" xfId="0" applyNumberFormat="1" applyFont="1" applyAlignment="1">
      <alignment horizontal="left" vertical="center"/>
    </xf>
    <xf numFmtId="0" fontId="17" fillId="0" borderId="0" xfId="4" applyFont="1" applyAlignment="1">
      <alignment horizontal="center"/>
    </xf>
    <xf numFmtId="9" fontId="11" fillId="0" borderId="0" xfId="2" applyFont="1" applyFill="1" applyBorder="1" applyAlignment="1">
      <alignment horizontal="left"/>
    </xf>
    <xf numFmtId="1" fontId="11" fillId="0" borderId="0" xfId="2" applyNumberFormat="1" applyFont="1" applyFill="1" applyBorder="1"/>
    <xf numFmtId="1" fontId="11" fillId="0" borderId="2" xfId="0" applyNumberFormat="1" applyFont="1" applyBorder="1" applyAlignment="1">
      <alignment horizontal="center" vertical="center"/>
    </xf>
    <xf numFmtId="9" fontId="11" fillId="0" borderId="0" xfId="0" applyNumberFormat="1" applyFont="1" applyAlignment="1">
      <alignment horizontal="center"/>
    </xf>
    <xf numFmtId="0" fontId="17" fillId="9" borderId="2" xfId="0" applyFont="1" applyFill="1" applyBorder="1" applyAlignment="1">
      <alignment vertical="center" wrapText="1"/>
    </xf>
    <xf numFmtId="0" fontId="42" fillId="9" borderId="2" xfId="0" applyFont="1" applyFill="1" applyBorder="1" applyAlignment="1">
      <alignment vertical="center" wrapText="1"/>
    </xf>
    <xf numFmtId="0" fontId="42" fillId="0" borderId="0" xfId="0" applyFont="1" applyAlignment="1">
      <alignment vertical="center" wrapText="1"/>
    </xf>
    <xf numFmtId="164" fontId="11" fillId="0" borderId="0" xfId="2" applyNumberFormat="1" applyFont="1" applyAlignment="1">
      <alignment horizontal="center"/>
    </xf>
    <xf numFmtId="3" fontId="11" fillId="0" borderId="0" xfId="0" applyNumberFormat="1" applyFont="1" applyAlignment="1">
      <alignment horizontal="center" vertical="center"/>
    </xf>
    <xf numFmtId="0" fontId="11" fillId="0" borderId="0" xfId="0" applyFont="1" applyAlignment="1">
      <alignment horizontal="right"/>
    </xf>
    <xf numFmtId="3" fontId="11" fillId="0" borderId="0" xfId="0" applyNumberFormat="1" applyFont="1"/>
    <xf numFmtId="166" fontId="11" fillId="0" borderId="2" xfId="0" applyNumberFormat="1" applyFont="1" applyBorder="1" applyAlignment="1">
      <alignment horizontal="center" vertical="center"/>
    </xf>
    <xf numFmtId="2" fontId="11" fillId="0" borderId="49" xfId="0" applyNumberFormat="1" applyFont="1" applyBorder="1"/>
    <xf numFmtId="0" fontId="11" fillId="0" borderId="49" xfId="0" applyFont="1" applyBorder="1"/>
    <xf numFmtId="2" fontId="0" fillId="0" borderId="2" xfId="0" applyNumberFormat="1" applyBorder="1" applyAlignment="1">
      <alignment horizontal="center" vertical="center"/>
    </xf>
    <xf numFmtId="2" fontId="0" fillId="0" borderId="1" xfId="0" applyNumberFormat="1" applyBorder="1" applyAlignment="1">
      <alignment horizontal="center" vertical="center"/>
    </xf>
    <xf numFmtId="2" fontId="0" fillId="0" borderId="5" xfId="0" applyNumberFormat="1" applyBorder="1" applyAlignment="1">
      <alignment horizontal="center" vertical="center"/>
    </xf>
    <xf numFmtId="2" fontId="0" fillId="0" borderId="7" xfId="0" applyNumberFormat="1" applyBorder="1" applyAlignment="1">
      <alignment horizontal="center" vertical="center"/>
    </xf>
    <xf numFmtId="2" fontId="0" fillId="0" borderId="69" xfId="0" applyNumberFormat="1" applyBorder="1" applyAlignment="1">
      <alignment horizontal="center" vertical="center"/>
    </xf>
    <xf numFmtId="2" fontId="0" fillId="0" borderId="9" xfId="0" applyNumberFormat="1" applyBorder="1" applyAlignment="1">
      <alignment horizontal="center" vertical="center"/>
    </xf>
    <xf numFmtId="0" fontId="17" fillId="2" borderId="0" xfId="0" applyFont="1" applyFill="1" applyAlignment="1">
      <alignment horizontal="center" vertical="center"/>
    </xf>
    <xf numFmtId="169" fontId="49" fillId="0" borderId="0" xfId="0" applyNumberFormat="1" applyFont="1" applyAlignment="1">
      <alignment horizontal="center" vertical="center"/>
    </xf>
    <xf numFmtId="0" fontId="29" fillId="0" borderId="0" xfId="0" applyFont="1" applyAlignment="1">
      <alignment vertical="center"/>
    </xf>
    <xf numFmtId="3" fontId="11" fillId="0" borderId="0" xfId="7" applyNumberFormat="1" applyFont="1" applyAlignment="1">
      <alignment horizontal="center" vertical="center"/>
    </xf>
    <xf numFmtId="0" fontId="11" fillId="20" borderId="2" xfId="0" applyFont="1" applyFill="1" applyBorder="1" applyAlignment="1">
      <alignment horizontal="center" vertical="center"/>
    </xf>
    <xf numFmtId="0" fontId="26" fillId="0" borderId="2" xfId="3" applyFont="1" applyFill="1" applyBorder="1" applyAlignment="1">
      <alignment horizontal="center" vertical="center" wrapText="1"/>
    </xf>
    <xf numFmtId="169" fontId="11" fillId="0" borderId="2" xfId="0" applyNumberFormat="1" applyFont="1" applyBorder="1" applyAlignment="1">
      <alignment horizontal="center" vertical="center"/>
    </xf>
    <xf numFmtId="0" fontId="11" fillId="20" borderId="2" xfId="0" applyFont="1" applyFill="1" applyBorder="1" applyAlignment="1">
      <alignment horizontal="center" vertical="center" wrapText="1"/>
    </xf>
    <xf numFmtId="9" fontId="11" fillId="0" borderId="47" xfId="2" applyFont="1" applyFill="1" applyBorder="1" applyAlignment="1">
      <alignment horizontal="center" vertical="center"/>
    </xf>
    <xf numFmtId="9" fontId="11" fillId="0" borderId="47" xfId="0" applyNumberFormat="1" applyFont="1" applyBorder="1" applyAlignment="1">
      <alignment horizontal="center"/>
    </xf>
    <xf numFmtId="0" fontId="52" fillId="20" borderId="2" xfId="0" applyFont="1" applyFill="1" applyBorder="1" applyAlignment="1">
      <alignment horizontal="center" vertical="center"/>
    </xf>
    <xf numFmtId="0" fontId="60" fillId="0" borderId="0" xfId="0" applyFont="1"/>
    <xf numFmtId="0" fontId="61" fillId="0" borderId="0" xfId="0" applyFont="1"/>
    <xf numFmtId="0" fontId="17" fillId="20" borderId="15" xfId="0" applyFont="1" applyFill="1" applyBorder="1" applyAlignment="1">
      <alignment horizontal="center" vertical="center" wrapText="1"/>
    </xf>
    <xf numFmtId="3" fontId="17" fillId="0" borderId="0" xfId="0" applyNumberFormat="1" applyFont="1" applyAlignment="1">
      <alignment horizontal="left" vertical="center"/>
    </xf>
    <xf numFmtId="0" fontId="64" fillId="0" borderId="38" xfId="0" applyFont="1" applyBorder="1" applyAlignment="1">
      <alignment horizontal="center" vertical="center"/>
    </xf>
    <xf numFmtId="169" fontId="65" fillId="0" borderId="38" xfId="0" applyNumberFormat="1" applyFont="1" applyBorder="1" applyAlignment="1">
      <alignment horizontal="center" vertical="center"/>
    </xf>
    <xf numFmtId="0" fontId="65" fillId="0" borderId="38" xfId="0" applyFont="1" applyBorder="1" applyAlignment="1">
      <alignment horizontal="center" vertical="center"/>
    </xf>
    <xf numFmtId="0" fontId="66" fillId="0" borderId="38" xfId="0" applyFont="1" applyBorder="1" applyAlignment="1">
      <alignment horizontal="center" vertical="center"/>
    </xf>
    <xf numFmtId="2" fontId="65" fillId="0" borderId="38" xfId="0" applyNumberFormat="1" applyFont="1" applyBorder="1" applyAlignment="1">
      <alignment horizontal="center" vertical="center"/>
    </xf>
    <xf numFmtId="0" fontId="65" fillId="0" borderId="38" xfId="0" applyFont="1" applyBorder="1" applyAlignment="1">
      <alignment horizontal="center" vertical="center" wrapText="1"/>
    </xf>
    <xf numFmtId="0" fontId="65" fillId="7" borderId="38" xfId="0" applyFont="1" applyFill="1" applyBorder="1" applyAlignment="1">
      <alignment horizontal="center" vertical="center"/>
    </xf>
    <xf numFmtId="0" fontId="67" fillId="20" borderId="38" xfId="0" applyFont="1" applyFill="1" applyBorder="1" applyAlignment="1">
      <alignment horizontal="center" vertical="center"/>
    </xf>
    <xf numFmtId="0" fontId="67" fillId="20" borderId="38" xfId="0" applyFont="1" applyFill="1" applyBorder="1" applyAlignment="1">
      <alignment horizontal="center" vertical="center" wrapText="1"/>
    </xf>
    <xf numFmtId="0" fontId="65" fillId="28" borderId="0" xfId="0" applyFont="1" applyFill="1"/>
    <xf numFmtId="0" fontId="68" fillId="0" borderId="38" xfId="3" applyFont="1" applyBorder="1" applyAlignment="1">
      <alignment horizontal="center" vertical="top" wrapText="1"/>
    </xf>
    <xf numFmtId="166" fontId="64" fillId="0" borderId="38" xfId="0" applyNumberFormat="1" applyFont="1" applyBorder="1" applyAlignment="1">
      <alignment horizontal="center" vertical="center"/>
    </xf>
    <xf numFmtId="0" fontId="64" fillId="0" borderId="0" xfId="0" applyFont="1"/>
    <xf numFmtId="0" fontId="64" fillId="0" borderId="0" xfId="0" applyFont="1" applyAlignment="1">
      <alignment vertical="center"/>
    </xf>
    <xf numFmtId="0" fontId="64" fillId="0" borderId="52" xfId="0" applyFont="1" applyBorder="1" applyAlignment="1">
      <alignment horizontal="center" vertical="center"/>
    </xf>
    <xf numFmtId="9" fontId="69" fillId="0" borderId="0" xfId="2" applyFont="1"/>
    <xf numFmtId="0" fontId="70" fillId="2" borderId="0" xfId="0" applyFont="1" applyFill="1"/>
    <xf numFmtId="0" fontId="70" fillId="2" borderId="0" xfId="0" applyFont="1" applyFill="1" applyAlignment="1">
      <alignment wrapText="1"/>
    </xf>
    <xf numFmtId="0" fontId="70" fillId="2" borderId="0" xfId="0" applyFont="1" applyFill="1" applyAlignment="1">
      <alignment horizontal="left"/>
    </xf>
    <xf numFmtId="0" fontId="70" fillId="2" borderId="0" xfId="0" applyFont="1" applyFill="1" applyAlignment="1">
      <alignment horizontal="center"/>
    </xf>
    <xf numFmtId="0" fontId="65" fillId="0" borderId="0" xfId="0" applyFont="1"/>
    <xf numFmtId="0" fontId="67" fillId="0" borderId="0" xfId="0" applyFont="1"/>
    <xf numFmtId="0" fontId="71" fillId="23" borderId="2" xfId="0" applyFont="1" applyFill="1" applyBorder="1" applyAlignment="1">
      <alignment horizontal="left" vertical="center" wrapText="1"/>
    </xf>
    <xf numFmtId="0" fontId="71" fillId="23" borderId="8" xfId="0" applyFont="1" applyFill="1" applyBorder="1" applyAlignment="1">
      <alignment horizontal="center" vertical="center" wrapText="1"/>
    </xf>
    <xf numFmtId="0" fontId="71" fillId="23" borderId="9" xfId="0" applyFont="1" applyFill="1" applyBorder="1" applyAlignment="1">
      <alignment horizontal="center" vertical="center" wrapText="1"/>
    </xf>
    <xf numFmtId="0" fontId="71" fillId="23" borderId="2" xfId="0" applyFont="1" applyFill="1" applyBorder="1" applyAlignment="1">
      <alignment horizontal="center" vertical="center" wrapText="1"/>
    </xf>
    <xf numFmtId="3" fontId="71" fillId="0" borderId="0" xfId="0" applyNumberFormat="1" applyFont="1" applyAlignment="1">
      <alignment horizontal="left"/>
    </xf>
    <xf numFmtId="0" fontId="72" fillId="0" borderId="20" xfId="0" applyFont="1" applyBorder="1" applyAlignment="1">
      <alignment horizontal="left"/>
    </xf>
    <xf numFmtId="3" fontId="65" fillId="0" borderId="33" xfId="2" applyNumberFormat="1" applyFont="1" applyBorder="1" applyAlignment="1">
      <alignment horizontal="center"/>
    </xf>
    <xf numFmtId="10" fontId="65" fillId="0" borderId="28" xfId="2" applyNumberFormat="1" applyFont="1" applyBorder="1" applyAlignment="1">
      <alignment horizontal="center"/>
    </xf>
    <xf numFmtId="10" fontId="65" fillId="0" borderId="28" xfId="2" applyNumberFormat="1" applyFont="1" applyFill="1" applyBorder="1" applyAlignment="1">
      <alignment horizontal="center"/>
    </xf>
    <xf numFmtId="3" fontId="65" fillId="0" borderId="0" xfId="8" applyNumberFormat="1" applyFont="1" applyBorder="1" applyAlignment="1">
      <alignment horizontal="center"/>
    </xf>
    <xf numFmtId="0" fontId="71" fillId="23" borderId="1" xfId="0" applyFont="1" applyFill="1" applyBorder="1" applyAlignment="1">
      <alignment horizontal="left" vertical="center" wrapText="1"/>
    </xf>
    <xf numFmtId="0" fontId="71" fillId="23" borderId="29" xfId="0" applyFont="1" applyFill="1" applyBorder="1" applyAlignment="1">
      <alignment horizontal="left" vertical="center"/>
    </xf>
    <xf numFmtId="0" fontId="71" fillId="23" borderId="30" xfId="0" applyFont="1" applyFill="1" applyBorder="1" applyAlignment="1">
      <alignment horizontal="left" vertical="center"/>
    </xf>
    <xf numFmtId="0" fontId="71" fillId="23" borderId="30" xfId="0" applyFont="1" applyFill="1" applyBorder="1" applyAlignment="1">
      <alignment horizontal="center" vertical="center"/>
    </xf>
    <xf numFmtId="0" fontId="71" fillId="23" borderId="30" xfId="0" applyFont="1" applyFill="1" applyBorder="1" applyAlignment="1">
      <alignment horizontal="center" vertical="center" wrapText="1"/>
    </xf>
    <xf numFmtId="0" fontId="71" fillId="23" borderId="34" xfId="0" applyFont="1" applyFill="1" applyBorder="1" applyAlignment="1">
      <alignment horizontal="center" vertical="center" wrapText="1"/>
    </xf>
    <xf numFmtId="3" fontId="65" fillId="0" borderId="33" xfId="8" applyNumberFormat="1" applyFont="1" applyBorder="1" applyAlignment="1">
      <alignment horizontal="center"/>
    </xf>
    <xf numFmtId="3" fontId="65" fillId="0" borderId="28" xfId="8" applyNumberFormat="1" applyFont="1" applyBorder="1" applyAlignment="1">
      <alignment horizontal="center"/>
    </xf>
    <xf numFmtId="0" fontId="73" fillId="0" borderId="0" xfId="0" applyFont="1" applyAlignment="1">
      <alignment horizontal="left" vertical="center"/>
    </xf>
    <xf numFmtId="1" fontId="72" fillId="0" borderId="20" xfId="0" applyNumberFormat="1" applyFont="1" applyBorder="1" applyAlignment="1">
      <alignment horizontal="left"/>
    </xf>
    <xf numFmtId="10" fontId="65" fillId="0" borderId="20" xfId="8" applyNumberFormat="1" applyFont="1" applyBorder="1" applyAlignment="1">
      <alignment horizontal="center"/>
    </xf>
    <xf numFmtId="10" fontId="65" fillId="0" borderId="0" xfId="8" applyNumberFormat="1" applyFont="1" applyBorder="1" applyAlignment="1">
      <alignment horizontal="center"/>
    </xf>
    <xf numFmtId="3" fontId="65" fillId="0" borderId="20" xfId="8" applyNumberFormat="1" applyFont="1" applyBorder="1" applyAlignment="1">
      <alignment horizontal="left"/>
    </xf>
    <xf numFmtId="3" fontId="65" fillId="0" borderId="0" xfId="8" applyNumberFormat="1" applyFont="1" applyBorder="1" applyAlignment="1">
      <alignment horizontal="left"/>
    </xf>
    <xf numFmtId="0" fontId="65" fillId="0" borderId="0" xfId="0" applyFont="1" applyAlignment="1">
      <alignment wrapText="1"/>
    </xf>
    <xf numFmtId="0" fontId="65" fillId="7" borderId="0" xfId="0" applyFont="1" applyFill="1"/>
    <xf numFmtId="0" fontId="65" fillId="7" borderId="0" xfId="0" applyFont="1" applyFill="1" applyAlignment="1">
      <alignment horizontal="center"/>
    </xf>
    <xf numFmtId="0" fontId="74" fillId="0" borderId="0" xfId="0" quotePrefix="1" applyFont="1"/>
    <xf numFmtId="0" fontId="70" fillId="0" borderId="0" xfId="0" applyFont="1"/>
    <xf numFmtId="0" fontId="70" fillId="0" borderId="0" xfId="0" applyFont="1" applyAlignment="1">
      <alignment wrapText="1"/>
    </xf>
    <xf numFmtId="0" fontId="70" fillId="0" borderId="0" xfId="0" applyFont="1" applyAlignment="1">
      <alignment horizontal="left"/>
    </xf>
    <xf numFmtId="0" fontId="70" fillId="0" borderId="0" xfId="0" applyFont="1" applyAlignment="1">
      <alignment horizontal="center"/>
    </xf>
    <xf numFmtId="0" fontId="64" fillId="0" borderId="38" xfId="0" applyFont="1" applyBorder="1" applyAlignment="1">
      <alignment horizontal="left" vertical="center"/>
    </xf>
    <xf numFmtId="0" fontId="64" fillId="0" borderId="38" xfId="0" applyFont="1" applyBorder="1" applyAlignment="1">
      <alignment horizontal="left" vertical="center" wrapText="1"/>
    </xf>
    <xf numFmtId="0" fontId="64" fillId="0" borderId="0" xfId="0" applyFont="1" applyAlignment="1">
      <alignment wrapText="1"/>
    </xf>
    <xf numFmtId="0" fontId="64" fillId="0" borderId="0" xfId="0" applyFont="1" applyAlignment="1">
      <alignment horizontal="left"/>
    </xf>
    <xf numFmtId="0" fontId="64" fillId="0" borderId="0" xfId="0" applyFont="1" applyAlignment="1">
      <alignment horizontal="center"/>
    </xf>
    <xf numFmtId="0" fontId="63" fillId="0" borderId="24" xfId="0" applyFont="1" applyBorder="1" applyAlignment="1">
      <alignment vertical="center"/>
    </xf>
    <xf numFmtId="0" fontId="64" fillId="0" borderId="2" xfId="0" applyFont="1" applyBorder="1" applyAlignment="1">
      <alignment horizontal="center"/>
    </xf>
    <xf numFmtId="0" fontId="63" fillId="0" borderId="0" xfId="0" applyFont="1"/>
    <xf numFmtId="0" fontId="64" fillId="0" borderId="2" xfId="0" applyFont="1" applyBorder="1" applyAlignment="1">
      <alignment horizontal="left"/>
    </xf>
    <xf numFmtId="9" fontId="64" fillId="0" borderId="2" xfId="2" applyFont="1" applyBorder="1" applyAlignment="1">
      <alignment horizontal="center"/>
    </xf>
    <xf numFmtId="9" fontId="63" fillId="0" borderId="2" xfId="2" applyFont="1" applyBorder="1" applyAlignment="1">
      <alignment horizontal="center"/>
    </xf>
    <xf numFmtId="0" fontId="64" fillId="0" borderId="2" xfId="0" applyFont="1" applyBorder="1" applyAlignment="1">
      <alignment horizontal="left" vertical="center"/>
    </xf>
    <xf numFmtId="9" fontId="64" fillId="0" borderId="2" xfId="2" applyFont="1" applyBorder="1" applyAlignment="1">
      <alignment horizontal="left" vertical="center"/>
    </xf>
    <xf numFmtId="0" fontId="64" fillId="0" borderId="24" xfId="0" applyFont="1" applyBorder="1"/>
    <xf numFmtId="0" fontId="64" fillId="0" borderId="17" xfId="0" applyFont="1" applyBorder="1"/>
    <xf numFmtId="9" fontId="64" fillId="0" borderId="0" xfId="2" applyFont="1"/>
    <xf numFmtId="3" fontId="11" fillId="0" borderId="0" xfId="0" applyNumberFormat="1" applyFont="1" applyAlignment="1">
      <alignment horizontal="left" vertical="center"/>
    </xf>
    <xf numFmtId="167" fontId="2" fillId="0" borderId="2" xfId="1" applyNumberFormat="1" applyBorder="1" applyAlignment="1">
      <alignment horizontal="center" vertical="center" wrapText="1"/>
    </xf>
    <xf numFmtId="0" fontId="45" fillId="0" borderId="15" xfId="0" applyFont="1" applyBorder="1" applyAlignment="1">
      <alignment horizontal="center" vertical="center" wrapText="1"/>
    </xf>
    <xf numFmtId="0" fontId="45" fillId="0" borderId="19" xfId="0" applyFont="1" applyBorder="1" applyAlignment="1">
      <alignment horizontal="center" vertical="center" wrapText="1"/>
    </xf>
    <xf numFmtId="0" fontId="45" fillId="0" borderId="2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 xfId="0" applyFont="1" applyBorder="1" applyAlignment="1">
      <alignment horizontal="center" vertical="center" wrapText="1"/>
    </xf>
    <xf numFmtId="0" fontId="18" fillId="0" borderId="0" xfId="5" applyAlignment="1">
      <alignment vertical="center"/>
    </xf>
    <xf numFmtId="0" fontId="76" fillId="23" borderId="1" xfId="0" applyFont="1" applyFill="1" applyBorder="1" applyAlignment="1">
      <alignment horizontal="left" vertical="center" wrapText="1"/>
    </xf>
    <xf numFmtId="0" fontId="76" fillId="23" borderId="5" xfId="0" applyFont="1" applyFill="1" applyBorder="1" applyAlignment="1">
      <alignment horizontal="left" vertical="center"/>
    </xf>
    <xf numFmtId="0" fontId="76" fillId="23" borderId="29" xfId="0" applyFont="1" applyFill="1" applyBorder="1" applyAlignment="1">
      <alignment horizontal="left" vertical="center"/>
    </xf>
    <xf numFmtId="0" fontId="76" fillId="23" borderId="30" xfId="0" applyFont="1" applyFill="1" applyBorder="1" applyAlignment="1">
      <alignment horizontal="left" vertical="center"/>
    </xf>
    <xf numFmtId="0" fontId="76" fillId="23" borderId="30" xfId="0" applyFont="1" applyFill="1" applyBorder="1" applyAlignment="1">
      <alignment horizontal="center" vertical="center"/>
    </xf>
    <xf numFmtId="0" fontId="76" fillId="23" borderId="30" xfId="0" applyFont="1" applyFill="1" applyBorder="1" applyAlignment="1">
      <alignment horizontal="center" vertical="center" wrapText="1"/>
    </xf>
    <xf numFmtId="0" fontId="76" fillId="23" borderId="34" xfId="0" applyFont="1" applyFill="1" applyBorder="1" applyAlignment="1">
      <alignment horizontal="center" vertical="center" wrapText="1"/>
    </xf>
    <xf numFmtId="0" fontId="77" fillId="0" borderId="20" xfId="0" applyFont="1" applyBorder="1" applyAlignment="1">
      <alignment horizontal="left"/>
    </xf>
    <xf numFmtId="0" fontId="28" fillId="0" borderId="71" xfId="0" applyFont="1" applyBorder="1" applyAlignment="1">
      <alignment horizontal="left"/>
    </xf>
    <xf numFmtId="3" fontId="28" fillId="0" borderId="33" xfId="8" applyNumberFormat="1" applyFont="1" applyBorder="1" applyAlignment="1">
      <alignment horizontal="center"/>
    </xf>
    <xf numFmtId="3" fontId="28" fillId="0" borderId="0" xfId="8" applyNumberFormat="1" applyFont="1" applyBorder="1" applyAlignment="1">
      <alignment horizontal="center"/>
    </xf>
    <xf numFmtId="3" fontId="28" fillId="0" borderId="28" xfId="8" applyNumberFormat="1" applyFont="1" applyBorder="1" applyAlignment="1">
      <alignment horizontal="center"/>
    </xf>
    <xf numFmtId="0" fontId="11" fillId="0" borderId="72" xfId="0" applyFont="1" applyBorder="1" applyAlignment="1"/>
    <xf numFmtId="0" fontId="11" fillId="0" borderId="73" xfId="0" applyFont="1" applyBorder="1" applyAlignment="1"/>
    <xf numFmtId="0" fontId="11" fillId="0" borderId="0" xfId="0" applyFont="1" applyBorder="1" applyAlignment="1">
      <alignment vertical="center"/>
    </xf>
    <xf numFmtId="0" fontId="11" fillId="0" borderId="0" xfId="4" applyBorder="1" applyAlignment="1">
      <alignment horizontal="center" vertical="center"/>
    </xf>
    <xf numFmtId="9" fontId="11" fillId="0" borderId="0" xfId="0" applyNumberFormat="1" applyFont="1" applyBorder="1" applyAlignment="1">
      <alignment horizontal="center"/>
    </xf>
    <xf numFmtId="9" fontId="17" fillId="0" borderId="38" xfId="2" applyFont="1" applyFill="1" applyBorder="1" applyAlignment="1">
      <alignment horizontal="center" vertical="center"/>
    </xf>
    <xf numFmtId="0" fontId="17" fillId="0" borderId="47" xfId="4" applyFont="1" applyBorder="1" applyAlignment="1">
      <alignment horizontal="center" vertical="center"/>
    </xf>
    <xf numFmtId="0" fontId="17" fillId="0" borderId="38" xfId="4" applyFont="1" applyBorder="1" applyAlignment="1">
      <alignment horizontal="center" vertical="center"/>
    </xf>
    <xf numFmtId="9" fontId="17" fillId="0" borderId="38" xfId="0" applyNumberFormat="1" applyFont="1" applyBorder="1" applyAlignment="1">
      <alignment horizontal="center"/>
    </xf>
    <xf numFmtId="9" fontId="11" fillId="0" borderId="0" xfId="0" applyNumberFormat="1" applyFont="1" applyAlignment="1">
      <alignment horizontal="left"/>
    </xf>
    <xf numFmtId="0" fontId="2" fillId="0" borderId="2" xfId="0" applyFont="1" applyBorder="1" applyAlignment="1">
      <alignment horizontal="left" vertical="center" wrapText="1"/>
    </xf>
    <xf numFmtId="0" fontId="26" fillId="0" borderId="2" xfId="3" applyFont="1" applyBorder="1" applyAlignment="1">
      <alignment horizontal="center" vertical="top" wrapText="1"/>
    </xf>
    <xf numFmtId="0" fontId="26" fillId="0" borderId="2" xfId="3" applyFont="1" applyFill="1" applyBorder="1" applyAlignment="1">
      <alignment horizontal="center" vertical="top" wrapText="1"/>
    </xf>
    <xf numFmtId="166" fontId="11" fillId="0" borderId="2" xfId="0" applyNumberFormat="1" applyFont="1" applyBorder="1" applyAlignment="1">
      <alignment horizontal="center" vertical="top" wrapText="1"/>
    </xf>
    <xf numFmtId="166" fontId="11" fillId="0" borderId="2" xfId="0" applyNumberFormat="1" applyFont="1" applyBorder="1" applyAlignment="1">
      <alignment horizontal="center" vertical="center" wrapText="1"/>
    </xf>
    <xf numFmtId="167" fontId="11" fillId="0" borderId="2" xfId="7" applyNumberFormat="1" applyFont="1" applyBorder="1" applyAlignment="1">
      <alignment horizontal="center" vertical="center"/>
    </xf>
    <xf numFmtId="0" fontId="26" fillId="0" borderId="38" xfId="3" applyFont="1" applyBorder="1" applyAlignment="1">
      <alignment horizontal="center" vertical="top" wrapText="1"/>
    </xf>
    <xf numFmtId="0" fontId="11" fillId="0" borderId="38" xfId="0" applyFont="1" applyBorder="1" applyAlignment="1">
      <alignment horizontal="center" vertical="center"/>
    </xf>
    <xf numFmtId="0" fontId="42" fillId="9" borderId="2" xfId="0" applyFont="1" applyFill="1" applyBorder="1" applyAlignment="1">
      <alignment horizontal="center" wrapText="1"/>
    </xf>
    <xf numFmtId="0" fontId="11" fillId="0" borderId="17" xfId="0" applyFont="1" applyBorder="1"/>
    <xf numFmtId="0" fontId="11" fillId="0" borderId="0" xfId="0" applyFont="1" applyBorder="1"/>
    <xf numFmtId="0" fontId="17" fillId="20" borderId="2" xfId="0" applyFont="1" applyFill="1" applyBorder="1" applyAlignment="1">
      <alignment horizontal="center" vertical="center"/>
    </xf>
    <xf numFmtId="168" fontId="11" fillId="0" borderId="2" xfId="0" applyNumberFormat="1" applyFont="1" applyBorder="1" applyAlignment="1">
      <alignment horizontal="center" vertical="top" wrapText="1"/>
    </xf>
    <xf numFmtId="0" fontId="11" fillId="0" borderId="38" xfId="0" applyFont="1" applyFill="1" applyBorder="1" applyAlignment="1">
      <alignment horizontal="center" vertical="center"/>
    </xf>
    <xf numFmtId="0" fontId="65" fillId="0" borderId="38" xfId="0" applyFont="1" applyFill="1" applyBorder="1" applyAlignment="1">
      <alignment horizontal="center" vertical="center"/>
    </xf>
    <xf numFmtId="0" fontId="66" fillId="0" borderId="38" xfId="0" applyFont="1" applyFill="1" applyBorder="1" applyAlignment="1">
      <alignment horizontal="center" vertical="center"/>
    </xf>
    <xf numFmtId="166" fontId="28" fillId="0" borderId="38" xfId="0" applyNumberFormat="1" applyFont="1" applyFill="1" applyBorder="1" applyAlignment="1">
      <alignment horizontal="center" vertical="center"/>
    </xf>
    <xf numFmtId="0" fontId="28" fillId="0" borderId="0" xfId="0" applyFont="1" applyAlignment="1"/>
    <xf numFmtId="4" fontId="11" fillId="0" borderId="2" xfId="7" applyNumberFormat="1" applyFont="1" applyFill="1" applyBorder="1" applyAlignment="1">
      <alignment horizontal="center" vertical="center"/>
    </xf>
    <xf numFmtId="3" fontId="11" fillId="0" borderId="2" xfId="7" applyNumberFormat="1" applyFont="1" applyFill="1" applyBorder="1" applyAlignment="1">
      <alignment horizontal="center" vertical="center"/>
    </xf>
    <xf numFmtId="3" fontId="11" fillId="0" borderId="2" xfId="0" applyNumberFormat="1" applyFont="1" applyFill="1" applyBorder="1" applyAlignment="1">
      <alignment horizontal="center" vertical="center" wrapText="1"/>
    </xf>
    <xf numFmtId="0" fontId="11" fillId="0" borderId="0" xfId="0" applyFont="1" applyAlignment="1">
      <alignment vertical="top" wrapText="1"/>
    </xf>
    <xf numFmtId="0" fontId="11" fillId="0" borderId="0" xfId="0" applyFont="1" applyAlignment="1">
      <alignment vertical="top"/>
    </xf>
    <xf numFmtId="1" fontId="2" fillId="0" borderId="2" xfId="7" quotePrefix="1" applyNumberFormat="1" applyFont="1" applyFill="1" applyBorder="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left" vertical="center"/>
    </xf>
    <xf numFmtId="0" fontId="29" fillId="28" borderId="0" xfId="0" applyFont="1" applyFill="1" applyAlignment="1">
      <alignment horizontal="center" vertical="center"/>
    </xf>
    <xf numFmtId="0" fontId="11" fillId="0" borderId="0" xfId="0" applyFont="1" applyAlignment="1">
      <alignment horizontal="center"/>
    </xf>
    <xf numFmtId="0" fontId="18" fillId="0" borderId="0" xfId="5" applyAlignment="1">
      <alignment horizontal="left"/>
    </xf>
    <xf numFmtId="0" fontId="11" fillId="0" borderId="0" xfId="0" applyFont="1" applyAlignment="1">
      <alignment horizontal="left"/>
    </xf>
    <xf numFmtId="0" fontId="11" fillId="0" borderId="0" xfId="0" applyFont="1" applyAlignment="1">
      <alignment vertical="center" wrapText="1"/>
    </xf>
    <xf numFmtId="0" fontId="41" fillId="0" borderId="24" xfId="0" applyFont="1" applyBorder="1" applyAlignment="1">
      <alignment horizontal="left" vertical="center"/>
    </xf>
    <xf numFmtId="0" fontId="29" fillId="28" borderId="3" xfId="1" applyFont="1" applyFill="1" applyBorder="1" applyAlignment="1">
      <alignment horizontal="center" vertical="center" wrapText="1"/>
    </xf>
    <xf numFmtId="0" fontId="29" fillId="28" borderId="13" xfId="1" applyFont="1" applyFill="1" applyBorder="1" applyAlignment="1">
      <alignment horizontal="center" vertical="center" wrapText="1"/>
    </xf>
    <xf numFmtId="0" fontId="45" fillId="0" borderId="15" xfId="0" applyFont="1" applyBorder="1" applyAlignment="1">
      <alignment horizontal="center" vertical="center" wrapText="1"/>
    </xf>
    <xf numFmtId="0" fontId="45" fillId="0" borderId="19" xfId="0" applyFont="1" applyBorder="1" applyAlignment="1">
      <alignment horizontal="center" vertical="center" wrapText="1"/>
    </xf>
    <xf numFmtId="0" fontId="45" fillId="0" borderId="2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2" xfId="0" applyFont="1" applyBorder="1" applyAlignment="1">
      <alignment horizontal="center" vertical="center" wrapText="1"/>
    </xf>
    <xf numFmtId="0" fontId="40" fillId="28" borderId="16" xfId="0" applyFont="1" applyFill="1" applyBorder="1" applyAlignment="1">
      <alignment horizontal="center" vertical="center"/>
    </xf>
    <xf numFmtId="0" fontId="29" fillId="28" borderId="3" xfId="0" applyFont="1" applyFill="1" applyBorder="1" applyAlignment="1">
      <alignment horizontal="center" vertical="center"/>
    </xf>
    <xf numFmtId="0" fontId="29" fillId="28" borderId="13" xfId="0" applyFont="1" applyFill="1" applyBorder="1" applyAlignment="1">
      <alignment horizontal="center" vertical="center"/>
    </xf>
    <xf numFmtId="0" fontId="42" fillId="20" borderId="3" xfId="0" applyFont="1" applyFill="1" applyBorder="1" applyAlignment="1">
      <alignment horizontal="center" vertical="center"/>
    </xf>
    <xf numFmtId="0" fontId="42" fillId="20" borderId="14" xfId="0" applyFont="1" applyFill="1" applyBorder="1" applyAlignment="1">
      <alignment horizontal="center" vertical="center"/>
    </xf>
    <xf numFmtId="0" fontId="65" fillId="0" borderId="38" xfId="0" applyFont="1" applyBorder="1" applyAlignment="1">
      <alignment horizontal="center" vertical="center"/>
    </xf>
    <xf numFmtId="0" fontId="65" fillId="0" borderId="38" xfId="0" applyFont="1" applyBorder="1" applyAlignment="1">
      <alignment horizontal="center" vertical="center" wrapText="1"/>
    </xf>
    <xf numFmtId="0" fontId="11" fillId="0" borderId="38" xfId="0" applyFont="1" applyBorder="1" applyAlignment="1">
      <alignment horizontal="center" vertical="center"/>
    </xf>
    <xf numFmtId="0" fontId="2" fillId="0" borderId="38" xfId="0" applyFont="1" applyBorder="1" applyAlignment="1">
      <alignment horizontal="center" vertical="center" wrapText="1"/>
    </xf>
    <xf numFmtId="0" fontId="29" fillId="28" borderId="70" xfId="0" applyFont="1" applyFill="1" applyBorder="1" applyAlignment="1">
      <alignment horizontal="center" vertical="center"/>
    </xf>
    <xf numFmtId="0" fontId="64" fillId="0" borderId="48" xfId="0" applyFont="1" applyBorder="1" applyAlignment="1">
      <alignment horizontal="left" vertical="center"/>
    </xf>
    <xf numFmtId="0" fontId="64" fillId="0" borderId="46" xfId="0" applyFont="1" applyBorder="1" applyAlignment="1">
      <alignment horizontal="left" vertical="center"/>
    </xf>
    <xf numFmtId="0" fontId="64" fillId="0" borderId="47" xfId="0" applyFont="1" applyBorder="1" applyAlignment="1">
      <alignment horizontal="left" vertical="center"/>
    </xf>
    <xf numFmtId="0" fontId="64" fillId="0" borderId="49" xfId="0" applyFont="1" applyBorder="1" applyAlignment="1">
      <alignment horizontal="left" vertical="center"/>
    </xf>
    <xf numFmtId="0" fontId="64" fillId="0" borderId="50" xfId="0" applyFont="1" applyBorder="1" applyAlignment="1">
      <alignment horizontal="left" vertical="center"/>
    </xf>
    <xf numFmtId="0" fontId="64" fillId="0" borderId="51" xfId="0" applyFont="1" applyBorder="1" applyAlignment="1">
      <alignment horizontal="left" vertical="center"/>
    </xf>
    <xf numFmtId="0" fontId="64" fillId="0" borderId="49" xfId="0" applyFont="1" applyBorder="1" applyAlignment="1">
      <alignment horizontal="left" vertical="center" wrapText="1"/>
    </xf>
    <xf numFmtId="0" fontId="64" fillId="0" borderId="50" xfId="0" applyFont="1" applyBorder="1" applyAlignment="1">
      <alignment horizontal="left" vertical="center" wrapText="1"/>
    </xf>
    <xf numFmtId="0" fontId="64" fillId="0" borderId="51" xfId="0" applyFont="1" applyBorder="1" applyAlignment="1">
      <alignment horizontal="left" vertical="center" wrapText="1"/>
    </xf>
    <xf numFmtId="0" fontId="65" fillId="0" borderId="48" xfId="0" applyFont="1" applyBorder="1" applyAlignment="1">
      <alignment horizontal="left" vertical="center"/>
    </xf>
    <xf numFmtId="0" fontId="65" fillId="0" borderId="46" xfId="0" applyFont="1" applyBorder="1" applyAlignment="1">
      <alignment horizontal="left" vertical="center"/>
    </xf>
    <xf numFmtId="0" fontId="65" fillId="0" borderId="47" xfId="0" applyFont="1" applyBorder="1" applyAlignment="1">
      <alignment horizontal="left" vertical="center"/>
    </xf>
    <xf numFmtId="0" fontId="65" fillId="0" borderId="49" xfId="0" applyFont="1" applyBorder="1" applyAlignment="1">
      <alignment horizontal="left" vertical="center" wrapText="1"/>
    </xf>
    <xf numFmtId="0" fontId="65" fillId="0" borderId="50" xfId="0" applyFont="1" applyBorder="1" applyAlignment="1">
      <alignment horizontal="left" vertical="center" wrapText="1"/>
    </xf>
    <xf numFmtId="0" fontId="65" fillId="0" borderId="51" xfId="0" applyFont="1" applyBorder="1" applyAlignment="1">
      <alignment horizontal="left" vertical="center" wrapText="1"/>
    </xf>
    <xf numFmtId="0" fontId="29" fillId="28" borderId="0" xfId="0" applyFont="1" applyFill="1" applyAlignment="1">
      <alignment horizontal="center" vertical="center" wrapText="1"/>
    </xf>
    <xf numFmtId="0" fontId="63" fillId="0" borderId="2" xfId="0" applyFont="1" applyBorder="1" applyAlignment="1">
      <alignment horizontal="left" vertical="center"/>
    </xf>
    <xf numFmtId="0" fontId="64" fillId="0" borderId="2" xfId="0" applyFont="1" applyBorder="1" applyAlignment="1">
      <alignment horizontal="left" vertical="center"/>
    </xf>
    <xf numFmtId="0" fontId="64" fillId="0" borderId="2" xfId="0" applyFont="1" applyBorder="1" applyAlignment="1">
      <alignment horizontal="center"/>
    </xf>
    <xf numFmtId="0" fontId="64" fillId="0" borderId="2" xfId="0" applyFont="1" applyBorder="1" applyAlignment="1">
      <alignment horizontal="left"/>
    </xf>
    <xf numFmtId="0" fontId="63" fillId="0" borderId="2" xfId="0" applyFont="1" applyBorder="1" applyAlignment="1">
      <alignment horizontal="left" vertical="center" wrapText="1"/>
    </xf>
    <xf numFmtId="0" fontId="42" fillId="0" borderId="3" xfId="0" applyFont="1" applyBorder="1" applyAlignment="1">
      <alignment horizontal="center" vertical="center" wrapText="1"/>
    </xf>
    <xf numFmtId="0" fontId="42" fillId="0" borderId="14" xfId="0" applyFont="1" applyBorder="1" applyAlignment="1">
      <alignment horizontal="center" vertical="center" wrapText="1"/>
    </xf>
    <xf numFmtId="0" fontId="42" fillId="0" borderId="3" xfId="0" applyFont="1" applyBorder="1" applyAlignment="1">
      <alignment horizontal="center" vertical="center"/>
    </xf>
    <xf numFmtId="0" fontId="42" fillId="0" borderId="13" xfId="0" applyFont="1" applyBorder="1" applyAlignment="1">
      <alignment horizontal="center" vertical="center"/>
    </xf>
    <xf numFmtId="0" fontId="42" fillId="0" borderId="14" xfId="0" applyFont="1" applyBorder="1" applyAlignment="1">
      <alignment horizontal="center" vertical="center"/>
    </xf>
    <xf numFmtId="0" fontId="40" fillId="11" borderId="0" xfId="0" applyFont="1" applyFill="1" applyAlignment="1">
      <alignment horizontal="center"/>
    </xf>
    <xf numFmtId="0" fontId="48" fillId="7" borderId="0" xfId="0" applyFont="1" applyFill="1" applyAlignment="1">
      <alignment horizontal="left" wrapText="1"/>
    </xf>
    <xf numFmtId="0" fontId="11" fillId="7" borderId="45" xfId="0" applyFont="1" applyFill="1" applyBorder="1" applyAlignment="1">
      <alignment horizontal="left" vertical="center"/>
    </xf>
    <xf numFmtId="0" fontId="11" fillId="7" borderId="0" xfId="0" applyFont="1" applyFill="1" applyAlignment="1">
      <alignment horizontal="left" wrapText="1"/>
    </xf>
    <xf numFmtId="0" fontId="29" fillId="28" borderId="24" xfId="0" applyFont="1" applyFill="1" applyBorder="1" applyAlignment="1">
      <alignment horizontal="center" vertical="center" wrapText="1"/>
    </xf>
    <xf numFmtId="0" fontId="48" fillId="0" borderId="0" xfId="0" applyFont="1" applyAlignment="1">
      <alignment horizontal="left" vertical="center" wrapText="1"/>
    </xf>
    <xf numFmtId="0" fontId="29" fillId="28" borderId="0" xfId="5" applyFont="1" applyFill="1" applyAlignment="1">
      <alignment horizontal="center" vertical="center"/>
    </xf>
    <xf numFmtId="0" fontId="11" fillId="0" borderId="0" xfId="0" applyFont="1" applyAlignment="1">
      <alignment horizontal="center" vertical="center"/>
    </xf>
    <xf numFmtId="0" fontId="11" fillId="0" borderId="24" xfId="0" applyFont="1" applyBorder="1" applyAlignment="1">
      <alignment horizontal="center" vertical="center"/>
    </xf>
    <xf numFmtId="0" fontId="17" fillId="9" borderId="15" xfId="0" applyFont="1" applyFill="1" applyBorder="1" applyAlignment="1">
      <alignment horizontal="center" vertical="center" wrapText="1"/>
    </xf>
    <xf numFmtId="0" fontId="17" fillId="9" borderId="22" xfId="0" applyFont="1" applyFill="1" applyBorder="1" applyAlignment="1">
      <alignment horizontal="center" vertical="center" wrapText="1"/>
    </xf>
    <xf numFmtId="0" fontId="42" fillId="9" borderId="3" xfId="0" applyFont="1" applyFill="1" applyBorder="1" applyAlignment="1">
      <alignment horizontal="center" vertical="center" wrapText="1"/>
    </xf>
    <xf numFmtId="0" fontId="42" fillId="9" borderId="13" xfId="0" applyFont="1" applyFill="1" applyBorder="1" applyAlignment="1">
      <alignment horizontal="center" vertical="center" wrapText="1"/>
    </xf>
    <xf numFmtId="0" fontId="42" fillId="9" borderId="14" xfId="0" applyFont="1" applyFill="1" applyBorder="1" applyAlignment="1">
      <alignment horizontal="center" vertical="center" wrapText="1"/>
    </xf>
    <xf numFmtId="0" fontId="17" fillId="0" borderId="3"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50" fillId="7" borderId="40" xfId="0" applyFont="1" applyFill="1" applyBorder="1" applyAlignment="1">
      <alignment horizontal="center" vertical="center"/>
    </xf>
    <xf numFmtId="0" fontId="50" fillId="7" borderId="41" xfId="0" applyFont="1" applyFill="1" applyBorder="1" applyAlignment="1">
      <alignment horizontal="center" vertical="center"/>
    </xf>
    <xf numFmtId="0" fontId="50" fillId="7" borderId="42" xfId="0" applyFont="1" applyFill="1" applyBorder="1" applyAlignment="1">
      <alignment horizontal="center" vertical="center"/>
    </xf>
    <xf numFmtId="0" fontId="50" fillId="0" borderId="40" xfId="0" applyFont="1" applyBorder="1" applyAlignment="1">
      <alignment horizontal="center" vertical="center"/>
    </xf>
    <xf numFmtId="0" fontId="50" fillId="0" borderId="41" xfId="0" applyFont="1" applyBorder="1" applyAlignment="1">
      <alignment horizontal="center" vertical="center"/>
    </xf>
    <xf numFmtId="0" fontId="50" fillId="0" borderId="42" xfId="0" applyFont="1" applyBorder="1" applyAlignment="1">
      <alignment horizontal="center" vertical="center"/>
    </xf>
    <xf numFmtId="0" fontId="11" fillId="7" borderId="0" xfId="0" applyFont="1" applyFill="1" applyAlignment="1">
      <alignment horizontal="left" vertical="center" wrapText="1"/>
    </xf>
    <xf numFmtId="0" fontId="22" fillId="0" borderId="0" xfId="0" applyFont="1" applyAlignment="1">
      <alignment horizontal="center" vertical="center"/>
    </xf>
    <xf numFmtId="0" fontId="24" fillId="18" borderId="3" xfId="0" applyFont="1" applyFill="1" applyBorder="1" applyAlignment="1">
      <alignment horizontal="center" vertical="center" wrapText="1"/>
    </xf>
    <xf numFmtId="0" fontId="24" fillId="18" borderId="13" xfId="0" applyFont="1" applyFill="1" applyBorder="1" applyAlignment="1">
      <alignment horizontal="center" vertical="center" wrapText="1"/>
    </xf>
    <xf numFmtId="0" fontId="24" fillId="14" borderId="2" xfId="0" applyFont="1" applyFill="1" applyBorder="1" applyAlignment="1">
      <alignment horizontal="center" vertical="center" wrapText="1"/>
    </xf>
    <xf numFmtId="0" fontId="23" fillId="0" borderId="2" xfId="0" applyFont="1" applyBorder="1" applyAlignment="1">
      <alignment horizontal="center" vertical="center" wrapText="1"/>
    </xf>
    <xf numFmtId="0" fontId="24" fillId="11" borderId="2" xfId="0" applyFont="1" applyFill="1" applyBorder="1" applyAlignment="1">
      <alignment horizontal="center" vertical="center" wrapText="1"/>
    </xf>
    <xf numFmtId="0" fontId="71" fillId="0" borderId="10" xfId="0" applyFont="1" applyBorder="1" applyAlignment="1">
      <alignment horizontal="center"/>
    </xf>
    <xf numFmtId="0" fontId="71" fillId="0" borderId="11" xfId="0" applyFont="1" applyBorder="1" applyAlignment="1">
      <alignment horizontal="center"/>
    </xf>
    <xf numFmtId="0" fontId="71" fillId="0" borderId="12" xfId="0" applyFont="1" applyBorder="1" applyAlignment="1">
      <alignment horizontal="center"/>
    </xf>
    <xf numFmtId="0" fontId="71" fillId="23" borderId="31" xfId="0" applyFont="1" applyFill="1" applyBorder="1" applyAlignment="1">
      <alignment horizontal="center" vertical="center" wrapText="1"/>
    </xf>
    <xf numFmtId="0" fontId="71" fillId="23" borderId="32" xfId="0" applyFont="1" applyFill="1" applyBorder="1" applyAlignment="1">
      <alignment horizontal="center" vertical="center" wrapText="1"/>
    </xf>
    <xf numFmtId="0" fontId="62" fillId="28" borderId="0" xfId="0" applyFont="1" applyFill="1" applyAlignment="1">
      <alignment horizontal="center" vertical="center" wrapText="1"/>
    </xf>
    <xf numFmtId="0" fontId="28" fillId="0" borderId="53" xfId="0" applyFont="1" applyBorder="1" applyAlignment="1">
      <alignment horizontal="center" vertical="center" wrapText="1"/>
    </xf>
    <xf numFmtId="0" fontId="64" fillId="0" borderId="52" xfId="0" applyFont="1" applyBorder="1" applyAlignment="1">
      <alignment horizontal="center" vertical="center" wrapText="1"/>
    </xf>
    <xf numFmtId="0" fontId="42" fillId="0" borderId="24" xfId="0" applyFont="1" applyBorder="1" applyAlignment="1">
      <alignment horizontal="center" vertical="center" wrapText="1"/>
    </xf>
    <xf numFmtId="0" fontId="40" fillId="28" borderId="0" xfId="0" applyFont="1" applyFill="1" applyAlignment="1">
      <alignment horizontal="center"/>
    </xf>
    <xf numFmtId="0" fontId="42" fillId="0" borderId="0" xfId="0" applyFont="1" applyAlignment="1">
      <alignment horizontal="center" vertical="center" wrapText="1"/>
    </xf>
    <xf numFmtId="0" fontId="17" fillId="0" borderId="0" xfId="0" applyFont="1" applyAlignment="1">
      <alignment horizontal="center"/>
    </xf>
    <xf numFmtId="0" fontId="17" fillId="0" borderId="0" xfId="0" applyFont="1" applyAlignment="1">
      <alignment horizontal="center" vertical="center" wrapText="1"/>
    </xf>
    <xf numFmtId="0" fontId="42" fillId="0" borderId="0" xfId="0" applyFont="1" applyAlignment="1">
      <alignment horizontal="center" vertical="center"/>
    </xf>
    <xf numFmtId="0" fontId="17" fillId="9" borderId="2" xfId="0" applyFont="1" applyFill="1" applyBorder="1" applyAlignment="1">
      <alignment horizontal="center"/>
    </xf>
    <xf numFmtId="0" fontId="42" fillId="0" borderId="2" xfId="0" applyFont="1" applyBorder="1" applyAlignment="1">
      <alignment horizontal="center"/>
    </xf>
    <xf numFmtId="0" fontId="17" fillId="0" borderId="21" xfId="0" applyFont="1" applyBorder="1" applyAlignment="1">
      <alignment horizontal="left" wrapText="1"/>
    </xf>
    <xf numFmtId="0" fontId="17" fillId="0" borderId="25" xfId="0" applyFont="1" applyBorder="1" applyAlignment="1">
      <alignment horizontal="left" wrapText="1"/>
    </xf>
    <xf numFmtId="0" fontId="17" fillId="0" borderId="2" xfId="0" applyFont="1" applyBorder="1" applyAlignment="1">
      <alignment horizontal="left" vertical="center" wrapText="1"/>
    </xf>
    <xf numFmtId="17" fontId="11" fillId="0" borderId="15" xfId="0" applyNumberFormat="1" applyFont="1" applyBorder="1" applyAlignment="1">
      <alignment horizontal="left" vertical="center"/>
    </xf>
    <xf numFmtId="17" fontId="11" fillId="0" borderId="22" xfId="0" applyNumberFormat="1" applyFont="1" applyBorder="1" applyAlignment="1">
      <alignment horizontal="left" vertical="center"/>
    </xf>
    <xf numFmtId="0" fontId="17" fillId="9" borderId="0" xfId="0" applyFont="1" applyFill="1" applyAlignment="1">
      <alignment horizontal="center" vertical="center"/>
    </xf>
    <xf numFmtId="9" fontId="11" fillId="0" borderId="2" xfId="2" applyFont="1" applyBorder="1" applyAlignment="1">
      <alignment horizontal="center" vertical="center"/>
    </xf>
    <xf numFmtId="10" fontId="17" fillId="0" borderId="16" xfId="8" applyNumberFormat="1" applyFont="1" applyFill="1" applyBorder="1" applyAlignment="1">
      <alignment horizontal="center"/>
    </xf>
    <xf numFmtId="10" fontId="17" fillId="0" borderId="17" xfId="8" applyNumberFormat="1" applyFont="1" applyFill="1" applyBorder="1" applyAlignment="1">
      <alignment horizontal="center"/>
    </xf>
    <xf numFmtId="10" fontId="17" fillId="0" borderId="18" xfId="8" applyNumberFormat="1" applyFont="1" applyFill="1" applyBorder="1" applyAlignment="1">
      <alignment horizontal="center"/>
    </xf>
    <xf numFmtId="0" fontId="11" fillId="0" borderId="38" xfId="0" applyFont="1" applyBorder="1" applyAlignment="1">
      <alignment horizontal="center" vertical="center" wrapText="1"/>
    </xf>
    <xf numFmtId="0" fontId="29" fillId="28" borderId="23" xfId="0" applyFont="1" applyFill="1" applyBorder="1" applyAlignment="1">
      <alignment horizontal="center" vertical="center" wrapText="1"/>
    </xf>
    <xf numFmtId="0" fontId="11" fillId="0" borderId="2" xfId="0" applyFont="1" applyBorder="1" applyAlignment="1">
      <alignment horizontal="center" vertical="center"/>
    </xf>
    <xf numFmtId="0" fontId="11" fillId="0" borderId="15" xfId="0" applyFont="1" applyBorder="1" applyAlignment="1">
      <alignment horizontal="center" vertical="center"/>
    </xf>
    <xf numFmtId="0" fontId="11" fillId="0" borderId="19" xfId="0" applyFont="1" applyBorder="1" applyAlignment="1">
      <alignment horizontal="center" vertical="center"/>
    </xf>
    <xf numFmtId="0" fontId="11" fillId="0" borderId="22" xfId="0" applyFont="1" applyBorder="1" applyAlignment="1">
      <alignment horizontal="center" vertical="center"/>
    </xf>
    <xf numFmtId="0" fontId="11" fillId="0" borderId="0" xfId="0" applyFont="1" applyAlignment="1">
      <alignment horizontal="left" vertical="center" wrapText="1"/>
    </xf>
    <xf numFmtId="0" fontId="11" fillId="0" borderId="24" xfId="0" applyFont="1" applyBorder="1" applyAlignment="1">
      <alignment horizontal="left" vertical="center" wrapText="1"/>
    </xf>
    <xf numFmtId="0" fontId="11" fillId="0" borderId="0" xfId="0" applyFont="1" applyAlignment="1">
      <alignment horizontal="left" wrapText="1"/>
    </xf>
    <xf numFmtId="0" fontId="32" fillId="0" borderId="22" xfId="5" applyFont="1" applyBorder="1" applyAlignment="1">
      <alignment horizontal="left" vertical="center"/>
    </xf>
    <xf numFmtId="0" fontId="32" fillId="0" borderId="23" xfId="5" applyFont="1" applyBorder="1" applyAlignment="1">
      <alignment horizontal="left" vertical="center"/>
    </xf>
    <xf numFmtId="0" fontId="11" fillId="15" borderId="3" xfId="0" applyFont="1" applyFill="1" applyBorder="1" applyAlignment="1">
      <alignment horizontal="center" vertical="center" wrapText="1"/>
    </xf>
    <xf numFmtId="0" fontId="11" fillId="15" borderId="13" xfId="0" applyFont="1" applyFill="1" applyBorder="1" applyAlignment="1">
      <alignment horizontal="center" vertical="center" wrapText="1"/>
    </xf>
    <xf numFmtId="0" fontId="11" fillId="15" borderId="14" xfId="0" applyFont="1" applyFill="1" applyBorder="1" applyAlignment="1">
      <alignment horizontal="center" vertical="center" wrapText="1"/>
    </xf>
    <xf numFmtId="0" fontId="11" fillId="0" borderId="15" xfId="0" applyFont="1" applyBorder="1" applyAlignment="1">
      <alignment horizontal="center"/>
    </xf>
    <xf numFmtId="0" fontId="11" fillId="0" borderId="19" xfId="0" applyFont="1" applyBorder="1" applyAlignment="1">
      <alignment horizontal="center"/>
    </xf>
    <xf numFmtId="0" fontId="11" fillId="0" borderId="22" xfId="0" applyFont="1" applyBorder="1" applyAlignment="1">
      <alignment horizontal="center"/>
    </xf>
    <xf numFmtId="0" fontId="43" fillId="8" borderId="4" xfId="0" applyFont="1" applyFill="1" applyBorder="1" applyAlignment="1">
      <alignment horizontal="center" vertical="top" wrapText="1"/>
    </xf>
    <xf numFmtId="0" fontId="43" fillId="8" borderId="1" xfId="0" applyFont="1" applyFill="1" applyBorder="1" applyAlignment="1">
      <alignment horizontal="center" vertical="top" wrapText="1"/>
    </xf>
    <xf numFmtId="0" fontId="43" fillId="8" borderId="5" xfId="0" applyFont="1" applyFill="1" applyBorder="1" applyAlignment="1">
      <alignment horizontal="center" vertical="top" wrapText="1"/>
    </xf>
    <xf numFmtId="0" fontId="32" fillId="0" borderId="27" xfId="5" applyFont="1" applyBorder="1" applyAlignment="1">
      <alignment horizontal="left" vertical="center"/>
    </xf>
    <xf numFmtId="0" fontId="32" fillId="0" borderId="13" xfId="5" applyFont="1" applyBorder="1" applyAlignment="1">
      <alignment horizontal="left" vertical="center"/>
    </xf>
    <xf numFmtId="0" fontId="32" fillId="0" borderId="26" xfId="5" applyFont="1" applyBorder="1" applyAlignment="1">
      <alignment horizontal="left" vertical="center"/>
    </xf>
    <xf numFmtId="0" fontId="11" fillId="0" borderId="48" xfId="0" applyFont="1" applyBorder="1" applyAlignment="1">
      <alignment horizontal="center" vertical="center"/>
    </xf>
    <xf numFmtId="0" fontId="11" fillId="0" borderId="46" xfId="0" applyFont="1" applyBorder="1" applyAlignment="1">
      <alignment horizontal="center" vertical="center"/>
    </xf>
    <xf numFmtId="0" fontId="11" fillId="0" borderId="47" xfId="0" applyFont="1" applyBorder="1" applyAlignment="1">
      <alignment horizontal="center" vertical="center"/>
    </xf>
    <xf numFmtId="0" fontId="29" fillId="28" borderId="24" xfId="0" applyFont="1" applyFill="1" applyBorder="1" applyAlignment="1">
      <alignment horizontal="center" vertical="center"/>
    </xf>
    <xf numFmtId="0" fontId="60" fillId="0" borderId="0" xfId="0" applyFont="1"/>
    <xf numFmtId="3" fontId="17" fillId="0" borderId="0" xfId="0" applyNumberFormat="1" applyFont="1" applyAlignment="1">
      <alignment horizontal="left" vertical="center"/>
    </xf>
    <xf numFmtId="0" fontId="40" fillId="28" borderId="24" xfId="0" applyFont="1" applyFill="1" applyBorder="1" applyAlignment="1">
      <alignment horizontal="center" vertical="center"/>
    </xf>
    <xf numFmtId="0" fontId="0" fillId="0" borderId="2" xfId="0" applyBorder="1" applyAlignment="1">
      <alignment horizontal="left"/>
    </xf>
    <xf numFmtId="0" fontId="0" fillId="13" borderId="24" xfId="0" applyFill="1" applyBorder="1" applyAlignment="1">
      <alignment horizontal="center"/>
    </xf>
    <xf numFmtId="0" fontId="23" fillId="0" borderId="0" xfId="0" applyFont="1" applyAlignment="1">
      <alignment horizontal="center"/>
    </xf>
    <xf numFmtId="0" fontId="21" fillId="29" borderId="0" xfId="0" applyFont="1" applyFill="1" applyAlignment="1">
      <alignment horizontal="center" vertical="center"/>
    </xf>
    <xf numFmtId="0" fontId="0" fillId="0" borderId="0" xfId="0" applyAlignment="1">
      <alignment horizontal="center" wrapText="1"/>
    </xf>
    <xf numFmtId="0" fontId="24" fillId="28" borderId="20" xfId="0" applyFont="1" applyFill="1" applyBorder="1" applyAlignment="1">
      <alignment horizontal="center" vertical="center" wrapText="1"/>
    </xf>
    <xf numFmtId="0" fontId="24" fillId="28" borderId="0" xfId="0" applyFont="1" applyFill="1" applyAlignment="1">
      <alignment horizontal="center" vertical="center" wrapText="1"/>
    </xf>
    <xf numFmtId="0" fontId="4" fillId="20" borderId="2" xfId="0" applyFont="1" applyFill="1" applyBorder="1" applyAlignment="1">
      <alignment horizontal="center" vertical="center"/>
    </xf>
    <xf numFmtId="0" fontId="21" fillId="28" borderId="0" xfId="0" applyFont="1" applyFill="1" applyAlignment="1">
      <alignment horizontal="center" vertical="center"/>
    </xf>
    <xf numFmtId="0" fontId="0" fillId="0" borderId="2" xfId="0" applyBorder="1" applyAlignment="1">
      <alignment horizontal="left" wrapText="1"/>
    </xf>
    <xf numFmtId="0" fontId="11" fillId="0" borderId="2" xfId="0" applyFont="1" applyBorder="1" applyAlignment="1">
      <alignment horizontal="center" vertical="center" wrapText="1"/>
    </xf>
    <xf numFmtId="0" fontId="40" fillId="28" borderId="0" xfId="0" applyFont="1" applyFill="1" applyAlignment="1">
      <alignment horizontal="center" vertical="center" wrapText="1"/>
    </xf>
    <xf numFmtId="0" fontId="40" fillId="28" borderId="2" xfId="0" applyFont="1" applyFill="1" applyBorder="1" applyAlignment="1">
      <alignment horizontal="center"/>
    </xf>
    <xf numFmtId="0" fontId="29" fillId="28" borderId="2" xfId="0" applyFont="1" applyFill="1" applyBorder="1" applyAlignment="1">
      <alignment horizontal="center" vertical="center"/>
    </xf>
    <xf numFmtId="0" fontId="11" fillId="20" borderId="52" xfId="0" applyFont="1" applyFill="1" applyBorder="1" applyAlignment="1">
      <alignment horizontal="center" vertical="center"/>
    </xf>
    <xf numFmtId="0" fontId="11" fillId="20" borderId="0" xfId="0" applyFont="1" applyFill="1" applyAlignment="1">
      <alignment horizontal="center" vertical="center"/>
    </xf>
    <xf numFmtId="0" fontId="11" fillId="0" borderId="2" xfId="0" applyFont="1" applyBorder="1" applyAlignment="1">
      <alignment horizontal="center" wrapText="1"/>
    </xf>
    <xf numFmtId="0" fontId="11" fillId="0" borderId="2" xfId="0" applyFont="1" applyBorder="1" applyAlignment="1">
      <alignment horizontal="center"/>
    </xf>
    <xf numFmtId="0" fontId="49" fillId="0" borderId="56" xfId="0" applyFont="1" applyBorder="1" applyAlignment="1">
      <alignment horizontal="center" vertical="center"/>
    </xf>
    <xf numFmtId="0" fontId="49" fillId="0" borderId="59" xfId="0" applyFont="1" applyBorder="1" applyAlignment="1">
      <alignment horizontal="center" vertical="center"/>
    </xf>
    <xf numFmtId="0" fontId="49" fillId="0" borderId="61" xfId="0" applyFont="1" applyBorder="1" applyAlignment="1">
      <alignment horizontal="center" vertical="center"/>
    </xf>
    <xf numFmtId="0" fontId="49" fillId="0" borderId="57" xfId="0" applyFont="1" applyBorder="1" applyAlignment="1">
      <alignment horizontal="center" vertical="center"/>
    </xf>
    <xf numFmtId="0" fontId="49" fillId="0" borderId="54" xfId="0" applyFont="1" applyBorder="1" applyAlignment="1">
      <alignment horizontal="center" vertical="center"/>
    </xf>
    <xf numFmtId="0" fontId="49" fillId="0" borderId="62" xfId="0" applyFont="1" applyBorder="1" applyAlignment="1">
      <alignment horizontal="center" vertical="center"/>
    </xf>
    <xf numFmtId="0" fontId="49" fillId="0" borderId="57" xfId="0" applyFont="1" applyBorder="1" applyAlignment="1">
      <alignment horizontal="center" vertical="center" wrapText="1"/>
    </xf>
    <xf numFmtId="0" fontId="49" fillId="0" borderId="54" xfId="0" applyFont="1" applyBorder="1" applyAlignment="1">
      <alignment horizontal="center" vertical="center" wrapText="1"/>
    </xf>
    <xf numFmtId="0" fontId="49" fillId="0" borderId="62" xfId="0" applyFont="1" applyBorder="1" applyAlignment="1">
      <alignment horizontal="center" vertical="center" wrapText="1"/>
    </xf>
    <xf numFmtId="0" fontId="49" fillId="0" borderId="55" xfId="0" applyFont="1" applyBorder="1" applyAlignment="1">
      <alignment horizontal="center" vertical="center" wrapText="1"/>
    </xf>
    <xf numFmtId="0" fontId="49" fillId="0" borderId="4" xfId="0" applyFont="1" applyBorder="1" applyAlignment="1">
      <alignment horizontal="center" vertical="center" wrapText="1"/>
    </xf>
    <xf numFmtId="0" fontId="49" fillId="0" borderId="6" xfId="0" applyFont="1" applyBorder="1" applyAlignment="1">
      <alignment horizontal="center" vertical="center" wrapText="1"/>
    </xf>
    <xf numFmtId="0" fontId="49" fillId="0" borderId="8" xfId="0" applyFont="1" applyBorder="1" applyAlignment="1">
      <alignment horizontal="center" vertical="center" wrapText="1"/>
    </xf>
    <xf numFmtId="0" fontId="58" fillId="0" borderId="57" xfId="0" applyFont="1" applyBorder="1" applyAlignment="1">
      <alignment horizontal="center" vertical="center" wrapText="1"/>
    </xf>
    <xf numFmtId="0" fontId="58" fillId="0" borderId="54" xfId="0" applyFont="1" applyBorder="1" applyAlignment="1">
      <alignment horizontal="center" vertical="center" wrapText="1"/>
    </xf>
    <xf numFmtId="0" fontId="58" fillId="0" borderId="62" xfId="0" applyFont="1" applyBorder="1" applyAlignment="1">
      <alignment horizontal="center" vertical="center" wrapText="1"/>
    </xf>
    <xf numFmtId="0" fontId="58" fillId="0" borderId="64" xfId="0" applyFont="1" applyBorder="1" applyAlignment="1">
      <alignment horizontal="center" vertical="center" wrapText="1"/>
    </xf>
    <xf numFmtId="0" fontId="58" fillId="0" borderId="65" xfId="0" applyFont="1" applyBorder="1" applyAlignment="1">
      <alignment horizontal="center" vertical="center" wrapText="1"/>
    </xf>
    <xf numFmtId="0" fontId="58" fillId="0" borderId="66" xfId="0" applyFont="1" applyBorder="1" applyAlignment="1">
      <alignment horizontal="center" vertical="center" wrapText="1"/>
    </xf>
    <xf numFmtId="0" fontId="49" fillId="0" borderId="56" xfId="0" applyFont="1" applyBorder="1" applyAlignment="1">
      <alignment horizontal="center" vertical="center" wrapText="1"/>
    </xf>
    <xf numFmtId="0" fontId="49" fillId="0" borderId="61" xfId="0" applyFont="1" applyBorder="1" applyAlignment="1">
      <alignment horizontal="center" vertical="center" wrapText="1"/>
    </xf>
    <xf numFmtId="0" fontId="49" fillId="0" borderId="1" xfId="0" applyFont="1" applyBorder="1" applyAlignment="1">
      <alignment horizontal="center" vertical="center" wrapText="1"/>
    </xf>
    <xf numFmtId="0" fontId="49" fillId="0" borderId="2" xfId="0" applyFont="1" applyBorder="1" applyAlignment="1">
      <alignment horizontal="center" vertical="center" wrapText="1"/>
    </xf>
    <xf numFmtId="0" fontId="49" fillId="0" borderId="69" xfId="0" applyFont="1" applyBorder="1" applyAlignment="1">
      <alignment horizontal="center" vertical="center" wrapText="1"/>
    </xf>
    <xf numFmtId="0" fontId="17" fillId="20" borderId="10" xfId="0" applyFont="1" applyFill="1" applyBorder="1" applyAlignment="1">
      <alignment horizontal="center" vertical="center"/>
    </xf>
    <xf numFmtId="0" fontId="17" fillId="20" borderId="11" xfId="0" applyFont="1" applyFill="1" applyBorder="1" applyAlignment="1">
      <alignment horizontal="center" vertical="center"/>
    </xf>
    <xf numFmtId="0" fontId="17" fillId="20" borderId="12" xfId="0" applyFont="1" applyFill="1" applyBorder="1" applyAlignment="1">
      <alignment horizontal="center" vertical="center"/>
    </xf>
    <xf numFmtId="0" fontId="59" fillId="0" borderId="11" xfId="0" applyFont="1" applyBorder="1" applyAlignment="1">
      <alignment horizontal="center" vertical="center"/>
    </xf>
    <xf numFmtId="0" fontId="29" fillId="28" borderId="2" xfId="0" applyFont="1" applyFill="1" applyBorder="1" applyAlignment="1">
      <alignment horizontal="center" vertical="center" wrapText="1"/>
    </xf>
    <xf numFmtId="0" fontId="49" fillId="0" borderId="4" xfId="0" applyFont="1" applyBorder="1" applyAlignment="1">
      <alignment horizontal="center" vertical="center"/>
    </xf>
    <xf numFmtId="0" fontId="49" fillId="0" borderId="6" xfId="0" applyFont="1" applyBorder="1" applyAlignment="1">
      <alignment horizontal="center" vertical="center"/>
    </xf>
    <xf numFmtId="0" fontId="49" fillId="0" borderId="8" xfId="0" applyFont="1" applyBorder="1" applyAlignment="1">
      <alignment horizontal="center" vertical="center"/>
    </xf>
    <xf numFmtId="0" fontId="49" fillId="0" borderId="67" xfId="0" applyFont="1" applyBorder="1" applyAlignment="1">
      <alignment horizontal="center" vertical="center"/>
    </xf>
    <xf numFmtId="0" fontId="17" fillId="20" borderId="2" xfId="0" applyFont="1" applyFill="1" applyBorder="1" applyAlignment="1">
      <alignment horizontal="center" vertical="center"/>
    </xf>
    <xf numFmtId="0" fontId="17" fillId="20" borderId="15" xfId="0" applyFont="1" applyFill="1" applyBorder="1" applyAlignment="1">
      <alignment horizontal="center" vertical="center"/>
    </xf>
    <xf numFmtId="0" fontId="17" fillId="2" borderId="0" xfId="0" applyFont="1" applyFill="1" applyAlignment="1">
      <alignment horizontal="left" vertical="center"/>
    </xf>
    <xf numFmtId="0" fontId="42" fillId="20" borderId="2" xfId="0" applyFont="1" applyFill="1" applyBorder="1" applyAlignment="1">
      <alignment horizontal="center" vertical="center" wrapText="1"/>
    </xf>
    <xf numFmtId="0" fontId="11" fillId="0" borderId="53" xfId="0" applyFont="1" applyBorder="1" applyAlignment="1">
      <alignment horizontal="center" vertical="center"/>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75" fillId="0" borderId="10" xfId="0" applyFont="1" applyBorder="1" applyAlignment="1">
      <alignment horizontal="center"/>
    </xf>
    <xf numFmtId="0" fontId="75" fillId="0" borderId="11" xfId="0" applyFont="1" applyBorder="1" applyAlignment="1">
      <alignment horizontal="center"/>
    </xf>
    <xf numFmtId="0" fontId="75" fillId="0" borderId="12" xfId="0" applyFont="1" applyBorder="1" applyAlignment="1">
      <alignment horizontal="center"/>
    </xf>
    <xf numFmtId="9" fontId="17" fillId="0" borderId="74" xfId="2" applyFont="1" applyFill="1" applyBorder="1" applyAlignment="1">
      <alignment horizontal="center" vertical="center"/>
    </xf>
    <xf numFmtId="9" fontId="17" fillId="0" borderId="46" xfId="2" applyFont="1" applyFill="1" applyBorder="1" applyAlignment="1">
      <alignment horizontal="center" vertical="center"/>
    </xf>
    <xf numFmtId="9" fontId="17" fillId="0" borderId="47" xfId="2" applyFont="1" applyFill="1" applyBorder="1" applyAlignment="1">
      <alignment horizontal="center" vertical="center"/>
    </xf>
    <xf numFmtId="0" fontId="11" fillId="0" borderId="3" xfId="0" applyFont="1" applyBorder="1" applyAlignment="1">
      <alignment horizontal="center" vertical="center" wrapText="1"/>
    </xf>
    <xf numFmtId="0" fontId="11" fillId="0" borderId="3" xfId="0" applyFont="1" applyBorder="1" applyAlignment="1">
      <alignment horizontal="center" wrapText="1"/>
    </xf>
    <xf numFmtId="0" fontId="11" fillId="0" borderId="38" xfId="0" applyFont="1" applyBorder="1" applyAlignment="1">
      <alignment horizontal="center" wrapText="1"/>
    </xf>
    <xf numFmtId="0" fontId="17" fillId="0" borderId="17" xfId="0" applyFont="1" applyBorder="1" applyAlignment="1">
      <alignment horizontal="center" vertical="center"/>
    </xf>
    <xf numFmtId="0" fontId="17" fillId="0" borderId="0" xfId="0" applyFont="1" applyBorder="1" applyAlignment="1">
      <alignment horizontal="center" vertical="center"/>
    </xf>
    <xf numFmtId="0" fontId="52" fillId="20" borderId="2" xfId="0" applyFont="1" applyFill="1" applyBorder="1" applyAlignment="1">
      <alignment horizontal="center" vertical="center"/>
    </xf>
    <xf numFmtId="10" fontId="17" fillId="0" borderId="10" xfId="8" applyNumberFormat="1" applyFont="1" applyBorder="1" applyAlignment="1">
      <alignment horizontal="center"/>
    </xf>
    <xf numFmtId="10" fontId="17" fillId="0" borderId="11" xfId="8" applyNumberFormat="1" applyFont="1" applyBorder="1" applyAlignment="1">
      <alignment horizontal="center"/>
    </xf>
    <xf numFmtId="10" fontId="17" fillId="0" borderId="12" xfId="8" applyNumberFormat="1" applyFont="1" applyBorder="1" applyAlignment="1">
      <alignment horizontal="center"/>
    </xf>
    <xf numFmtId="0" fontId="17" fillId="9" borderId="3" xfId="0" applyFont="1" applyFill="1" applyBorder="1" applyAlignment="1">
      <alignment horizontal="center" vertical="center"/>
    </xf>
    <xf numFmtId="0" fontId="17" fillId="9" borderId="13" xfId="0" applyFont="1" applyFill="1" applyBorder="1" applyAlignment="1">
      <alignment horizontal="center" vertical="center"/>
    </xf>
    <xf numFmtId="0" fontId="17" fillId="9" borderId="14" xfId="0" applyFont="1" applyFill="1" applyBorder="1" applyAlignment="1">
      <alignment horizontal="center" vertical="center"/>
    </xf>
    <xf numFmtId="0" fontId="16" fillId="4" borderId="3" xfId="4" applyFont="1" applyFill="1" applyBorder="1" applyAlignment="1">
      <alignment horizontal="center"/>
    </xf>
    <xf numFmtId="0" fontId="16" fillId="4" borderId="13" xfId="4" applyFont="1" applyFill="1" applyBorder="1" applyAlignment="1">
      <alignment horizontal="center"/>
    </xf>
    <xf numFmtId="0" fontId="16" fillId="4" borderId="14" xfId="4" applyFont="1" applyFill="1" applyBorder="1" applyAlignment="1">
      <alignment horizontal="center"/>
    </xf>
    <xf numFmtId="0" fontId="1" fillId="15" borderId="0" xfId="0" applyFont="1" applyFill="1" applyAlignment="1">
      <alignment horizontal="center" vertical="center"/>
    </xf>
    <xf numFmtId="0" fontId="12" fillId="0" borderId="0" xfId="4" applyFont="1" applyAlignment="1">
      <alignment horizontal="center"/>
    </xf>
    <xf numFmtId="0" fontId="0" fillId="0" borderId="21" xfId="0" applyBorder="1" applyAlignment="1">
      <alignment horizontal="center" wrapText="1"/>
    </xf>
  </cellXfs>
  <cellStyles count="13">
    <cellStyle name="Comma" xfId="6" builtinId="3"/>
    <cellStyle name="Hyperlink" xfId="5" builtinId="8"/>
    <cellStyle name="Hyperlink 2" xfId="10" xr:uid="{10C1E3C0-F46B-4E25-BD9A-EE5D62F88FF2}"/>
    <cellStyle name="Normal" xfId="0" builtinId="0"/>
    <cellStyle name="Normal 2" xfId="3" xr:uid="{E38C2638-0821-4BB2-9C33-A89D3950ADA6}"/>
    <cellStyle name="Normal 2 2" xfId="4" xr:uid="{7604919E-E68F-4366-A693-6A7B8B8DA661}"/>
    <cellStyle name="Normal 2 3" xfId="9" xr:uid="{8A1E39CD-7ABA-4D79-A464-67010D1209C1}"/>
    <cellStyle name="Normal 3" xfId="7" xr:uid="{1C10DAE4-4F9C-4E19-81E4-5574511A6741}"/>
    <cellStyle name="Normal 4" xfId="11" xr:uid="{43272557-B37F-4996-BC18-AA3EDEAFA379}"/>
    <cellStyle name="Normal 5" xfId="12" xr:uid="{642BE191-BE2F-4847-8420-1C59B95E270E}"/>
    <cellStyle name="Normal_Prototype_Scorecard-LgOffice-2008-03-13" xfId="1" xr:uid="{F839F8A1-86E5-4008-9801-0F032E8A3317}"/>
    <cellStyle name="Percent" xfId="2" builtinId="5"/>
    <cellStyle name="Percent 2" xfId="8" xr:uid="{CB789C3E-741F-4464-8065-385A956411E6}"/>
  </cellStyles>
  <dxfs count="7">
    <dxf>
      <font>
        <b/>
        <i val="0"/>
      </font>
      <fill>
        <patternFill>
          <bgColor theme="0" tint="-0.14996795556505021"/>
        </patternFill>
      </fill>
      <border>
        <left style="thin">
          <color auto="1"/>
        </left>
        <right style="thin">
          <color auto="1"/>
        </right>
        <top style="thin">
          <color auto="1"/>
        </top>
        <bottom style="thin">
          <color auto="1"/>
        </bottom>
        <vertical/>
        <horizontal style="thin">
          <color auto="1"/>
        </horizontal>
      </border>
    </dxf>
    <dxf>
      <font>
        <b/>
        <i val="0"/>
      </font>
      <fill>
        <patternFill>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ont>
        <b/>
        <i val="0"/>
      </font>
    </dxf>
    <dxf>
      <font>
        <b/>
        <i val="0"/>
      </font>
    </dxf>
    <dxf>
      <font>
        <b/>
        <i val="0"/>
      </font>
      <border diagonalDown="1">
        <left style="thin">
          <color auto="1"/>
        </left>
        <right style="thin">
          <color auto="1"/>
        </right>
        <top style="thin">
          <color auto="1"/>
        </top>
        <bottom style="thin">
          <color auto="1"/>
        </bottom>
        <diagonal style="thin">
          <color auto="1"/>
        </diagonal>
        <vertical style="thin">
          <color auto="1"/>
        </vertical>
        <horizontal style="thin">
          <color auto="1"/>
        </horizontal>
      </border>
    </dxf>
    <dxf>
      <font>
        <b/>
        <i val="0"/>
      </font>
      <fill>
        <patternFill>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border>
    </dxf>
  </dxfs>
  <tableStyles count="1" defaultTableStyle="TableStyleMedium2" defaultPivotStyle="PivotStyleLight16">
    <tableStyle name="PivotTable Style_MFA1" table="0" count="7" xr9:uid="{14E84246-083A-4927-8273-A88944943105}">
      <tableStyleElement type="wholeTable" dxfId="6"/>
      <tableStyleElement type="headerRow" dxfId="5"/>
      <tableStyleElement type="totalRow" dxfId="4"/>
      <tableStyleElement type="firstColumn" dxfId="3"/>
      <tableStyleElement type="lastColumn" dxfId="2"/>
      <tableStyleElement type="pageFieldLabels" dxfId="1"/>
      <tableStyleElement type="pageFieldValues" dxfId="0"/>
    </tableStyle>
  </tableStyles>
  <colors>
    <mruColors>
      <color rgb="FFFF9900"/>
      <color rgb="FFCCCCFF"/>
      <color rgb="FF8238BA"/>
      <color rgb="FFFFEBCD"/>
      <color rgb="FF002F8E"/>
      <color rgb="FF0000CC"/>
      <color rgb="FF2E9F17"/>
      <color rgb="FFFFFAF3"/>
      <color rgb="FF2DC8FF"/>
      <color rgb="FF0011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r>
              <a:rPr lang="en-US" baseline="0"/>
              <a:t> Fuel type - Small Office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'Heating-No area used to convert'!$V$2</c:f>
              <c:strCache>
                <c:ptCount val="1"/>
                <c:pt idx="0">
                  <c:v>Saturation (Electric)</c:v>
                </c:pt>
              </c:strCache>
            </c:strRef>
          </c:tx>
          <c:spPr>
            <a:solidFill>
              <a:schemeClr val="accent1"/>
            </a:solidFill>
            <a:ln>
              <a:noFill/>
            </a:ln>
            <a:effectLst/>
          </c:spPr>
          <c:invertIfNegative val="0"/>
          <c:cat>
            <c:strRef>
              <c:f>'Heating-No area used to convert'!$O$4:$O$19</c:f>
              <c:strCache>
                <c:ptCount val="16"/>
                <c:pt idx="0">
                  <c:v>FCZ1</c:v>
                </c:pt>
                <c:pt idx="1">
                  <c:v>FCZ2</c:v>
                </c:pt>
                <c:pt idx="2">
                  <c:v>FCZ3</c:v>
                </c:pt>
                <c:pt idx="3">
                  <c:v>FCZ4</c:v>
                </c:pt>
                <c:pt idx="4">
                  <c:v>FCZ5</c:v>
                </c:pt>
                <c:pt idx="5">
                  <c:v>FCZ6</c:v>
                </c:pt>
                <c:pt idx="6">
                  <c:v>FCZ7</c:v>
                </c:pt>
                <c:pt idx="7">
                  <c:v>FCZ8</c:v>
                </c:pt>
                <c:pt idx="8">
                  <c:v>FCZ9</c:v>
                </c:pt>
                <c:pt idx="9">
                  <c:v>FCZ10</c:v>
                </c:pt>
                <c:pt idx="10">
                  <c:v>FCZ11</c:v>
                </c:pt>
                <c:pt idx="11">
                  <c:v>FCZ12c</c:v>
                </c:pt>
                <c:pt idx="12">
                  <c:v>FCZ12i</c:v>
                </c:pt>
                <c:pt idx="13">
                  <c:v>FCZ13</c:v>
                </c:pt>
                <c:pt idx="14">
                  <c:v>FCZ16</c:v>
                </c:pt>
                <c:pt idx="15">
                  <c:v>FCZ17</c:v>
                </c:pt>
              </c:strCache>
            </c:strRef>
          </c:cat>
          <c:val>
            <c:numRef>
              <c:f>'Heating-No area used to convert'!$V$4:$V$19</c:f>
              <c:numCache>
                <c:formatCode>0.0%</c:formatCode>
                <c:ptCount val="16"/>
                <c:pt idx="0">
                  <c:v>0.28059547381693301</c:v>
                </c:pt>
                <c:pt idx="1">
                  <c:v>0.10285650531384764</c:v>
                </c:pt>
                <c:pt idx="2">
                  <c:v>0.22764715328470347</c:v>
                </c:pt>
                <c:pt idx="3">
                  <c:v>0.22764715328470347</c:v>
                </c:pt>
                <c:pt idx="4">
                  <c:v>0.18902425594194774</c:v>
                </c:pt>
                <c:pt idx="5">
                  <c:v>0.23589976942651886</c:v>
                </c:pt>
                <c:pt idx="6">
                  <c:v>0.62997606968910669</c:v>
                </c:pt>
                <c:pt idx="7">
                  <c:v>0.50445401803813705</c:v>
                </c:pt>
                <c:pt idx="8">
                  <c:v>5.6283748971859983E-2</c:v>
                </c:pt>
                <c:pt idx="9">
                  <c:v>0.41941527860681393</c:v>
                </c:pt>
                <c:pt idx="10">
                  <c:v>0.52492102906876836</c:v>
                </c:pt>
                <c:pt idx="11">
                  <c:v>0.52219585030530169</c:v>
                </c:pt>
                <c:pt idx="12">
                  <c:v>0.36944969753377582</c:v>
                </c:pt>
                <c:pt idx="13">
                  <c:v>0.33477968764715826</c:v>
                </c:pt>
                <c:pt idx="14">
                  <c:v>0.35498215678068606</c:v>
                </c:pt>
                <c:pt idx="15">
                  <c:v>0.31892297110776657</c:v>
                </c:pt>
              </c:numCache>
            </c:numRef>
          </c:val>
          <c:extLst>
            <c:ext xmlns:c16="http://schemas.microsoft.com/office/drawing/2014/chart" uri="{C3380CC4-5D6E-409C-BE32-E72D297353CC}">
              <c16:uniqueId val="{00000000-0BC5-441C-800B-44DAD7A72E18}"/>
            </c:ext>
          </c:extLst>
        </c:ser>
        <c:ser>
          <c:idx val="1"/>
          <c:order val="1"/>
          <c:tx>
            <c:strRef>
              <c:f>'Heating-No area used to convert'!$W$2</c:f>
              <c:strCache>
                <c:ptCount val="1"/>
                <c:pt idx="0">
                  <c:v>Saturation (Gas)</c:v>
                </c:pt>
              </c:strCache>
            </c:strRef>
          </c:tx>
          <c:spPr>
            <a:solidFill>
              <a:schemeClr val="accent2"/>
            </a:solidFill>
            <a:ln>
              <a:noFill/>
            </a:ln>
            <a:effectLst/>
          </c:spPr>
          <c:invertIfNegative val="0"/>
          <c:cat>
            <c:strRef>
              <c:f>'Heating-No area used to convert'!$O$4:$O$19</c:f>
              <c:strCache>
                <c:ptCount val="16"/>
                <c:pt idx="0">
                  <c:v>FCZ1</c:v>
                </c:pt>
                <c:pt idx="1">
                  <c:v>FCZ2</c:v>
                </c:pt>
                <c:pt idx="2">
                  <c:v>FCZ3</c:v>
                </c:pt>
                <c:pt idx="3">
                  <c:v>FCZ4</c:v>
                </c:pt>
                <c:pt idx="4">
                  <c:v>FCZ5</c:v>
                </c:pt>
                <c:pt idx="5">
                  <c:v>FCZ6</c:v>
                </c:pt>
                <c:pt idx="6">
                  <c:v>FCZ7</c:v>
                </c:pt>
                <c:pt idx="7">
                  <c:v>FCZ8</c:v>
                </c:pt>
                <c:pt idx="8">
                  <c:v>FCZ9</c:v>
                </c:pt>
                <c:pt idx="9">
                  <c:v>FCZ10</c:v>
                </c:pt>
                <c:pt idx="10">
                  <c:v>FCZ11</c:v>
                </c:pt>
                <c:pt idx="11">
                  <c:v>FCZ12c</c:v>
                </c:pt>
                <c:pt idx="12">
                  <c:v>FCZ12i</c:v>
                </c:pt>
                <c:pt idx="13">
                  <c:v>FCZ13</c:v>
                </c:pt>
                <c:pt idx="14">
                  <c:v>FCZ16</c:v>
                </c:pt>
                <c:pt idx="15">
                  <c:v>FCZ17</c:v>
                </c:pt>
              </c:strCache>
            </c:strRef>
          </c:cat>
          <c:val>
            <c:numRef>
              <c:f>'Heating-No area used to convert'!$W$4:$W$19</c:f>
              <c:numCache>
                <c:formatCode>0.0%</c:formatCode>
                <c:ptCount val="16"/>
                <c:pt idx="0">
                  <c:v>0.6243131530677799</c:v>
                </c:pt>
                <c:pt idx="1">
                  <c:v>0.70189795312562475</c:v>
                </c:pt>
                <c:pt idx="2">
                  <c:v>0.59683100490507757</c:v>
                </c:pt>
                <c:pt idx="3">
                  <c:v>0.59683100490507757</c:v>
                </c:pt>
                <c:pt idx="4">
                  <c:v>0.72768161312071966</c:v>
                </c:pt>
                <c:pt idx="5">
                  <c:v>0.68871371650807633</c:v>
                </c:pt>
                <c:pt idx="6">
                  <c:v>0.3223503442480643</c:v>
                </c:pt>
                <c:pt idx="7">
                  <c:v>0.42763445504804587</c:v>
                </c:pt>
                <c:pt idx="8">
                  <c:v>0.86134731066558923</c:v>
                </c:pt>
                <c:pt idx="9">
                  <c:v>0.49296635343854911</c:v>
                </c:pt>
                <c:pt idx="10">
                  <c:v>0.44895206672283278</c:v>
                </c:pt>
                <c:pt idx="11">
                  <c:v>0.3761090175583498</c:v>
                </c:pt>
                <c:pt idx="12">
                  <c:v>0.50773333141711874</c:v>
                </c:pt>
                <c:pt idx="13">
                  <c:v>0.53370716424748876</c:v>
                </c:pt>
                <c:pt idx="14">
                  <c:v>0.38142278954892783</c:v>
                </c:pt>
                <c:pt idx="15">
                  <c:v>0.58671628779641738</c:v>
                </c:pt>
              </c:numCache>
            </c:numRef>
          </c:val>
          <c:extLst>
            <c:ext xmlns:c16="http://schemas.microsoft.com/office/drawing/2014/chart" uri="{C3380CC4-5D6E-409C-BE32-E72D297353CC}">
              <c16:uniqueId val="{00000001-0BC5-441C-800B-44DAD7A72E18}"/>
            </c:ext>
          </c:extLst>
        </c:ser>
        <c:ser>
          <c:idx val="2"/>
          <c:order val="2"/>
          <c:tx>
            <c:strRef>
              <c:f>'Heating-No area used to convert'!$X$2</c:f>
              <c:strCache>
                <c:ptCount val="1"/>
                <c:pt idx="0">
                  <c:v>Saturation
(Other Fuels)</c:v>
                </c:pt>
              </c:strCache>
            </c:strRef>
          </c:tx>
          <c:spPr>
            <a:solidFill>
              <a:schemeClr val="accent3"/>
            </a:solidFill>
            <a:ln>
              <a:noFill/>
            </a:ln>
            <a:effectLst/>
          </c:spPr>
          <c:invertIfNegative val="0"/>
          <c:val>
            <c:numRef>
              <c:f>'Heating-No area used to convert'!$X$4:$X$19</c:f>
              <c:numCache>
                <c:formatCode>0.0%</c:formatCode>
                <c:ptCount val="16"/>
                <c:pt idx="0">
                  <c:v>8.1065102686722016E-3</c:v>
                </c:pt>
                <c:pt idx="1">
                  <c:v>5.738688404380525E-2</c:v>
                </c:pt>
                <c:pt idx="2">
                  <c:v>7.3132514392905273E-2</c:v>
                </c:pt>
                <c:pt idx="3">
                  <c:v>7.3132514392905273E-2</c:v>
                </c:pt>
                <c:pt idx="4">
                  <c:v>5.4442424021695609E-3</c:v>
                </c:pt>
                <c:pt idx="5">
                  <c:v>1.8620214057104439E-3</c:v>
                </c:pt>
                <c:pt idx="6">
                  <c:v>0</c:v>
                </c:pt>
                <c:pt idx="7">
                  <c:v>0</c:v>
                </c:pt>
                <c:pt idx="8">
                  <c:v>2.763374756120773E-2</c:v>
                </c:pt>
                <c:pt idx="9">
                  <c:v>0</c:v>
                </c:pt>
                <c:pt idx="10">
                  <c:v>7.0259434871968781E-3</c:v>
                </c:pt>
                <c:pt idx="11">
                  <c:v>2.2548952298248534E-3</c:v>
                </c:pt>
                <c:pt idx="12">
                  <c:v>1.219301678793685E-3</c:v>
                </c:pt>
                <c:pt idx="13">
                  <c:v>0</c:v>
                </c:pt>
                <c:pt idx="14">
                  <c:v>0</c:v>
                </c:pt>
                <c:pt idx="15">
                  <c:v>0</c:v>
                </c:pt>
              </c:numCache>
            </c:numRef>
          </c:val>
          <c:extLst>
            <c:ext xmlns:c16="http://schemas.microsoft.com/office/drawing/2014/chart" uri="{C3380CC4-5D6E-409C-BE32-E72D297353CC}">
              <c16:uniqueId val="{00000000-5F0E-4002-9763-F39F9FBDFB68}"/>
            </c:ext>
          </c:extLst>
        </c:ser>
        <c:dLbls>
          <c:showLegendKey val="0"/>
          <c:showVal val="0"/>
          <c:showCatName val="0"/>
          <c:showSerName val="0"/>
          <c:showPercent val="0"/>
          <c:showBubbleSize val="0"/>
        </c:dLbls>
        <c:gapWidth val="150"/>
        <c:overlap val="100"/>
        <c:axId val="1803301935"/>
        <c:axId val="1383834687"/>
      </c:barChart>
      <c:catAx>
        <c:axId val="180330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34687"/>
        <c:crosses val="autoZero"/>
        <c:auto val="1"/>
        <c:lblAlgn val="ctr"/>
        <c:lblOffset val="100"/>
        <c:noMultiLvlLbl val="0"/>
      </c:catAx>
      <c:valAx>
        <c:axId val="138383468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301935"/>
        <c:crosses val="autoZero"/>
        <c:crossBetween val="between"/>
        <c:min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400" b="1">
                <a:solidFill>
                  <a:sysClr val="windowText" lastClr="000000"/>
                </a:solidFill>
                <a:latin typeface="+mj-lt"/>
              </a:rPr>
              <a:t>CEC: </a:t>
            </a:r>
            <a:r>
              <a:rPr lang="en-US">
                <a:solidFill>
                  <a:sysClr val="windowText" lastClr="000000"/>
                </a:solidFill>
                <a:latin typeface="+mj-lt"/>
              </a:rPr>
              <a:t>Occpancy </a:t>
            </a:r>
            <a:r>
              <a:rPr lang="en-US" sz="1400" b="0" i="0" u="none" strike="noStrike" kern="1200" spc="0" baseline="0">
                <a:solidFill>
                  <a:sysClr val="windowText" lastClr="000000"/>
                </a:solidFill>
                <a:latin typeface="+mj-lt"/>
              </a:rPr>
              <a:t>Schedule- Small office</a:t>
            </a:r>
            <a:endParaRPr lang="en-US">
              <a:solidFill>
                <a:sysClr val="windowText" lastClr="000000"/>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lineChart>
        <c:grouping val="standard"/>
        <c:varyColors val="0"/>
        <c:ser>
          <c:idx val="5"/>
          <c:order val="0"/>
          <c:tx>
            <c:strRef>
              <c:f>Occupnacy!$J$68</c:f>
              <c:strCache>
                <c:ptCount val="1"/>
                <c:pt idx="0">
                  <c:v>CEC Weekday</c:v>
                </c:pt>
              </c:strCache>
            </c:strRef>
          </c:tx>
          <c:spPr>
            <a:ln w="28575" cap="rnd">
              <a:solidFill>
                <a:schemeClr val="accent6"/>
              </a:solidFill>
              <a:round/>
            </a:ln>
            <a:effectLst/>
          </c:spPr>
          <c:marker>
            <c:symbol val="none"/>
          </c:marker>
          <c:cat>
            <c:numRef>
              <c:f>Occupnacy!$A$69:$A$92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Occupnacy!$J$69:$J$92</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c:v>
                </c:pt>
              </c:numCache>
            </c:numRef>
          </c:val>
          <c:smooth val="0"/>
          <c:extLst>
            <c:ext xmlns:c16="http://schemas.microsoft.com/office/drawing/2014/chart" uri="{C3380CC4-5D6E-409C-BE32-E72D297353CC}">
              <c16:uniqueId val="{00000000-843C-45B0-8AEE-A18D70991123}"/>
            </c:ext>
          </c:extLst>
        </c:ser>
        <c:ser>
          <c:idx val="6"/>
          <c:order val="1"/>
          <c:tx>
            <c:strRef>
              <c:f>Occupnacy!$K$68</c:f>
              <c:strCache>
                <c:ptCount val="1"/>
                <c:pt idx="0">
                  <c:v>CEC Saturday</c:v>
                </c:pt>
              </c:strCache>
            </c:strRef>
          </c:tx>
          <c:spPr>
            <a:ln w="28575" cap="rnd">
              <a:solidFill>
                <a:schemeClr val="accent1">
                  <a:lumMod val="60000"/>
                </a:schemeClr>
              </a:solidFill>
              <a:round/>
            </a:ln>
            <a:effectLst/>
          </c:spPr>
          <c:marker>
            <c:symbol val="none"/>
          </c:marker>
          <c:cat>
            <c:numRef>
              <c:f>Occupnacy!$A$69:$A$92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Occupnacy!$K$69:$K$92</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smooth val="0"/>
          <c:extLst>
            <c:ext xmlns:c16="http://schemas.microsoft.com/office/drawing/2014/chart" uri="{C3380CC4-5D6E-409C-BE32-E72D297353CC}">
              <c16:uniqueId val="{00000001-843C-45B0-8AEE-A18D70991123}"/>
            </c:ext>
          </c:extLst>
        </c:ser>
        <c:ser>
          <c:idx val="7"/>
          <c:order val="2"/>
          <c:tx>
            <c:strRef>
              <c:f>Occupnacy!$L$68</c:f>
              <c:strCache>
                <c:ptCount val="1"/>
                <c:pt idx="0">
                  <c:v>CEC Sunday</c:v>
                </c:pt>
              </c:strCache>
            </c:strRef>
          </c:tx>
          <c:spPr>
            <a:ln w="28575" cap="rnd">
              <a:solidFill>
                <a:schemeClr val="accent2">
                  <a:lumMod val="60000"/>
                </a:schemeClr>
              </a:solidFill>
              <a:round/>
            </a:ln>
            <a:effectLst/>
          </c:spPr>
          <c:marker>
            <c:symbol val="none"/>
          </c:marker>
          <c:cat>
            <c:numRef>
              <c:f>Occupnacy!$A$69:$A$92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Occupnacy!$L$69:$L$92</c:f>
              <c:numCache>
                <c:formatCode>General</c:formatCode>
                <c:ptCount val="24"/>
                <c:pt idx="0">
                  <c:v>0</c:v>
                </c:pt>
                <c:pt idx="1">
                  <c:v>0</c:v>
                </c:pt>
                <c:pt idx="2">
                  <c:v>0</c:v>
                </c:pt>
                <c:pt idx="3">
                  <c:v>0</c:v>
                </c:pt>
                <c:pt idx="4">
                  <c:v>0</c:v>
                </c:pt>
                <c:pt idx="5">
                  <c:v>0</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843C-45B0-8AEE-A18D70991123}"/>
            </c:ext>
          </c:extLst>
        </c:ser>
        <c:dLbls>
          <c:showLegendKey val="0"/>
          <c:showVal val="0"/>
          <c:showCatName val="0"/>
          <c:showSerName val="0"/>
          <c:showPercent val="0"/>
          <c:showBubbleSize val="0"/>
        </c:dLbls>
        <c:smooth val="0"/>
        <c:axId val="1948439823"/>
        <c:axId val="1948451823"/>
      </c:lineChart>
      <c:catAx>
        <c:axId val="194843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51823"/>
        <c:crosses val="autoZero"/>
        <c:auto val="1"/>
        <c:lblAlgn val="ctr"/>
        <c:lblOffset val="100"/>
        <c:noMultiLvlLbl val="0"/>
      </c:catAx>
      <c:valAx>
        <c:axId val="194845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39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ysClr val="windowText" lastClr="000000"/>
                </a:solidFill>
              </a:rPr>
              <a:t>DEER</a:t>
            </a:r>
            <a:r>
              <a:rPr lang="en-US" sz="1400" b="0" i="0" u="none" strike="noStrike" kern="1200" spc="0" baseline="0">
                <a:solidFill>
                  <a:sysClr val="windowText" lastClr="000000"/>
                </a:solidFill>
              </a:rPr>
              <a:t>: </a:t>
            </a:r>
            <a:r>
              <a:rPr lang="en-US" sz="1400" b="0" i="0" u="none" strike="noStrike" kern="1200" spc="0" baseline="0">
                <a:solidFill>
                  <a:sysClr val="windowText" lastClr="000000">
                    <a:lumMod val="65000"/>
                    <a:lumOff val="35000"/>
                  </a:sysClr>
                </a:solidFill>
              </a:rPr>
              <a:t>Equipment- Small office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0"/>
          <c:tx>
            <c:strRef>
              <c:f>Equipment!$J$53</c:f>
              <c:strCache>
                <c:ptCount val="1"/>
                <c:pt idx="0">
                  <c:v>DEER-Weekday</c:v>
                </c:pt>
              </c:strCache>
            </c:strRef>
          </c:tx>
          <c:spPr>
            <a:ln w="28575" cap="rnd">
              <a:solidFill>
                <a:schemeClr val="accent4">
                  <a:lumMod val="60000"/>
                </a:schemeClr>
              </a:solidFill>
              <a:round/>
            </a:ln>
            <a:effectLst/>
          </c:spPr>
          <c:marker>
            <c:symbol val="none"/>
          </c:marker>
          <c:cat>
            <c:multiLvlStrRef>
              <c:f>Equipment!$A$54:$A$77</c:f>
            </c:multiLvlStrRef>
          </c:cat>
          <c:val>
            <c:numRef>
              <c:f>Equipment!$J$54:$J$77</c:f>
            </c:numRef>
          </c:val>
          <c:smooth val="0"/>
          <c:extLst>
            <c:ext xmlns:c16="http://schemas.microsoft.com/office/drawing/2014/chart" uri="{C3380CC4-5D6E-409C-BE32-E72D297353CC}">
              <c16:uniqueId val="{00000009-5C34-41FF-86F5-2A6EAFC8C138}"/>
            </c:ext>
          </c:extLst>
        </c:ser>
        <c:ser>
          <c:idx val="10"/>
          <c:order val="1"/>
          <c:tx>
            <c:strRef>
              <c:f>Equipment!$K$53</c:f>
              <c:strCache>
                <c:ptCount val="1"/>
                <c:pt idx="0">
                  <c:v>DEER-Saturday</c:v>
                </c:pt>
              </c:strCache>
            </c:strRef>
          </c:tx>
          <c:spPr>
            <a:ln w="28575" cap="rnd">
              <a:solidFill>
                <a:schemeClr val="accent5">
                  <a:lumMod val="60000"/>
                </a:schemeClr>
              </a:solidFill>
              <a:round/>
            </a:ln>
            <a:effectLst/>
          </c:spPr>
          <c:marker>
            <c:symbol val="none"/>
          </c:marker>
          <c:cat>
            <c:multiLvlStrRef>
              <c:f>Equipment!$A$54:$A$77</c:f>
            </c:multiLvlStrRef>
          </c:cat>
          <c:val>
            <c:numRef>
              <c:f>Equipment!$K$54:$K$77</c:f>
            </c:numRef>
          </c:val>
          <c:smooth val="0"/>
          <c:extLst>
            <c:ext xmlns:c16="http://schemas.microsoft.com/office/drawing/2014/chart" uri="{C3380CC4-5D6E-409C-BE32-E72D297353CC}">
              <c16:uniqueId val="{0000000A-5C34-41FF-86F5-2A6EAFC8C138}"/>
            </c:ext>
          </c:extLst>
        </c:ser>
        <c:ser>
          <c:idx val="11"/>
          <c:order val="2"/>
          <c:tx>
            <c:strRef>
              <c:f>Equipment!$L$53</c:f>
              <c:strCache>
                <c:ptCount val="1"/>
                <c:pt idx="0">
                  <c:v>DEER-OtherDays</c:v>
                </c:pt>
              </c:strCache>
            </c:strRef>
          </c:tx>
          <c:spPr>
            <a:ln w="28575" cap="rnd">
              <a:solidFill>
                <a:schemeClr val="accent6">
                  <a:lumMod val="60000"/>
                </a:schemeClr>
              </a:solidFill>
              <a:round/>
            </a:ln>
            <a:effectLst/>
          </c:spPr>
          <c:marker>
            <c:symbol val="none"/>
          </c:marker>
          <c:cat>
            <c:multiLvlStrRef>
              <c:f>Equipment!$A$54:$A$77</c:f>
            </c:multiLvlStrRef>
          </c:cat>
          <c:val>
            <c:numRef>
              <c:f>Equipment!$L$54:$L$77</c:f>
            </c:numRef>
          </c:val>
          <c:smooth val="0"/>
          <c:extLst>
            <c:ext xmlns:c16="http://schemas.microsoft.com/office/drawing/2014/chart" uri="{C3380CC4-5D6E-409C-BE32-E72D297353CC}">
              <c16:uniqueId val="{0000000B-5C34-41FF-86F5-2A6EAFC8C138}"/>
            </c:ext>
          </c:extLst>
        </c:ser>
        <c:dLbls>
          <c:showLegendKey val="0"/>
          <c:showVal val="0"/>
          <c:showCatName val="0"/>
          <c:showSerName val="0"/>
          <c:showPercent val="0"/>
          <c:showBubbleSize val="0"/>
        </c:dLbls>
        <c:marker val="1"/>
        <c:smooth val="0"/>
        <c:axId val="640206912"/>
        <c:axId val="640210272"/>
        <c:extLst/>
      </c:lineChart>
      <c:catAx>
        <c:axId val="64020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10272"/>
        <c:crosses val="autoZero"/>
        <c:auto val="1"/>
        <c:lblAlgn val="ctr"/>
        <c:lblOffset val="100"/>
        <c:noMultiLvlLbl val="0"/>
      </c:catAx>
      <c:valAx>
        <c:axId val="64021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0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ysClr val="windowText" lastClr="000000"/>
                </a:solidFill>
              </a:rPr>
              <a:t>CEC</a:t>
            </a:r>
            <a:r>
              <a:rPr lang="en-US" sz="1400" b="0" i="0" u="none" strike="noStrike" kern="1200" spc="0" baseline="0">
                <a:solidFill>
                  <a:sysClr val="windowText" lastClr="000000"/>
                </a:solidFill>
              </a:rPr>
              <a:t>: </a:t>
            </a:r>
            <a:r>
              <a:rPr lang="en-US" sz="1400" b="0" i="0" u="none" strike="noStrike" kern="1200" spc="0" baseline="0">
                <a:solidFill>
                  <a:sysClr val="windowText" lastClr="000000">
                    <a:lumMod val="65000"/>
                    <a:lumOff val="35000"/>
                  </a:sysClr>
                </a:solidFill>
              </a:rPr>
              <a:t>Equipment- Small office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Equipment!$B$53</c:f>
              <c:strCache>
                <c:ptCount val="1"/>
                <c:pt idx="0">
                  <c:v>CEC-Weekday</c:v>
                </c:pt>
              </c:strCache>
            </c:strRef>
          </c:tx>
          <c:spPr>
            <a:ln w="28575" cap="rnd">
              <a:solidFill>
                <a:schemeClr val="accent1"/>
              </a:solidFill>
              <a:round/>
            </a:ln>
            <a:effectLst/>
          </c:spPr>
          <c:marker>
            <c:symbol val="none"/>
          </c:marker>
          <c:val>
            <c:numRef>
              <c:f>Equipment!$B$54:$B$77</c:f>
            </c:numRef>
          </c:val>
          <c:smooth val="0"/>
          <c:extLst>
            <c:ext xmlns:c16="http://schemas.microsoft.com/office/drawing/2014/chart" uri="{C3380CC4-5D6E-409C-BE32-E72D297353CC}">
              <c16:uniqueId val="{00000003-43A7-47E5-8440-F55F846E6419}"/>
            </c:ext>
          </c:extLst>
        </c:ser>
        <c:ser>
          <c:idx val="1"/>
          <c:order val="1"/>
          <c:tx>
            <c:strRef>
              <c:f>Equipment!$C$53</c:f>
              <c:strCache>
                <c:ptCount val="1"/>
                <c:pt idx="0">
                  <c:v>CEC-Saturday</c:v>
                </c:pt>
              </c:strCache>
            </c:strRef>
          </c:tx>
          <c:spPr>
            <a:ln w="28575" cap="rnd">
              <a:solidFill>
                <a:schemeClr val="accent2"/>
              </a:solidFill>
              <a:round/>
            </a:ln>
            <a:effectLst/>
          </c:spPr>
          <c:marker>
            <c:symbol val="none"/>
          </c:marker>
          <c:val>
            <c:numRef>
              <c:f>Equipment!$C$54:$C$77</c:f>
            </c:numRef>
          </c:val>
          <c:smooth val="0"/>
          <c:extLst>
            <c:ext xmlns:c16="http://schemas.microsoft.com/office/drawing/2014/chart" uri="{C3380CC4-5D6E-409C-BE32-E72D297353CC}">
              <c16:uniqueId val="{00000004-43A7-47E5-8440-F55F846E6419}"/>
            </c:ext>
          </c:extLst>
        </c:ser>
        <c:ser>
          <c:idx val="2"/>
          <c:order val="2"/>
          <c:tx>
            <c:strRef>
              <c:f>Equipment!$D$53</c:f>
              <c:strCache>
                <c:ptCount val="1"/>
                <c:pt idx="0">
                  <c:v>CEC-Sunday</c:v>
                </c:pt>
              </c:strCache>
            </c:strRef>
          </c:tx>
          <c:spPr>
            <a:ln w="28575" cap="rnd">
              <a:solidFill>
                <a:schemeClr val="accent3"/>
              </a:solidFill>
              <a:round/>
            </a:ln>
            <a:effectLst/>
          </c:spPr>
          <c:marker>
            <c:symbol val="none"/>
          </c:marker>
          <c:val>
            <c:numRef>
              <c:f>Equipment!$D$54:$D$77</c:f>
            </c:numRef>
          </c:val>
          <c:smooth val="0"/>
          <c:extLst>
            <c:ext xmlns:c16="http://schemas.microsoft.com/office/drawing/2014/chart" uri="{C3380CC4-5D6E-409C-BE32-E72D297353CC}">
              <c16:uniqueId val="{00000000-8986-4927-A516-ECB8353560CD}"/>
            </c:ext>
          </c:extLst>
        </c:ser>
        <c:dLbls>
          <c:showLegendKey val="0"/>
          <c:showVal val="0"/>
          <c:showCatName val="0"/>
          <c:showSerName val="0"/>
          <c:showPercent val="0"/>
          <c:showBubbleSize val="0"/>
        </c:dLbls>
        <c:marker val="1"/>
        <c:smooth val="0"/>
        <c:axId val="640206912"/>
        <c:axId val="640210272"/>
        <c:extLst/>
      </c:lineChart>
      <c:catAx>
        <c:axId val="64020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10272"/>
        <c:crosses val="autoZero"/>
        <c:auto val="1"/>
        <c:lblAlgn val="ctr"/>
        <c:lblOffset val="100"/>
        <c:noMultiLvlLbl val="0"/>
      </c:catAx>
      <c:valAx>
        <c:axId val="6402102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06912"/>
        <c:crosses val="autoZero"/>
        <c:crossBetween val="between"/>
        <c:min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ysClr val="windowText" lastClr="000000"/>
                </a:solidFill>
              </a:rPr>
              <a:t>PNNL</a:t>
            </a:r>
            <a:r>
              <a:rPr lang="en-US" sz="1400" b="0" i="0" u="none" strike="noStrike" kern="1200" spc="0" baseline="0">
                <a:solidFill>
                  <a:sysClr val="windowText" lastClr="000000"/>
                </a:solidFill>
              </a:rPr>
              <a:t>: </a:t>
            </a:r>
            <a:r>
              <a:rPr lang="en-US" sz="1400" b="0" i="0" u="none" strike="noStrike" kern="1200" spc="0" baseline="0">
                <a:solidFill>
                  <a:sysClr val="windowText" lastClr="000000">
                    <a:lumMod val="65000"/>
                    <a:lumOff val="35000"/>
                  </a:sysClr>
                </a:solidFill>
              </a:rPr>
              <a:t>Equipment- Small office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Equipment!$F$53</c:f>
              <c:strCache>
                <c:ptCount val="1"/>
                <c:pt idx="0">
                  <c:v>PNNL-Weekday</c:v>
                </c:pt>
              </c:strCache>
              <c:extLst xmlns:c15="http://schemas.microsoft.com/office/drawing/2012/chart"/>
            </c:strRef>
          </c:tx>
          <c:spPr>
            <a:ln w="28575" cap="rnd">
              <a:solidFill>
                <a:schemeClr val="accent6"/>
              </a:solidFill>
              <a:round/>
            </a:ln>
            <a:effectLst/>
          </c:spPr>
          <c:marker>
            <c:symbol val="none"/>
          </c:marker>
          <c:cat>
            <c:multiLvlStrRef>
              <c:f>Equipment!$A$54:$A$77</c:f>
            </c:multiLvlStrRef>
          </c:cat>
          <c:val>
            <c:numRef>
              <c:f>Equipment!$F$54:$F$77</c:f>
              <c:extLst xmlns:c15="http://schemas.microsoft.com/office/drawing/2012/chart"/>
            </c:numRef>
          </c:val>
          <c:smooth val="0"/>
          <c:extLst>
            <c:ext xmlns:c16="http://schemas.microsoft.com/office/drawing/2014/chart" uri="{C3380CC4-5D6E-409C-BE32-E72D297353CC}">
              <c16:uniqueId val="{00000008-FE65-413B-A578-C2B1178F7F78}"/>
            </c:ext>
          </c:extLst>
        </c:ser>
        <c:ser>
          <c:idx val="6"/>
          <c:order val="1"/>
          <c:tx>
            <c:strRef>
              <c:f>Equipment!$G$53</c:f>
              <c:strCache>
                <c:ptCount val="1"/>
                <c:pt idx="0">
                  <c:v>PNNL-Saturday</c:v>
                </c:pt>
              </c:strCache>
              <c:extLst xmlns:c15="http://schemas.microsoft.com/office/drawing/2012/chart"/>
            </c:strRef>
          </c:tx>
          <c:spPr>
            <a:ln w="28575" cap="rnd">
              <a:solidFill>
                <a:schemeClr val="accent1">
                  <a:lumMod val="60000"/>
                </a:schemeClr>
              </a:solidFill>
              <a:round/>
            </a:ln>
            <a:effectLst/>
          </c:spPr>
          <c:marker>
            <c:symbol val="none"/>
          </c:marker>
          <c:cat>
            <c:multiLvlStrRef>
              <c:f>Equipment!$A$54:$A$77</c:f>
            </c:multiLvlStrRef>
          </c:cat>
          <c:val>
            <c:numRef>
              <c:f>Equipment!$G$54:$G$77</c:f>
              <c:extLst xmlns:c15="http://schemas.microsoft.com/office/drawing/2012/chart"/>
            </c:numRef>
          </c:val>
          <c:smooth val="0"/>
          <c:extLst>
            <c:ext xmlns:c16="http://schemas.microsoft.com/office/drawing/2014/chart" uri="{C3380CC4-5D6E-409C-BE32-E72D297353CC}">
              <c16:uniqueId val="{00000009-FE65-413B-A578-C2B1178F7F78}"/>
            </c:ext>
          </c:extLst>
        </c:ser>
        <c:ser>
          <c:idx val="7"/>
          <c:order val="2"/>
          <c:tx>
            <c:strRef>
              <c:f>Equipment!$H$53</c:f>
              <c:strCache>
                <c:ptCount val="1"/>
                <c:pt idx="0">
                  <c:v>PNNL-Sunday</c:v>
                </c:pt>
              </c:strCache>
              <c:extLst xmlns:c15="http://schemas.microsoft.com/office/drawing/2012/chart"/>
            </c:strRef>
          </c:tx>
          <c:spPr>
            <a:ln w="28575" cap="rnd">
              <a:solidFill>
                <a:schemeClr val="accent2">
                  <a:lumMod val="60000"/>
                </a:schemeClr>
              </a:solidFill>
              <a:round/>
            </a:ln>
            <a:effectLst/>
          </c:spPr>
          <c:marker>
            <c:symbol val="none"/>
          </c:marker>
          <c:cat>
            <c:multiLvlStrRef>
              <c:f>Equipment!$A$54:$A$77</c:f>
            </c:multiLvlStrRef>
          </c:cat>
          <c:val>
            <c:numRef>
              <c:f>Equipment!$H$54:$H$77</c:f>
              <c:extLst xmlns:c15="http://schemas.microsoft.com/office/drawing/2012/chart"/>
            </c:numRef>
          </c:val>
          <c:smooth val="0"/>
          <c:extLst>
            <c:ext xmlns:c16="http://schemas.microsoft.com/office/drawing/2014/chart" uri="{C3380CC4-5D6E-409C-BE32-E72D297353CC}">
              <c16:uniqueId val="{0000000A-FE65-413B-A578-C2B1178F7F78}"/>
            </c:ext>
          </c:extLst>
        </c:ser>
        <c:dLbls>
          <c:showLegendKey val="0"/>
          <c:showVal val="0"/>
          <c:showCatName val="0"/>
          <c:showSerName val="0"/>
          <c:showPercent val="0"/>
          <c:showBubbleSize val="0"/>
        </c:dLbls>
        <c:marker val="1"/>
        <c:smooth val="0"/>
        <c:axId val="640206912"/>
        <c:axId val="640210272"/>
        <c:extLst/>
      </c:lineChart>
      <c:catAx>
        <c:axId val="64020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10272"/>
        <c:crosses val="autoZero"/>
        <c:auto val="1"/>
        <c:lblAlgn val="ctr"/>
        <c:lblOffset val="100"/>
        <c:noMultiLvlLbl val="0"/>
      </c:catAx>
      <c:valAx>
        <c:axId val="6402102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06912"/>
        <c:crosses val="autoZero"/>
        <c:crossBetween val="between"/>
        <c:minorUnit val="0.1"/>
      </c:valAx>
      <c:spPr>
        <a:noFill/>
        <a:ln>
          <a:noFill/>
        </a:ln>
        <a:effectLst/>
      </c:spPr>
    </c:plotArea>
    <c:legend>
      <c:legendPos val="b"/>
      <c:layout>
        <c:manualLayout>
          <c:xMode val="edge"/>
          <c:yMode val="edge"/>
          <c:x val="0.11827820943808745"/>
          <c:y val="0.87772650689406195"/>
          <c:w val="0.77545728336610698"/>
          <c:h val="8.73389952893442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i="0" u="none" strike="noStrike" kern="1200" spc="0" baseline="0">
                <a:solidFill>
                  <a:sysClr val="windowText" lastClr="000000"/>
                </a:solidFill>
                <a:latin typeface="Arial" panose="020B0604020202020204" pitchFamily="34" charset="0"/>
                <a:cs typeface="Arial" panose="020B0604020202020204" pitchFamily="34" charset="0"/>
              </a:rPr>
              <a:t>Occupancy </a:t>
            </a:r>
            <a:r>
              <a:rPr lang="en-US" sz="1000" b="0" i="0" u="none" strike="noStrike" kern="1200" spc="0" baseline="0">
                <a:solidFill>
                  <a:sysClr val="windowText" lastClr="000000"/>
                </a:solidFill>
                <a:latin typeface="Arial" panose="020B0604020202020204" pitchFamily="34" charset="0"/>
                <a:cs typeface="Arial" panose="020B0604020202020204" pitchFamily="34" charset="0"/>
              </a:rPr>
              <a:t>(*overall)</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301696646995022"/>
          <c:y val="0.21667624165005125"/>
          <c:w val="0.86296940073898609"/>
          <c:h val="0.51057641399975218"/>
        </c:manualLayout>
      </c:layout>
      <c:lineChart>
        <c:grouping val="standard"/>
        <c:varyColors val="0"/>
        <c:ser>
          <c:idx val="0"/>
          <c:order val="0"/>
          <c:tx>
            <c:strRef>
              <c:f>Schedules!$D$4</c:f>
              <c:strCache>
                <c:ptCount val="1"/>
                <c:pt idx="0">
                  <c:v>Weekday</c:v>
                </c:pt>
              </c:strCache>
            </c:strRef>
          </c:tx>
          <c:spPr>
            <a:ln w="28575" cap="rnd">
              <a:solidFill>
                <a:schemeClr val="accent1"/>
              </a:solidFill>
              <a:round/>
            </a:ln>
            <a:effectLst/>
          </c:spPr>
          <c:marker>
            <c:symbol val="none"/>
          </c:marker>
          <c:val>
            <c:numRef>
              <c:f>Schedules!$E$4:$AB$4</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c:v>
                </c:pt>
              </c:numCache>
            </c:numRef>
          </c:val>
          <c:smooth val="0"/>
          <c:extLst>
            <c:ext xmlns:c16="http://schemas.microsoft.com/office/drawing/2014/chart" uri="{C3380CC4-5D6E-409C-BE32-E72D297353CC}">
              <c16:uniqueId val="{00000000-06BB-4405-BC60-B55164A79AEF}"/>
            </c:ext>
          </c:extLst>
        </c:ser>
        <c:ser>
          <c:idx val="1"/>
          <c:order val="1"/>
          <c:tx>
            <c:strRef>
              <c:f>Schedules!$D$5</c:f>
              <c:strCache>
                <c:ptCount val="1"/>
                <c:pt idx="0">
                  <c:v>Saturday</c:v>
                </c:pt>
              </c:strCache>
            </c:strRef>
          </c:tx>
          <c:spPr>
            <a:ln w="28575" cap="rnd">
              <a:solidFill>
                <a:schemeClr val="accent2"/>
              </a:solidFill>
              <a:round/>
            </a:ln>
            <a:effectLst/>
          </c:spPr>
          <c:marker>
            <c:symbol val="none"/>
          </c:marker>
          <c:val>
            <c:numRef>
              <c:f>Schedules!$E$5:$AB$5</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smooth val="0"/>
          <c:extLst>
            <c:ext xmlns:c16="http://schemas.microsoft.com/office/drawing/2014/chart" uri="{C3380CC4-5D6E-409C-BE32-E72D297353CC}">
              <c16:uniqueId val="{00000001-06BB-4405-BC60-B55164A79AEF}"/>
            </c:ext>
          </c:extLst>
        </c:ser>
        <c:ser>
          <c:idx val="2"/>
          <c:order val="2"/>
          <c:tx>
            <c:strRef>
              <c:f>Schedules!$D$6</c:f>
              <c:strCache>
                <c:ptCount val="1"/>
                <c:pt idx="0">
                  <c:v>Sunday</c:v>
                </c:pt>
              </c:strCache>
            </c:strRef>
          </c:tx>
          <c:spPr>
            <a:ln w="28575" cap="rnd">
              <a:solidFill>
                <a:schemeClr val="accent3"/>
              </a:solidFill>
              <a:round/>
            </a:ln>
            <a:effectLst/>
          </c:spPr>
          <c:marker>
            <c:symbol val="none"/>
          </c:marker>
          <c:val>
            <c:numRef>
              <c:f>Schedules!$E$6:$AB$6</c:f>
              <c:numCache>
                <c:formatCode>General</c:formatCode>
                <c:ptCount val="24"/>
                <c:pt idx="0">
                  <c:v>0</c:v>
                </c:pt>
                <c:pt idx="1">
                  <c:v>0</c:v>
                </c:pt>
                <c:pt idx="2">
                  <c:v>0</c:v>
                </c:pt>
                <c:pt idx="3">
                  <c:v>0</c:v>
                </c:pt>
                <c:pt idx="4">
                  <c:v>0</c:v>
                </c:pt>
                <c:pt idx="5">
                  <c:v>0</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06BB-4405-BC60-B55164A79AEF}"/>
            </c:ext>
          </c:extLst>
        </c:ser>
        <c:dLbls>
          <c:showLegendKey val="0"/>
          <c:showVal val="0"/>
          <c:showCatName val="0"/>
          <c:showSerName val="0"/>
          <c:showPercent val="0"/>
          <c:showBubbleSize val="0"/>
        </c:dLbls>
        <c:smooth val="0"/>
        <c:axId val="1801622976"/>
        <c:axId val="1801623456"/>
      </c:lineChart>
      <c:catAx>
        <c:axId val="18016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3456"/>
        <c:crosses val="autoZero"/>
        <c:auto val="1"/>
        <c:lblAlgn val="ctr"/>
        <c:lblOffset val="100"/>
        <c:noMultiLvlLbl val="0"/>
      </c:catAx>
      <c:valAx>
        <c:axId val="18016234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2976"/>
        <c:crosses val="autoZero"/>
        <c:crossBetween val="between"/>
        <c:majorUnit val="0.2"/>
        <c:minorUnit val="0.1"/>
      </c:valAx>
      <c:spPr>
        <a:noFill/>
        <a:ln>
          <a:noFill/>
        </a:ln>
        <a:effectLst/>
      </c:spPr>
    </c:plotArea>
    <c:legend>
      <c:legendPos val="b"/>
      <c:layout>
        <c:manualLayout>
          <c:xMode val="edge"/>
          <c:yMode val="edge"/>
          <c:x val="0.69237621385546944"/>
          <c:y val="3.6261079321075841E-2"/>
          <c:w val="0.28941482691935089"/>
          <c:h val="0.3139894781608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i="0" u="none" strike="noStrike" kern="1200" spc="0" baseline="0">
                <a:solidFill>
                  <a:sysClr val="windowText" lastClr="000000"/>
                </a:solidFill>
                <a:latin typeface="Arial" panose="020B0604020202020204" pitchFamily="34" charset="0"/>
                <a:cs typeface="Arial" panose="020B0604020202020204" pitchFamily="34" charset="0"/>
              </a:rPr>
              <a:t>Lighting</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301696646995022"/>
          <c:y val="0.21667624165005125"/>
          <c:w val="0.86296940073898609"/>
          <c:h val="0.51057641399975218"/>
        </c:manualLayout>
      </c:layout>
      <c:lineChart>
        <c:grouping val="standard"/>
        <c:varyColors val="0"/>
        <c:ser>
          <c:idx val="0"/>
          <c:order val="0"/>
          <c:tx>
            <c:strRef>
              <c:f>Schedules!$D$7</c:f>
              <c:strCache>
                <c:ptCount val="1"/>
                <c:pt idx="0">
                  <c:v>Weekday</c:v>
                </c:pt>
              </c:strCache>
            </c:strRef>
          </c:tx>
          <c:spPr>
            <a:ln w="28575" cap="rnd">
              <a:solidFill>
                <a:schemeClr val="accent1"/>
              </a:solidFill>
              <a:round/>
            </a:ln>
            <a:effectLst/>
          </c:spPr>
          <c:marker>
            <c:symbol val="none"/>
          </c:marker>
          <c:val>
            <c:numRef>
              <c:f>Schedules!$E$7:$AB$7</c:f>
              <c:numCache>
                <c:formatCode>General</c:formatCode>
                <c:ptCount val="24"/>
                <c:pt idx="0">
                  <c:v>0.05</c:v>
                </c:pt>
                <c:pt idx="1">
                  <c:v>0.05</c:v>
                </c:pt>
                <c:pt idx="2">
                  <c:v>0.05</c:v>
                </c:pt>
                <c:pt idx="3">
                  <c:v>0.05</c:v>
                </c:pt>
                <c:pt idx="4">
                  <c:v>0.05</c:v>
                </c:pt>
                <c:pt idx="5">
                  <c:v>0.1</c:v>
                </c:pt>
                <c:pt idx="6">
                  <c:v>0.1</c:v>
                </c:pt>
                <c:pt idx="7">
                  <c:v>0.3</c:v>
                </c:pt>
                <c:pt idx="8">
                  <c:v>0.65</c:v>
                </c:pt>
                <c:pt idx="9">
                  <c:v>0.65</c:v>
                </c:pt>
                <c:pt idx="10">
                  <c:v>0.65</c:v>
                </c:pt>
                <c:pt idx="11">
                  <c:v>0.65</c:v>
                </c:pt>
                <c:pt idx="12">
                  <c:v>0.65</c:v>
                </c:pt>
                <c:pt idx="13">
                  <c:v>0.65</c:v>
                </c:pt>
                <c:pt idx="14">
                  <c:v>0.65</c:v>
                </c:pt>
                <c:pt idx="15">
                  <c:v>0.65</c:v>
                </c:pt>
                <c:pt idx="16">
                  <c:v>0.65</c:v>
                </c:pt>
                <c:pt idx="17">
                  <c:v>0.35</c:v>
                </c:pt>
                <c:pt idx="18">
                  <c:v>0.3</c:v>
                </c:pt>
                <c:pt idx="19">
                  <c:v>0.3</c:v>
                </c:pt>
                <c:pt idx="20">
                  <c:v>0.2</c:v>
                </c:pt>
                <c:pt idx="21">
                  <c:v>0.2</c:v>
                </c:pt>
                <c:pt idx="22">
                  <c:v>0.1</c:v>
                </c:pt>
                <c:pt idx="23">
                  <c:v>0.05</c:v>
                </c:pt>
              </c:numCache>
            </c:numRef>
          </c:val>
          <c:smooth val="0"/>
          <c:extLst>
            <c:ext xmlns:c16="http://schemas.microsoft.com/office/drawing/2014/chart" uri="{C3380CC4-5D6E-409C-BE32-E72D297353CC}">
              <c16:uniqueId val="{00000000-5ED3-4941-8080-3783F3668DDA}"/>
            </c:ext>
          </c:extLst>
        </c:ser>
        <c:ser>
          <c:idx val="1"/>
          <c:order val="1"/>
          <c:tx>
            <c:strRef>
              <c:f>Schedules!$D$8</c:f>
              <c:strCache>
                <c:ptCount val="1"/>
                <c:pt idx="0">
                  <c:v>Saturday</c:v>
                </c:pt>
              </c:strCache>
            </c:strRef>
          </c:tx>
          <c:spPr>
            <a:ln w="28575" cap="rnd">
              <a:solidFill>
                <a:schemeClr val="accent2"/>
              </a:solidFill>
              <a:round/>
            </a:ln>
            <a:effectLst/>
          </c:spPr>
          <c:marker>
            <c:symbol val="none"/>
          </c:marker>
          <c:val>
            <c:numRef>
              <c:f>Schedules!$E$8:$AB$8</c:f>
              <c:numCache>
                <c:formatCode>General</c:formatCode>
                <c:ptCount val="24"/>
                <c:pt idx="0">
                  <c:v>0.05</c:v>
                </c:pt>
                <c:pt idx="1">
                  <c:v>0.05</c:v>
                </c:pt>
                <c:pt idx="2">
                  <c:v>0.05</c:v>
                </c:pt>
                <c:pt idx="3">
                  <c:v>0.05</c:v>
                </c:pt>
                <c:pt idx="4">
                  <c:v>0.05</c:v>
                </c:pt>
                <c:pt idx="5">
                  <c:v>0.05</c:v>
                </c:pt>
                <c:pt idx="6">
                  <c:v>0.1</c:v>
                </c:pt>
                <c:pt idx="7">
                  <c:v>0.1</c:v>
                </c:pt>
                <c:pt idx="8">
                  <c:v>0.3</c:v>
                </c:pt>
                <c:pt idx="9">
                  <c:v>0.3</c:v>
                </c:pt>
                <c:pt idx="10">
                  <c:v>0.3</c:v>
                </c:pt>
                <c:pt idx="11">
                  <c:v>0.3</c:v>
                </c:pt>
                <c:pt idx="12">
                  <c:v>0.15</c:v>
                </c:pt>
                <c:pt idx="13">
                  <c:v>0.15</c:v>
                </c:pt>
                <c:pt idx="14">
                  <c:v>0.15</c:v>
                </c:pt>
                <c:pt idx="15">
                  <c:v>0.15</c:v>
                </c:pt>
                <c:pt idx="16">
                  <c:v>0.15</c:v>
                </c:pt>
                <c:pt idx="17">
                  <c:v>0.05</c:v>
                </c:pt>
                <c:pt idx="18">
                  <c:v>0.05</c:v>
                </c:pt>
                <c:pt idx="19">
                  <c:v>0.05</c:v>
                </c:pt>
                <c:pt idx="20">
                  <c:v>0.05</c:v>
                </c:pt>
                <c:pt idx="21">
                  <c:v>0.05</c:v>
                </c:pt>
                <c:pt idx="22">
                  <c:v>0.05</c:v>
                </c:pt>
                <c:pt idx="23">
                  <c:v>0.05</c:v>
                </c:pt>
              </c:numCache>
            </c:numRef>
          </c:val>
          <c:smooth val="0"/>
          <c:extLst>
            <c:ext xmlns:c16="http://schemas.microsoft.com/office/drawing/2014/chart" uri="{C3380CC4-5D6E-409C-BE32-E72D297353CC}">
              <c16:uniqueId val="{00000001-5ED3-4941-8080-3783F3668DDA}"/>
            </c:ext>
          </c:extLst>
        </c:ser>
        <c:ser>
          <c:idx val="2"/>
          <c:order val="2"/>
          <c:tx>
            <c:strRef>
              <c:f>Schedules!$D$9</c:f>
              <c:strCache>
                <c:ptCount val="1"/>
                <c:pt idx="0">
                  <c:v>Sunday</c:v>
                </c:pt>
              </c:strCache>
            </c:strRef>
          </c:tx>
          <c:spPr>
            <a:ln w="28575" cap="rnd">
              <a:solidFill>
                <a:schemeClr val="accent3"/>
              </a:solidFill>
              <a:round/>
            </a:ln>
            <a:effectLst/>
          </c:spPr>
          <c:marker>
            <c:symbol val="none"/>
          </c:marker>
          <c:val>
            <c:numRef>
              <c:f>Schedules!$E$9:$AB$9</c:f>
              <c:numCache>
                <c:formatCode>General</c:formatCode>
                <c:ptCount val="24"/>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numCache>
            </c:numRef>
          </c:val>
          <c:smooth val="0"/>
          <c:extLst>
            <c:ext xmlns:c16="http://schemas.microsoft.com/office/drawing/2014/chart" uri="{C3380CC4-5D6E-409C-BE32-E72D297353CC}">
              <c16:uniqueId val="{00000002-5ED3-4941-8080-3783F3668DDA}"/>
            </c:ext>
          </c:extLst>
        </c:ser>
        <c:dLbls>
          <c:showLegendKey val="0"/>
          <c:showVal val="0"/>
          <c:showCatName val="0"/>
          <c:showSerName val="0"/>
          <c:showPercent val="0"/>
          <c:showBubbleSize val="0"/>
        </c:dLbls>
        <c:smooth val="0"/>
        <c:axId val="1801622976"/>
        <c:axId val="1801623456"/>
      </c:lineChart>
      <c:catAx>
        <c:axId val="18016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3456"/>
        <c:crosses val="autoZero"/>
        <c:auto val="1"/>
        <c:lblAlgn val="ctr"/>
        <c:lblOffset val="100"/>
        <c:noMultiLvlLbl val="0"/>
      </c:catAx>
      <c:valAx>
        <c:axId val="18016234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2976"/>
        <c:crosses val="autoZero"/>
        <c:crossBetween val="between"/>
        <c:majorUnit val="0.2"/>
        <c:minorUnit val="0.1"/>
      </c:valAx>
      <c:spPr>
        <a:noFill/>
        <a:ln>
          <a:noFill/>
        </a:ln>
        <a:effectLst/>
      </c:spPr>
    </c:plotArea>
    <c:legend>
      <c:legendPos val="b"/>
      <c:layout>
        <c:manualLayout>
          <c:xMode val="edge"/>
          <c:yMode val="edge"/>
          <c:x val="0.69237621385546944"/>
          <c:y val="3.6261079321075841E-2"/>
          <c:w val="0.28941482691935089"/>
          <c:h val="0.3139894781608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i="0" u="none" strike="noStrike" kern="1200" spc="0" baseline="0">
                <a:solidFill>
                  <a:sysClr val="windowText" lastClr="000000"/>
                </a:solidFill>
                <a:latin typeface="Arial" panose="020B0604020202020204" pitchFamily="34" charset="0"/>
                <a:cs typeface="Arial" panose="020B0604020202020204" pitchFamily="34" charset="0"/>
              </a:rPr>
              <a:t>Equipment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301696646995022"/>
          <c:y val="0.21667624165005125"/>
          <c:w val="0.86296940073898609"/>
          <c:h val="0.51057641399975218"/>
        </c:manualLayout>
      </c:layout>
      <c:lineChart>
        <c:grouping val="standard"/>
        <c:varyColors val="0"/>
        <c:ser>
          <c:idx val="0"/>
          <c:order val="0"/>
          <c:tx>
            <c:strRef>
              <c:f>Schedules!$D$10</c:f>
              <c:strCache>
                <c:ptCount val="1"/>
                <c:pt idx="0">
                  <c:v>Weekday</c:v>
                </c:pt>
              </c:strCache>
            </c:strRef>
          </c:tx>
          <c:spPr>
            <a:ln w="28575" cap="rnd">
              <a:solidFill>
                <a:schemeClr val="accent1"/>
              </a:solidFill>
              <a:round/>
            </a:ln>
            <a:effectLst/>
          </c:spPr>
          <c:marker>
            <c:symbol val="none"/>
          </c:marker>
          <c:val>
            <c:numRef>
              <c:f>Schedules!$E$10:$AB$10</c:f>
              <c:numCache>
                <c:formatCode>0.00</c:formatCode>
                <c:ptCount val="24"/>
                <c:pt idx="0">
                  <c:v>0.05</c:v>
                </c:pt>
                <c:pt idx="1">
                  <c:v>0.05</c:v>
                </c:pt>
                <c:pt idx="2">
                  <c:v>0.05</c:v>
                </c:pt>
                <c:pt idx="3">
                  <c:v>0.05</c:v>
                </c:pt>
                <c:pt idx="4">
                  <c:v>0.05</c:v>
                </c:pt>
                <c:pt idx="5">
                  <c:v>0.1</c:v>
                </c:pt>
                <c:pt idx="6">
                  <c:v>0.1</c:v>
                </c:pt>
                <c:pt idx="7">
                  <c:v>0.3</c:v>
                </c:pt>
                <c:pt idx="8">
                  <c:v>0.9</c:v>
                </c:pt>
                <c:pt idx="9">
                  <c:v>0.9</c:v>
                </c:pt>
                <c:pt idx="10">
                  <c:v>0.9</c:v>
                </c:pt>
                <c:pt idx="11">
                  <c:v>0.9</c:v>
                </c:pt>
                <c:pt idx="12">
                  <c:v>0.9</c:v>
                </c:pt>
                <c:pt idx="13">
                  <c:v>0.9</c:v>
                </c:pt>
                <c:pt idx="14">
                  <c:v>0.9</c:v>
                </c:pt>
                <c:pt idx="15">
                  <c:v>0.9</c:v>
                </c:pt>
                <c:pt idx="16">
                  <c:v>0.9</c:v>
                </c:pt>
                <c:pt idx="17">
                  <c:v>0.5</c:v>
                </c:pt>
                <c:pt idx="18">
                  <c:v>0.3</c:v>
                </c:pt>
                <c:pt idx="19">
                  <c:v>0.3</c:v>
                </c:pt>
                <c:pt idx="20">
                  <c:v>0.2</c:v>
                </c:pt>
                <c:pt idx="21">
                  <c:v>0.2</c:v>
                </c:pt>
                <c:pt idx="22">
                  <c:v>0.1</c:v>
                </c:pt>
                <c:pt idx="23">
                  <c:v>0.05</c:v>
                </c:pt>
              </c:numCache>
            </c:numRef>
          </c:val>
          <c:smooth val="0"/>
          <c:extLst>
            <c:ext xmlns:c16="http://schemas.microsoft.com/office/drawing/2014/chart" uri="{C3380CC4-5D6E-409C-BE32-E72D297353CC}">
              <c16:uniqueId val="{00000000-541D-40B0-962A-A5C79439ED86}"/>
            </c:ext>
          </c:extLst>
        </c:ser>
        <c:ser>
          <c:idx val="1"/>
          <c:order val="1"/>
          <c:tx>
            <c:strRef>
              <c:f>Schedules!$D$11</c:f>
              <c:strCache>
                <c:ptCount val="1"/>
                <c:pt idx="0">
                  <c:v>Saturday</c:v>
                </c:pt>
              </c:strCache>
            </c:strRef>
          </c:tx>
          <c:spPr>
            <a:ln w="28575" cap="rnd">
              <a:solidFill>
                <a:schemeClr val="accent2"/>
              </a:solidFill>
              <a:round/>
            </a:ln>
            <a:effectLst/>
          </c:spPr>
          <c:marker>
            <c:symbol val="none"/>
          </c:marker>
          <c:val>
            <c:numRef>
              <c:f>Schedules!$E$11:$AB$11</c:f>
              <c:numCache>
                <c:formatCode>0.00</c:formatCode>
                <c:ptCount val="24"/>
                <c:pt idx="0">
                  <c:v>0.05</c:v>
                </c:pt>
                <c:pt idx="1">
                  <c:v>0.05</c:v>
                </c:pt>
                <c:pt idx="2">
                  <c:v>0.05</c:v>
                </c:pt>
                <c:pt idx="3">
                  <c:v>0.05</c:v>
                </c:pt>
                <c:pt idx="4">
                  <c:v>0.05</c:v>
                </c:pt>
                <c:pt idx="5">
                  <c:v>0.05</c:v>
                </c:pt>
                <c:pt idx="6">
                  <c:v>0.1</c:v>
                </c:pt>
                <c:pt idx="7">
                  <c:v>0.1</c:v>
                </c:pt>
                <c:pt idx="8">
                  <c:v>0.3</c:v>
                </c:pt>
                <c:pt idx="9">
                  <c:v>0.3</c:v>
                </c:pt>
                <c:pt idx="10">
                  <c:v>0.3</c:v>
                </c:pt>
                <c:pt idx="11">
                  <c:v>0.3</c:v>
                </c:pt>
                <c:pt idx="12">
                  <c:v>0.15</c:v>
                </c:pt>
                <c:pt idx="13">
                  <c:v>0.15</c:v>
                </c:pt>
                <c:pt idx="14">
                  <c:v>0.15</c:v>
                </c:pt>
                <c:pt idx="15">
                  <c:v>0.15</c:v>
                </c:pt>
                <c:pt idx="16">
                  <c:v>0.15</c:v>
                </c:pt>
                <c:pt idx="17">
                  <c:v>0.05</c:v>
                </c:pt>
                <c:pt idx="18">
                  <c:v>0.05</c:v>
                </c:pt>
                <c:pt idx="19">
                  <c:v>0.05</c:v>
                </c:pt>
                <c:pt idx="20">
                  <c:v>0.05</c:v>
                </c:pt>
                <c:pt idx="21">
                  <c:v>0.05</c:v>
                </c:pt>
                <c:pt idx="22">
                  <c:v>0.05</c:v>
                </c:pt>
                <c:pt idx="23">
                  <c:v>0.05</c:v>
                </c:pt>
              </c:numCache>
            </c:numRef>
          </c:val>
          <c:smooth val="0"/>
          <c:extLst>
            <c:ext xmlns:c16="http://schemas.microsoft.com/office/drawing/2014/chart" uri="{C3380CC4-5D6E-409C-BE32-E72D297353CC}">
              <c16:uniqueId val="{00000001-541D-40B0-962A-A5C79439ED86}"/>
            </c:ext>
          </c:extLst>
        </c:ser>
        <c:ser>
          <c:idx val="2"/>
          <c:order val="2"/>
          <c:tx>
            <c:strRef>
              <c:f>Schedules!$D$12</c:f>
              <c:strCache>
                <c:ptCount val="1"/>
                <c:pt idx="0">
                  <c:v>Sunday</c:v>
                </c:pt>
              </c:strCache>
            </c:strRef>
          </c:tx>
          <c:spPr>
            <a:ln w="28575" cap="rnd">
              <a:solidFill>
                <a:schemeClr val="accent3"/>
              </a:solidFill>
              <a:prstDash val="dash"/>
              <a:round/>
            </a:ln>
            <a:effectLst/>
          </c:spPr>
          <c:marker>
            <c:symbol val="none"/>
          </c:marker>
          <c:val>
            <c:numRef>
              <c:f>Schedules!$E$12:$AB$12</c:f>
              <c:numCache>
                <c:formatCode>0.00</c:formatCode>
                <c:ptCount val="24"/>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numCache>
            </c:numRef>
          </c:val>
          <c:smooth val="0"/>
          <c:extLst>
            <c:ext xmlns:c16="http://schemas.microsoft.com/office/drawing/2014/chart" uri="{C3380CC4-5D6E-409C-BE32-E72D297353CC}">
              <c16:uniqueId val="{00000002-541D-40B0-962A-A5C79439ED86}"/>
            </c:ext>
          </c:extLst>
        </c:ser>
        <c:dLbls>
          <c:showLegendKey val="0"/>
          <c:showVal val="0"/>
          <c:showCatName val="0"/>
          <c:showSerName val="0"/>
          <c:showPercent val="0"/>
          <c:showBubbleSize val="0"/>
        </c:dLbls>
        <c:smooth val="0"/>
        <c:axId val="1801622976"/>
        <c:axId val="1801623456"/>
      </c:lineChart>
      <c:catAx>
        <c:axId val="18016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3456"/>
        <c:crosses val="autoZero"/>
        <c:auto val="1"/>
        <c:lblAlgn val="ctr"/>
        <c:lblOffset val="100"/>
        <c:noMultiLvlLbl val="0"/>
      </c:catAx>
      <c:valAx>
        <c:axId val="18016234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2976"/>
        <c:crosses val="autoZero"/>
        <c:crossBetween val="between"/>
        <c:majorUnit val="0.2"/>
        <c:minorUnit val="0.1"/>
      </c:valAx>
      <c:spPr>
        <a:noFill/>
        <a:ln>
          <a:noFill/>
        </a:ln>
        <a:effectLst/>
      </c:spPr>
    </c:plotArea>
    <c:legend>
      <c:legendPos val="b"/>
      <c:layout>
        <c:manualLayout>
          <c:xMode val="edge"/>
          <c:yMode val="edge"/>
          <c:x val="0.69237621385546944"/>
          <c:y val="3.6261079321075841E-2"/>
          <c:w val="0.28941482691935089"/>
          <c:h val="0.3139894781608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i="0" u="none" strike="noStrike" kern="1200" spc="0" baseline="0">
                <a:solidFill>
                  <a:sysClr val="windowText" lastClr="000000"/>
                </a:solidFill>
                <a:latin typeface="Arial" panose="020B0604020202020204" pitchFamily="34" charset="0"/>
                <a:cs typeface="Arial" panose="020B0604020202020204" pitchFamily="34" charset="0"/>
              </a:rPr>
              <a:t>HVAC System Capacity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301696646995022"/>
          <c:y val="0.21667624165005125"/>
          <c:w val="0.86296940073898609"/>
          <c:h val="0.51057641399975218"/>
        </c:manualLayout>
      </c:layout>
      <c:lineChart>
        <c:grouping val="standard"/>
        <c:varyColors val="0"/>
        <c:ser>
          <c:idx val="0"/>
          <c:order val="0"/>
          <c:tx>
            <c:strRef>
              <c:f>Schedules!$D$14</c:f>
              <c:strCache>
                <c:ptCount val="1"/>
                <c:pt idx="0">
                  <c:v>Weekday</c:v>
                </c:pt>
              </c:strCache>
            </c:strRef>
          </c:tx>
          <c:spPr>
            <a:ln w="28575" cap="rnd">
              <a:solidFill>
                <a:schemeClr val="accent1"/>
              </a:solidFill>
              <a:round/>
            </a:ln>
            <a:effectLst/>
          </c:spPr>
          <c:marker>
            <c:symbol val="none"/>
          </c:marker>
          <c:val>
            <c:numRef>
              <c:f>Schedules!$E$14:$AB$14</c:f>
              <c:numCache>
                <c:formatCode>General</c:formatCode>
                <c:ptCount val="24"/>
                <c:pt idx="0">
                  <c:v>0</c:v>
                </c:pt>
                <c:pt idx="1">
                  <c:v>0</c:v>
                </c:pt>
                <c:pt idx="2">
                  <c:v>0</c:v>
                </c:pt>
                <c:pt idx="3">
                  <c:v>0</c:v>
                </c:pt>
                <c:pt idx="4">
                  <c:v>0</c:v>
                </c:pt>
                <c:pt idx="5">
                  <c:v>0</c:v>
                </c:pt>
                <c:pt idx="6">
                  <c:v>0.2</c:v>
                </c:pt>
                <c:pt idx="7">
                  <c:v>0.7</c:v>
                </c:pt>
                <c:pt idx="8">
                  <c:v>1</c:v>
                </c:pt>
                <c:pt idx="9">
                  <c:v>1</c:v>
                </c:pt>
                <c:pt idx="10">
                  <c:v>1</c:v>
                </c:pt>
                <c:pt idx="11">
                  <c:v>1</c:v>
                </c:pt>
                <c:pt idx="12">
                  <c:v>1</c:v>
                </c:pt>
                <c:pt idx="13">
                  <c:v>1</c:v>
                </c:pt>
                <c:pt idx="14">
                  <c:v>1</c:v>
                </c:pt>
                <c:pt idx="15">
                  <c:v>1</c:v>
                </c:pt>
                <c:pt idx="16">
                  <c:v>1</c:v>
                </c:pt>
                <c:pt idx="17">
                  <c:v>0.7</c:v>
                </c:pt>
                <c:pt idx="18">
                  <c:v>0.5</c:v>
                </c:pt>
                <c:pt idx="19">
                  <c:v>0.3</c:v>
                </c:pt>
                <c:pt idx="20">
                  <c:v>0.2</c:v>
                </c:pt>
                <c:pt idx="21">
                  <c:v>0.2</c:v>
                </c:pt>
                <c:pt idx="22">
                  <c:v>0</c:v>
                </c:pt>
                <c:pt idx="23">
                  <c:v>0</c:v>
                </c:pt>
              </c:numCache>
            </c:numRef>
          </c:val>
          <c:smooth val="0"/>
          <c:extLst>
            <c:ext xmlns:c16="http://schemas.microsoft.com/office/drawing/2014/chart" uri="{C3380CC4-5D6E-409C-BE32-E72D297353CC}">
              <c16:uniqueId val="{00000000-8C2E-4FDC-8DAB-7FCF7BC63644}"/>
            </c:ext>
          </c:extLst>
        </c:ser>
        <c:ser>
          <c:idx val="1"/>
          <c:order val="1"/>
          <c:tx>
            <c:strRef>
              <c:f>Schedules!$D$15</c:f>
              <c:strCache>
                <c:ptCount val="1"/>
                <c:pt idx="0">
                  <c:v>Saturday</c:v>
                </c:pt>
              </c:strCache>
            </c:strRef>
          </c:tx>
          <c:spPr>
            <a:ln w="28575" cap="rnd">
              <a:solidFill>
                <a:schemeClr val="accent2"/>
              </a:solidFill>
              <a:round/>
            </a:ln>
            <a:effectLst/>
          </c:spPr>
          <c:marker>
            <c:symbol val="none"/>
          </c:marker>
          <c:val>
            <c:numRef>
              <c:f>Schedules!$E$15:$AB$15</c:f>
              <c:numCache>
                <c:formatCode>General</c:formatCode>
                <c:ptCount val="24"/>
                <c:pt idx="0">
                  <c:v>0</c:v>
                </c:pt>
                <c:pt idx="1">
                  <c:v>0</c:v>
                </c:pt>
                <c:pt idx="2">
                  <c:v>0</c:v>
                </c:pt>
                <c:pt idx="3">
                  <c:v>0</c:v>
                </c:pt>
                <c:pt idx="4">
                  <c:v>0</c:v>
                </c:pt>
                <c:pt idx="5">
                  <c:v>0</c:v>
                </c:pt>
                <c:pt idx="6">
                  <c:v>0.1</c:v>
                </c:pt>
                <c:pt idx="7">
                  <c:v>0.1</c:v>
                </c:pt>
                <c:pt idx="8">
                  <c:v>0.5</c:v>
                </c:pt>
                <c:pt idx="9">
                  <c:v>0.5</c:v>
                </c:pt>
                <c:pt idx="10">
                  <c:v>0.5</c:v>
                </c:pt>
                <c:pt idx="11">
                  <c:v>0.5</c:v>
                </c:pt>
                <c:pt idx="12">
                  <c:v>0.1</c:v>
                </c:pt>
                <c:pt idx="13">
                  <c:v>0.1</c:v>
                </c:pt>
                <c:pt idx="14">
                  <c:v>0.1</c:v>
                </c:pt>
                <c:pt idx="15">
                  <c:v>0.1</c:v>
                </c:pt>
                <c:pt idx="16">
                  <c:v>0.1</c:v>
                </c:pt>
                <c:pt idx="17">
                  <c:v>0.05</c:v>
                </c:pt>
                <c:pt idx="18">
                  <c:v>5.0000000000000001E-3</c:v>
                </c:pt>
                <c:pt idx="19">
                  <c:v>0</c:v>
                </c:pt>
                <c:pt idx="20">
                  <c:v>0</c:v>
                </c:pt>
                <c:pt idx="21">
                  <c:v>0</c:v>
                </c:pt>
                <c:pt idx="22">
                  <c:v>0</c:v>
                </c:pt>
                <c:pt idx="23">
                  <c:v>0</c:v>
                </c:pt>
              </c:numCache>
            </c:numRef>
          </c:val>
          <c:smooth val="0"/>
          <c:extLst>
            <c:ext xmlns:c16="http://schemas.microsoft.com/office/drawing/2014/chart" uri="{C3380CC4-5D6E-409C-BE32-E72D297353CC}">
              <c16:uniqueId val="{00000001-8C2E-4FDC-8DAB-7FCF7BC63644}"/>
            </c:ext>
          </c:extLst>
        </c:ser>
        <c:dLbls>
          <c:showLegendKey val="0"/>
          <c:showVal val="0"/>
          <c:showCatName val="0"/>
          <c:showSerName val="0"/>
          <c:showPercent val="0"/>
          <c:showBubbleSize val="0"/>
        </c:dLbls>
        <c:smooth val="0"/>
        <c:axId val="1801622976"/>
        <c:axId val="1801623456"/>
      </c:lineChart>
      <c:catAx>
        <c:axId val="18016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3456"/>
        <c:crosses val="autoZero"/>
        <c:auto val="1"/>
        <c:lblAlgn val="ctr"/>
        <c:lblOffset val="100"/>
        <c:noMultiLvlLbl val="0"/>
      </c:catAx>
      <c:valAx>
        <c:axId val="18016234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2976"/>
        <c:crosses val="autoZero"/>
        <c:crossBetween val="between"/>
        <c:majorUnit val="0.2"/>
        <c:minorUnit val="0.1"/>
      </c:valAx>
      <c:spPr>
        <a:noFill/>
        <a:ln>
          <a:noFill/>
        </a:ln>
        <a:effectLst/>
      </c:spPr>
    </c:plotArea>
    <c:legend>
      <c:legendPos val="b"/>
      <c:layout>
        <c:manualLayout>
          <c:xMode val="edge"/>
          <c:yMode val="edge"/>
          <c:x val="0.69237621385546944"/>
          <c:y val="3.6261079321075841E-2"/>
          <c:w val="0.28941482691935089"/>
          <c:h val="0.3139894781608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spc="0" baseline="0">
                <a:solidFill>
                  <a:sysClr val="windowText" lastClr="000000"/>
                </a:solidFill>
              </a:rPr>
              <a:t>HVAC System Operating- Closed Office Zones</a:t>
            </a: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latin typeface="Arial" panose="020B0604020202020204" pitchFamily="34" charset="0"/>
                <a:cs typeface="Arial" panose="020B0604020202020204" pitchFamily="34" charset="0"/>
              </a:defRPr>
            </a:pPr>
            <a:endParaRPr lang="en-US" sz="1000" b="1" i="0" u="none" strike="noStrike" kern="1200" spc="0" baseline="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301696646995022"/>
          <c:y val="0.21667624165005125"/>
          <c:w val="0.86296940073898609"/>
          <c:h val="0.51057641399975218"/>
        </c:manualLayout>
      </c:layout>
      <c:lineChart>
        <c:grouping val="standard"/>
        <c:varyColors val="0"/>
        <c:ser>
          <c:idx val="0"/>
          <c:order val="0"/>
          <c:tx>
            <c:strRef>
              <c:f>Schedules!$D$17</c:f>
              <c:strCache>
                <c:ptCount val="1"/>
                <c:pt idx="0">
                  <c:v>Weekday</c:v>
                </c:pt>
              </c:strCache>
            </c:strRef>
          </c:tx>
          <c:spPr>
            <a:ln w="28575" cap="rnd">
              <a:solidFill>
                <a:schemeClr val="accent1"/>
              </a:solidFill>
              <a:round/>
            </a:ln>
            <a:effectLst/>
          </c:spPr>
          <c:marker>
            <c:symbol val="none"/>
          </c:marker>
          <c:val>
            <c:numRef>
              <c:f>Schedules!$E$17:$AB$17</c:f>
              <c:numCache>
                <c:formatCode>General</c:formatCode>
                <c:ptCount val="24"/>
                <c:pt idx="0">
                  <c:v>0</c:v>
                </c:pt>
                <c:pt idx="1">
                  <c:v>0</c:v>
                </c:pt>
                <c:pt idx="2">
                  <c:v>0</c:v>
                </c:pt>
                <c:pt idx="3">
                  <c:v>0</c:v>
                </c:pt>
                <c:pt idx="4">
                  <c:v>0</c:v>
                </c:pt>
                <c:pt idx="5">
                  <c:v>0</c:v>
                </c:pt>
                <c:pt idx="6">
                  <c:v>0</c:v>
                </c:pt>
                <c:pt idx="7">
                  <c:v>1</c:v>
                </c:pt>
                <c:pt idx="8">
                  <c:v>1</c:v>
                </c:pt>
                <c:pt idx="9">
                  <c:v>1</c:v>
                </c:pt>
                <c:pt idx="10">
                  <c:v>1</c:v>
                </c:pt>
                <c:pt idx="11">
                  <c:v>1</c:v>
                </c:pt>
                <c:pt idx="12">
                  <c:v>1</c:v>
                </c:pt>
                <c:pt idx="13">
                  <c:v>1</c:v>
                </c:pt>
                <c:pt idx="14">
                  <c:v>1</c:v>
                </c:pt>
                <c:pt idx="15">
                  <c:v>1</c:v>
                </c:pt>
                <c:pt idx="16">
                  <c:v>1</c:v>
                </c:pt>
                <c:pt idx="17">
                  <c:v>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08C4-4E32-A5AC-4CF15D51F2DA}"/>
            </c:ext>
          </c:extLst>
        </c:ser>
        <c:ser>
          <c:idx val="1"/>
          <c:order val="1"/>
          <c:tx>
            <c:strRef>
              <c:f>Schedules!$D$18</c:f>
              <c:strCache>
                <c:ptCount val="1"/>
                <c:pt idx="0">
                  <c:v>Saturday</c:v>
                </c:pt>
              </c:strCache>
            </c:strRef>
          </c:tx>
          <c:spPr>
            <a:ln w="28575" cap="rnd">
              <a:solidFill>
                <a:schemeClr val="accent2"/>
              </a:solidFill>
              <a:round/>
            </a:ln>
            <a:effectLst/>
          </c:spPr>
          <c:marker>
            <c:symbol val="none"/>
          </c:marker>
          <c:val>
            <c:numRef>
              <c:f>Schedules!$E$18:$AB$18</c:f>
              <c:numCache>
                <c:formatCode>General</c:formatCode>
                <c:ptCount val="24"/>
                <c:pt idx="0">
                  <c:v>0</c:v>
                </c:pt>
                <c:pt idx="1">
                  <c:v>0</c:v>
                </c:pt>
                <c:pt idx="2">
                  <c:v>0</c:v>
                </c:pt>
                <c:pt idx="3">
                  <c:v>0</c:v>
                </c:pt>
                <c:pt idx="4">
                  <c:v>0</c:v>
                </c:pt>
                <c:pt idx="5">
                  <c:v>0</c:v>
                </c:pt>
                <c:pt idx="6">
                  <c:v>0</c:v>
                </c:pt>
                <c:pt idx="7">
                  <c:v>0</c:v>
                </c:pt>
                <c:pt idx="8">
                  <c:v>1</c:v>
                </c:pt>
                <c:pt idx="9">
                  <c:v>1</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08C4-4E32-A5AC-4CF15D51F2DA}"/>
            </c:ext>
          </c:extLst>
        </c:ser>
        <c:ser>
          <c:idx val="2"/>
          <c:order val="2"/>
          <c:tx>
            <c:strRef>
              <c:f>Schedules!$D$19</c:f>
              <c:strCache>
                <c:ptCount val="1"/>
                <c:pt idx="0">
                  <c:v>Otherday</c:v>
                </c:pt>
              </c:strCache>
            </c:strRef>
          </c:tx>
          <c:spPr>
            <a:ln w="28575" cap="rnd">
              <a:solidFill>
                <a:schemeClr val="accent3"/>
              </a:solidFill>
              <a:round/>
            </a:ln>
            <a:effectLst/>
          </c:spPr>
          <c:marker>
            <c:symbol val="none"/>
          </c:marker>
          <c:val>
            <c:numRef>
              <c:f>Schedules!$E$19:$AB$19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08C4-4E32-A5AC-4CF15D51F2DA}"/>
            </c:ext>
          </c:extLst>
        </c:ser>
        <c:dLbls>
          <c:showLegendKey val="0"/>
          <c:showVal val="0"/>
          <c:showCatName val="0"/>
          <c:showSerName val="0"/>
          <c:showPercent val="0"/>
          <c:showBubbleSize val="0"/>
        </c:dLbls>
        <c:smooth val="0"/>
        <c:axId val="1801622976"/>
        <c:axId val="1801623456"/>
      </c:lineChart>
      <c:catAx>
        <c:axId val="18016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3456"/>
        <c:crosses val="autoZero"/>
        <c:auto val="1"/>
        <c:lblAlgn val="ctr"/>
        <c:lblOffset val="100"/>
        <c:noMultiLvlLbl val="0"/>
      </c:catAx>
      <c:valAx>
        <c:axId val="18016234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2976"/>
        <c:crosses val="autoZero"/>
        <c:crossBetween val="between"/>
        <c:majorUnit val="0.2"/>
        <c:minorUnit val="0.1"/>
      </c:valAx>
      <c:spPr>
        <a:noFill/>
        <a:ln>
          <a:noFill/>
        </a:ln>
        <a:effectLst/>
      </c:spPr>
    </c:plotArea>
    <c:legend>
      <c:legendPos val="b"/>
      <c:layout>
        <c:manualLayout>
          <c:xMode val="edge"/>
          <c:yMode val="edge"/>
          <c:x val="0"/>
          <c:y val="0.90720805818114503"/>
          <c:w val="1"/>
          <c:h val="9.13431634279527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spc="0" baseline="0">
                <a:solidFill>
                  <a:sysClr val="windowText" lastClr="000000"/>
                </a:solidFill>
              </a:rPr>
              <a:t>HVAC System Operating- Open Office Zones</a:t>
            </a: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latin typeface="Arial" panose="020B0604020202020204" pitchFamily="34" charset="0"/>
                <a:cs typeface="Arial" panose="020B0604020202020204" pitchFamily="34" charset="0"/>
              </a:defRPr>
            </a:pPr>
            <a:endParaRPr lang="en-US" sz="1000" b="1" i="0" u="none" strike="noStrike" kern="1200" spc="0" baseline="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301696646995022"/>
          <c:y val="0.21667624165005125"/>
          <c:w val="0.86296940073898609"/>
          <c:h val="0.51057641399975218"/>
        </c:manualLayout>
      </c:layout>
      <c:lineChart>
        <c:grouping val="standard"/>
        <c:varyColors val="0"/>
        <c:ser>
          <c:idx val="0"/>
          <c:order val="0"/>
          <c:tx>
            <c:strRef>
              <c:f>Schedules!$D$20</c:f>
              <c:strCache>
                <c:ptCount val="1"/>
                <c:pt idx="0">
                  <c:v>Weekday</c:v>
                </c:pt>
              </c:strCache>
            </c:strRef>
          </c:tx>
          <c:spPr>
            <a:ln w="28575" cap="rnd">
              <a:solidFill>
                <a:schemeClr val="accent1"/>
              </a:solidFill>
              <a:round/>
            </a:ln>
            <a:effectLst/>
          </c:spPr>
          <c:marker>
            <c:symbol val="none"/>
          </c:marker>
          <c:val>
            <c:numRef>
              <c:f>Schedules!$E$20:$AB$20</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0</c:v>
                </c:pt>
              </c:numCache>
            </c:numRef>
          </c:val>
          <c:smooth val="0"/>
          <c:extLst>
            <c:ext xmlns:c16="http://schemas.microsoft.com/office/drawing/2014/chart" uri="{C3380CC4-5D6E-409C-BE32-E72D297353CC}">
              <c16:uniqueId val="{00000000-690D-477B-BACF-FEC0B523E134}"/>
            </c:ext>
          </c:extLst>
        </c:ser>
        <c:ser>
          <c:idx val="1"/>
          <c:order val="1"/>
          <c:tx>
            <c:strRef>
              <c:f>Schedules!$D$21</c:f>
              <c:strCache>
                <c:ptCount val="1"/>
                <c:pt idx="0">
                  <c:v>Saturday</c:v>
                </c:pt>
              </c:strCache>
            </c:strRef>
          </c:tx>
          <c:spPr>
            <a:ln w="28575" cap="rnd">
              <a:solidFill>
                <a:schemeClr val="accent2"/>
              </a:solidFill>
              <a:round/>
            </a:ln>
            <a:effectLst/>
          </c:spPr>
          <c:marker>
            <c:symbol val="none"/>
          </c:marker>
          <c:val>
            <c:numRef>
              <c:f>Schedules!$E$21:$AB$21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690D-477B-BACF-FEC0B523E134}"/>
            </c:ext>
          </c:extLst>
        </c:ser>
        <c:ser>
          <c:idx val="2"/>
          <c:order val="2"/>
          <c:tx>
            <c:strRef>
              <c:f>Schedules!$D$22</c:f>
              <c:strCache>
                <c:ptCount val="1"/>
                <c:pt idx="0">
                  <c:v>Otherday</c:v>
                </c:pt>
              </c:strCache>
            </c:strRef>
          </c:tx>
          <c:spPr>
            <a:ln w="28575" cap="rnd">
              <a:solidFill>
                <a:schemeClr val="accent3"/>
              </a:solidFill>
              <a:prstDash val="dash"/>
              <a:round/>
            </a:ln>
            <a:effectLst/>
          </c:spPr>
          <c:marker>
            <c:symbol val="none"/>
          </c:marker>
          <c:val>
            <c:numRef>
              <c:f>Schedules!$E$22:$AB$22</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690D-477B-BACF-FEC0B523E134}"/>
            </c:ext>
          </c:extLst>
        </c:ser>
        <c:dLbls>
          <c:showLegendKey val="0"/>
          <c:showVal val="0"/>
          <c:showCatName val="0"/>
          <c:showSerName val="0"/>
          <c:showPercent val="0"/>
          <c:showBubbleSize val="0"/>
        </c:dLbls>
        <c:smooth val="0"/>
        <c:axId val="1801622976"/>
        <c:axId val="1801623456"/>
      </c:lineChart>
      <c:catAx>
        <c:axId val="18016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3456"/>
        <c:crosses val="autoZero"/>
        <c:auto val="1"/>
        <c:lblAlgn val="ctr"/>
        <c:lblOffset val="100"/>
        <c:noMultiLvlLbl val="0"/>
      </c:catAx>
      <c:valAx>
        <c:axId val="18016234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2976"/>
        <c:crosses val="autoZero"/>
        <c:crossBetween val="between"/>
        <c:majorUnit val="0.2"/>
        <c:minorUnit val="0.1"/>
      </c:valAx>
      <c:spPr>
        <a:noFill/>
        <a:ln>
          <a:noFill/>
        </a:ln>
        <a:effectLst/>
      </c:spPr>
    </c:plotArea>
    <c:legend>
      <c:legendPos val="b"/>
      <c:layout>
        <c:manualLayout>
          <c:xMode val="edge"/>
          <c:yMode val="edge"/>
          <c:x val="0"/>
          <c:y val="0.90720805818114503"/>
          <c:w val="1"/>
          <c:h val="9.13431634279527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latin typeface="Arial" panose="020B0604020202020204" pitchFamily="34" charset="0"/>
                <a:cs typeface="Arial" panose="020B0604020202020204" pitchFamily="34" charset="0"/>
              </a:rPr>
              <a:t>Water Heating Fuel type - Small Office (CEUS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'Water Heater'!$B$22</c:f>
              <c:strCache>
                <c:ptCount val="1"/>
                <c:pt idx="0">
                  <c:v>Saturation (Electric)</c:v>
                </c:pt>
              </c:strCache>
            </c:strRef>
          </c:tx>
          <c:spPr>
            <a:solidFill>
              <a:schemeClr val="accent1"/>
            </a:solidFill>
            <a:ln>
              <a:noFill/>
            </a:ln>
            <a:effectLst/>
          </c:spPr>
          <c:invertIfNegative val="0"/>
          <c:val>
            <c:numRef>
              <c:f>'Water Heater'!$B$23:$B$38</c:f>
            </c:numRef>
          </c:val>
          <c:extLst>
            <c:ext xmlns:c16="http://schemas.microsoft.com/office/drawing/2014/chart" uri="{C3380CC4-5D6E-409C-BE32-E72D297353CC}">
              <c16:uniqueId val="{00000000-967A-4C13-9944-604A1EC80F65}"/>
            </c:ext>
          </c:extLst>
        </c:ser>
        <c:ser>
          <c:idx val="1"/>
          <c:order val="1"/>
          <c:tx>
            <c:strRef>
              <c:f>'Water Heater'!$C$22</c:f>
              <c:strCache>
                <c:ptCount val="1"/>
                <c:pt idx="0">
                  <c:v>Saturation (Gas)</c:v>
                </c:pt>
              </c:strCache>
            </c:strRef>
          </c:tx>
          <c:spPr>
            <a:solidFill>
              <a:schemeClr val="accent2"/>
            </a:solidFill>
            <a:ln>
              <a:noFill/>
            </a:ln>
            <a:effectLst/>
          </c:spPr>
          <c:invertIfNegative val="0"/>
          <c:val>
            <c:numRef>
              <c:f>'Water Heater'!$C$23:$C$38</c:f>
            </c:numRef>
          </c:val>
          <c:extLst>
            <c:ext xmlns:c16="http://schemas.microsoft.com/office/drawing/2014/chart" uri="{C3380CC4-5D6E-409C-BE32-E72D297353CC}">
              <c16:uniqueId val="{00000001-967A-4C13-9944-604A1EC80F65}"/>
            </c:ext>
          </c:extLst>
        </c:ser>
        <c:ser>
          <c:idx val="2"/>
          <c:order val="2"/>
          <c:tx>
            <c:strRef>
              <c:f>'Water Heater'!$D$22</c:f>
              <c:strCache>
                <c:ptCount val="1"/>
              </c:strCache>
            </c:strRef>
          </c:tx>
          <c:spPr>
            <a:solidFill>
              <a:schemeClr val="accent3"/>
            </a:solidFill>
            <a:ln>
              <a:noFill/>
            </a:ln>
            <a:effectLst/>
          </c:spPr>
          <c:invertIfNegative val="0"/>
          <c:val>
            <c:numRef>
              <c:f>'Water Heater'!$D$23:$D$38</c:f>
            </c:numRef>
          </c:val>
          <c:extLst>
            <c:ext xmlns:c16="http://schemas.microsoft.com/office/drawing/2014/chart" uri="{C3380CC4-5D6E-409C-BE32-E72D297353CC}">
              <c16:uniqueId val="{00000002-967A-4C13-9944-604A1EC80F65}"/>
            </c:ext>
          </c:extLst>
        </c:ser>
        <c:dLbls>
          <c:showLegendKey val="0"/>
          <c:showVal val="0"/>
          <c:showCatName val="0"/>
          <c:showSerName val="0"/>
          <c:showPercent val="0"/>
          <c:showBubbleSize val="0"/>
        </c:dLbls>
        <c:gapWidth val="150"/>
        <c:overlap val="100"/>
        <c:axId val="284030512"/>
        <c:axId val="284032432"/>
      </c:barChart>
      <c:catAx>
        <c:axId val="284030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32432"/>
        <c:crosses val="autoZero"/>
        <c:auto val="1"/>
        <c:lblAlgn val="ctr"/>
        <c:lblOffset val="100"/>
        <c:noMultiLvlLbl val="0"/>
      </c:catAx>
      <c:valAx>
        <c:axId val="284032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3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i="0" u="none" strike="noStrike" kern="1200" spc="0" baseline="0">
                <a:solidFill>
                  <a:sysClr val="windowText" lastClr="000000"/>
                </a:solidFill>
                <a:latin typeface="Arial" panose="020B0604020202020204" pitchFamily="34" charset="0"/>
                <a:cs typeface="Arial" panose="020B0604020202020204" pitchFamily="34" charset="0"/>
              </a:rPr>
              <a:t>Equipment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301696646995022"/>
          <c:y val="0.21667624165005125"/>
          <c:w val="0.86296940073898609"/>
          <c:h val="0.51057641399975218"/>
        </c:manualLayout>
      </c:layout>
      <c:lineChart>
        <c:grouping val="standard"/>
        <c:varyColors val="0"/>
        <c:ser>
          <c:idx val="0"/>
          <c:order val="0"/>
          <c:tx>
            <c:strRef>
              <c:f>Schedules!$D$31</c:f>
              <c:strCache>
                <c:ptCount val="1"/>
                <c:pt idx="0">
                  <c:v>Weekday</c:v>
                </c:pt>
              </c:strCache>
            </c:strRef>
          </c:tx>
          <c:spPr>
            <a:ln w="28575" cap="rnd">
              <a:solidFill>
                <a:schemeClr val="accent1"/>
              </a:solidFill>
              <a:round/>
            </a:ln>
            <a:effectLst/>
          </c:spPr>
          <c:marker>
            <c:symbol val="none"/>
          </c:marker>
          <c:val>
            <c:numRef>
              <c:f>Schedules!$E$31:$AB$31</c:f>
            </c:numRef>
          </c:val>
          <c:smooth val="0"/>
          <c:extLst>
            <c:ext xmlns:c16="http://schemas.microsoft.com/office/drawing/2014/chart" uri="{C3380CC4-5D6E-409C-BE32-E72D297353CC}">
              <c16:uniqueId val="{00000000-3B57-4713-B0CD-EB5944F38800}"/>
            </c:ext>
          </c:extLst>
        </c:ser>
        <c:ser>
          <c:idx val="1"/>
          <c:order val="1"/>
          <c:tx>
            <c:strRef>
              <c:f>Schedules!$D$32</c:f>
              <c:strCache>
                <c:ptCount val="1"/>
                <c:pt idx="0">
                  <c:v>Saturday</c:v>
                </c:pt>
              </c:strCache>
            </c:strRef>
          </c:tx>
          <c:spPr>
            <a:ln w="28575" cap="rnd">
              <a:solidFill>
                <a:schemeClr val="accent2"/>
              </a:solidFill>
              <a:round/>
            </a:ln>
            <a:effectLst/>
          </c:spPr>
          <c:marker>
            <c:symbol val="none"/>
          </c:marker>
          <c:val>
            <c:numRef>
              <c:f>Schedules!$E$32:$AB$32</c:f>
            </c:numRef>
          </c:val>
          <c:smooth val="0"/>
          <c:extLst>
            <c:ext xmlns:c16="http://schemas.microsoft.com/office/drawing/2014/chart" uri="{C3380CC4-5D6E-409C-BE32-E72D297353CC}">
              <c16:uniqueId val="{00000001-3B57-4713-B0CD-EB5944F38800}"/>
            </c:ext>
          </c:extLst>
        </c:ser>
        <c:ser>
          <c:idx val="2"/>
          <c:order val="2"/>
          <c:tx>
            <c:strRef>
              <c:f>Schedules!$D$33</c:f>
              <c:strCache>
                <c:ptCount val="1"/>
                <c:pt idx="0">
                  <c:v>Sunday</c:v>
                </c:pt>
              </c:strCache>
            </c:strRef>
          </c:tx>
          <c:spPr>
            <a:ln w="28575" cap="rnd">
              <a:solidFill>
                <a:schemeClr val="accent3"/>
              </a:solidFill>
              <a:round/>
            </a:ln>
            <a:effectLst/>
          </c:spPr>
          <c:marker>
            <c:symbol val="none"/>
          </c:marker>
          <c:val>
            <c:numRef>
              <c:f>Schedules!$E$33:$AB$33</c:f>
            </c:numRef>
          </c:val>
          <c:smooth val="0"/>
          <c:extLst>
            <c:ext xmlns:c16="http://schemas.microsoft.com/office/drawing/2014/chart" uri="{C3380CC4-5D6E-409C-BE32-E72D297353CC}">
              <c16:uniqueId val="{00000002-3B57-4713-B0CD-EB5944F38800}"/>
            </c:ext>
          </c:extLst>
        </c:ser>
        <c:dLbls>
          <c:showLegendKey val="0"/>
          <c:showVal val="0"/>
          <c:showCatName val="0"/>
          <c:showSerName val="0"/>
          <c:showPercent val="0"/>
          <c:showBubbleSize val="0"/>
        </c:dLbls>
        <c:marker val="1"/>
        <c:smooth val="0"/>
        <c:axId val="1801622976"/>
        <c:axId val="1801623456"/>
      </c:lineChart>
      <c:catAx>
        <c:axId val="18016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3456"/>
        <c:crosses val="autoZero"/>
        <c:auto val="1"/>
        <c:lblAlgn val="ctr"/>
        <c:lblOffset val="100"/>
        <c:noMultiLvlLbl val="0"/>
      </c:catAx>
      <c:valAx>
        <c:axId val="18016234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22976"/>
        <c:crosses val="autoZero"/>
        <c:crossBetween val="between"/>
        <c:majorUnit val="0.2"/>
        <c:minorUnit val="0.1"/>
      </c:valAx>
      <c:spPr>
        <a:noFill/>
        <a:ln>
          <a:noFill/>
        </a:ln>
        <a:effectLst/>
      </c:spPr>
    </c:plotArea>
    <c:legend>
      <c:legendPos val="b"/>
      <c:layout>
        <c:manualLayout>
          <c:xMode val="edge"/>
          <c:yMode val="edge"/>
          <c:x val="0.69237621385546944"/>
          <c:y val="3.6261079321075841E-2"/>
          <c:w val="0.28941482691935089"/>
          <c:h val="0.3139894781608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Cooking EquipmentFuel type - Small Office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'Cooking Euipment'!$F$1</c:f>
              <c:strCache>
                <c:ptCount val="1"/>
                <c:pt idx="0">
                  <c:v>Electric Fuel Share</c:v>
                </c:pt>
              </c:strCache>
            </c:strRef>
          </c:tx>
          <c:spPr>
            <a:solidFill>
              <a:schemeClr val="accent1"/>
            </a:solidFill>
            <a:ln>
              <a:noFill/>
            </a:ln>
            <a:effectLst/>
          </c:spPr>
          <c:invertIfNegative val="0"/>
          <c:cat>
            <c:strRef>
              <c:f>'Cooking Euipment'!$A$3:$A$18</c:f>
              <c:strCache>
                <c:ptCount val="16"/>
                <c:pt idx="0">
                  <c:v>FCZ1</c:v>
                </c:pt>
                <c:pt idx="1">
                  <c:v>FCZ2</c:v>
                </c:pt>
                <c:pt idx="2">
                  <c:v>FCZ3</c:v>
                </c:pt>
                <c:pt idx="3">
                  <c:v>FCZ4</c:v>
                </c:pt>
                <c:pt idx="4">
                  <c:v>FCZ5</c:v>
                </c:pt>
                <c:pt idx="5">
                  <c:v>FCZ6</c:v>
                </c:pt>
                <c:pt idx="6">
                  <c:v>FCZ7</c:v>
                </c:pt>
                <c:pt idx="7">
                  <c:v>FCZ8</c:v>
                </c:pt>
                <c:pt idx="8">
                  <c:v>FCZ9</c:v>
                </c:pt>
                <c:pt idx="9">
                  <c:v>FCZ10</c:v>
                </c:pt>
                <c:pt idx="10">
                  <c:v>FCZ11</c:v>
                </c:pt>
                <c:pt idx="11">
                  <c:v>FCZ12c</c:v>
                </c:pt>
                <c:pt idx="12">
                  <c:v>FCZ12i</c:v>
                </c:pt>
                <c:pt idx="13">
                  <c:v>FCZ13</c:v>
                </c:pt>
                <c:pt idx="14">
                  <c:v>FCZ16</c:v>
                </c:pt>
                <c:pt idx="15">
                  <c:v>FCZ17</c:v>
                </c:pt>
              </c:strCache>
            </c:strRef>
          </c:cat>
          <c:val>
            <c:numRef>
              <c:f>'Cooking Euipment'!$F$3:$F$18</c:f>
              <c:numCache>
                <c:formatCode>0%</c:formatCode>
                <c:ptCount val="16"/>
                <c:pt idx="0">
                  <c:v>0.47987336212939902</c:v>
                </c:pt>
                <c:pt idx="1">
                  <c:v>0.175795128622309</c:v>
                </c:pt>
                <c:pt idx="2">
                  <c:v>0.76947624099160306</c:v>
                </c:pt>
                <c:pt idx="3">
                  <c:v>0.76947624099160306</c:v>
                </c:pt>
                <c:pt idx="4">
                  <c:v>0.58143569768308501</c:v>
                </c:pt>
                <c:pt idx="5">
                  <c:v>1.7126658714501301E-2</c:v>
                </c:pt>
                <c:pt idx="6">
                  <c:v>0.174835163446798</c:v>
                </c:pt>
                <c:pt idx="7">
                  <c:v>0.232534608647573</c:v>
                </c:pt>
                <c:pt idx="8">
                  <c:v>0.24364847067787099</c:v>
                </c:pt>
                <c:pt idx="9">
                  <c:v>0.255758253067004</c:v>
                </c:pt>
                <c:pt idx="10">
                  <c:v>0.56741362856852595</c:v>
                </c:pt>
                <c:pt idx="11">
                  <c:v>0.37811695085799801</c:v>
                </c:pt>
                <c:pt idx="12">
                  <c:v>0.75222323583728001</c:v>
                </c:pt>
                <c:pt idx="13">
                  <c:v>0.48031792809513002</c:v>
                </c:pt>
                <c:pt idx="14">
                  <c:v>0.210872325346559</c:v>
                </c:pt>
                <c:pt idx="15">
                  <c:v>1.7611914496889602E-2</c:v>
                </c:pt>
              </c:numCache>
            </c:numRef>
          </c:val>
          <c:extLst>
            <c:ext xmlns:c16="http://schemas.microsoft.com/office/drawing/2014/chart" uri="{C3380CC4-5D6E-409C-BE32-E72D297353CC}">
              <c16:uniqueId val="{00000000-BB51-4DAF-B36F-4361BD796AC7}"/>
            </c:ext>
          </c:extLst>
        </c:ser>
        <c:ser>
          <c:idx val="1"/>
          <c:order val="1"/>
          <c:tx>
            <c:strRef>
              <c:f>'Cooking Euipment'!$G$1</c:f>
              <c:strCache>
                <c:ptCount val="1"/>
                <c:pt idx="0">
                  <c:v>Gas Fuel Share</c:v>
                </c:pt>
              </c:strCache>
            </c:strRef>
          </c:tx>
          <c:spPr>
            <a:solidFill>
              <a:schemeClr val="accent2"/>
            </a:solidFill>
            <a:ln>
              <a:noFill/>
            </a:ln>
            <a:effectLst/>
          </c:spPr>
          <c:invertIfNegative val="0"/>
          <c:cat>
            <c:strRef>
              <c:f>'Cooking Euipment'!$A$3:$A$18</c:f>
              <c:strCache>
                <c:ptCount val="16"/>
                <c:pt idx="0">
                  <c:v>FCZ1</c:v>
                </c:pt>
                <c:pt idx="1">
                  <c:v>FCZ2</c:v>
                </c:pt>
                <c:pt idx="2">
                  <c:v>FCZ3</c:v>
                </c:pt>
                <c:pt idx="3">
                  <c:v>FCZ4</c:v>
                </c:pt>
                <c:pt idx="4">
                  <c:v>FCZ5</c:v>
                </c:pt>
                <c:pt idx="5">
                  <c:v>FCZ6</c:v>
                </c:pt>
                <c:pt idx="6">
                  <c:v>FCZ7</c:v>
                </c:pt>
                <c:pt idx="7">
                  <c:v>FCZ8</c:v>
                </c:pt>
                <c:pt idx="8">
                  <c:v>FCZ9</c:v>
                </c:pt>
                <c:pt idx="9">
                  <c:v>FCZ10</c:v>
                </c:pt>
                <c:pt idx="10">
                  <c:v>FCZ11</c:v>
                </c:pt>
                <c:pt idx="11">
                  <c:v>FCZ12c</c:v>
                </c:pt>
                <c:pt idx="12">
                  <c:v>FCZ12i</c:v>
                </c:pt>
                <c:pt idx="13">
                  <c:v>FCZ13</c:v>
                </c:pt>
                <c:pt idx="14">
                  <c:v>FCZ16</c:v>
                </c:pt>
                <c:pt idx="15">
                  <c:v>FCZ17</c:v>
                </c:pt>
              </c:strCache>
            </c:strRef>
          </c:cat>
          <c:val>
            <c:numRef>
              <c:f>'Cooking Euipment'!$G$3:$G$18</c:f>
              <c:numCache>
                <c:formatCode>0%</c:formatCode>
                <c:ptCount val="16"/>
                <c:pt idx="0">
                  <c:v>0.50250087794662601</c:v>
                </c:pt>
                <c:pt idx="1">
                  <c:v>0.82420487137769105</c:v>
                </c:pt>
                <c:pt idx="2">
                  <c:v>0.230523759008397</c:v>
                </c:pt>
                <c:pt idx="3">
                  <c:v>0.230523759008397</c:v>
                </c:pt>
                <c:pt idx="4">
                  <c:v>0.41856430231691499</c:v>
                </c:pt>
                <c:pt idx="5">
                  <c:v>0.98287334128549897</c:v>
                </c:pt>
                <c:pt idx="6">
                  <c:v>0.82516483655320205</c:v>
                </c:pt>
                <c:pt idx="7">
                  <c:v>0.76746539135242697</c:v>
                </c:pt>
                <c:pt idx="8">
                  <c:v>0.75635152932212901</c:v>
                </c:pt>
                <c:pt idx="9">
                  <c:v>0.74424174693299605</c:v>
                </c:pt>
                <c:pt idx="10">
                  <c:v>0.43258637143147399</c:v>
                </c:pt>
                <c:pt idx="11">
                  <c:v>0.62188304914200199</c:v>
                </c:pt>
                <c:pt idx="12">
                  <c:v>0.24777676416271999</c:v>
                </c:pt>
                <c:pt idx="13">
                  <c:v>0.51383014843259001</c:v>
                </c:pt>
                <c:pt idx="14">
                  <c:v>0.78912767465344102</c:v>
                </c:pt>
                <c:pt idx="15">
                  <c:v>0.98238808550310996</c:v>
                </c:pt>
              </c:numCache>
            </c:numRef>
          </c:val>
          <c:extLst>
            <c:ext xmlns:c16="http://schemas.microsoft.com/office/drawing/2014/chart" uri="{C3380CC4-5D6E-409C-BE32-E72D297353CC}">
              <c16:uniqueId val="{00000001-BB51-4DAF-B36F-4361BD796AC7}"/>
            </c:ext>
          </c:extLst>
        </c:ser>
        <c:dLbls>
          <c:showLegendKey val="0"/>
          <c:showVal val="0"/>
          <c:showCatName val="0"/>
          <c:showSerName val="0"/>
          <c:showPercent val="0"/>
          <c:showBubbleSize val="0"/>
        </c:dLbls>
        <c:gapWidth val="150"/>
        <c:overlap val="100"/>
        <c:axId val="1803301935"/>
        <c:axId val="1383834687"/>
      </c:barChart>
      <c:catAx>
        <c:axId val="180330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34687"/>
        <c:crosses val="autoZero"/>
        <c:auto val="1"/>
        <c:lblAlgn val="ctr"/>
        <c:lblOffset val="100"/>
        <c:noMultiLvlLbl val="0"/>
      </c:catAx>
      <c:valAx>
        <c:axId val="1383834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30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 Compressor</a:t>
            </a:r>
            <a:r>
              <a:rPr lang="en-US" baseline="0"/>
              <a:t> Saturation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'Air compressor'!$A$3:$A$18</c:f>
              <c:strCache>
                <c:ptCount val="16"/>
                <c:pt idx="0">
                  <c:v>FCZ1</c:v>
                </c:pt>
                <c:pt idx="1">
                  <c:v>FCZ2</c:v>
                </c:pt>
                <c:pt idx="2">
                  <c:v>FCZ3</c:v>
                </c:pt>
                <c:pt idx="3">
                  <c:v>FCZ4</c:v>
                </c:pt>
                <c:pt idx="4">
                  <c:v>FCZ5</c:v>
                </c:pt>
                <c:pt idx="5">
                  <c:v>FCZ6</c:v>
                </c:pt>
                <c:pt idx="6">
                  <c:v>FCZ7</c:v>
                </c:pt>
                <c:pt idx="7">
                  <c:v>FCZ8</c:v>
                </c:pt>
                <c:pt idx="8">
                  <c:v>FCZ9</c:v>
                </c:pt>
                <c:pt idx="9">
                  <c:v>FCZ10</c:v>
                </c:pt>
                <c:pt idx="10">
                  <c:v>FCZ11</c:v>
                </c:pt>
                <c:pt idx="11">
                  <c:v>FCZ12c</c:v>
                </c:pt>
                <c:pt idx="12">
                  <c:v>FCZ12i</c:v>
                </c:pt>
                <c:pt idx="13">
                  <c:v>FCZ13</c:v>
                </c:pt>
                <c:pt idx="14">
                  <c:v>FCZ16</c:v>
                </c:pt>
                <c:pt idx="15">
                  <c:v>FCZ17</c:v>
                </c:pt>
              </c:strCache>
            </c:strRef>
          </c:cat>
          <c:val>
            <c:numRef>
              <c:f>'Air compressor'!$D$3:$D$18</c:f>
              <c:numCache>
                <c:formatCode>0.0%</c:formatCode>
                <c:ptCount val="16"/>
                <c:pt idx="0">
                  <c:v>0.161273857109418</c:v>
                </c:pt>
                <c:pt idx="1">
                  <c:v>0.16046382703446699</c:v>
                </c:pt>
                <c:pt idx="2">
                  <c:v>0.17700837950041301</c:v>
                </c:pt>
                <c:pt idx="3">
                  <c:v>0.17700837950041301</c:v>
                </c:pt>
                <c:pt idx="4">
                  <c:v>0.11292693568274401</c:v>
                </c:pt>
                <c:pt idx="5">
                  <c:v>0.199487040179542</c:v>
                </c:pt>
                <c:pt idx="6">
                  <c:v>0.116203373710192</c:v>
                </c:pt>
                <c:pt idx="7">
                  <c:v>0.18247123569139501</c:v>
                </c:pt>
                <c:pt idx="8">
                  <c:v>0.26849571597838301</c:v>
                </c:pt>
                <c:pt idx="9">
                  <c:v>8.5403947628915303E-2</c:v>
                </c:pt>
                <c:pt idx="10">
                  <c:v>0.175347072814862</c:v>
                </c:pt>
                <c:pt idx="11">
                  <c:v>0.19805364112934601</c:v>
                </c:pt>
                <c:pt idx="12">
                  <c:v>0.15536718288441601</c:v>
                </c:pt>
                <c:pt idx="13">
                  <c:v>0.18422964650607099</c:v>
                </c:pt>
                <c:pt idx="14">
                  <c:v>0.15520541943038299</c:v>
                </c:pt>
                <c:pt idx="15">
                  <c:v>0.24877341410367701</c:v>
                </c:pt>
              </c:numCache>
            </c:numRef>
          </c:val>
          <c:extLst>
            <c:ext xmlns:c16="http://schemas.microsoft.com/office/drawing/2014/chart" uri="{C3380CC4-5D6E-409C-BE32-E72D297353CC}">
              <c16:uniqueId val="{00000000-9367-494F-849A-3ED196B75007}"/>
            </c:ext>
          </c:extLst>
        </c:ser>
        <c:dLbls>
          <c:showLegendKey val="0"/>
          <c:showVal val="0"/>
          <c:showCatName val="0"/>
          <c:showSerName val="0"/>
          <c:showPercent val="0"/>
          <c:showBubbleSize val="0"/>
        </c:dLbls>
        <c:gapWidth val="219"/>
        <c:overlap val="-27"/>
        <c:axId val="1767543855"/>
        <c:axId val="707281407"/>
      </c:barChart>
      <c:catAx>
        <c:axId val="176754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81407"/>
        <c:crosses val="autoZero"/>
        <c:auto val="1"/>
        <c:lblAlgn val="ctr"/>
        <c:lblOffset val="100"/>
        <c:noMultiLvlLbl val="0"/>
      </c:catAx>
      <c:valAx>
        <c:axId val="7072814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543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CEC</a:t>
            </a:r>
            <a:r>
              <a:rPr lang="en-US" sz="1100" b="0">
                <a:solidFill>
                  <a:sysClr val="windowText" lastClr="000000"/>
                </a:solidFill>
              </a:rPr>
              <a:t>: </a:t>
            </a:r>
            <a:r>
              <a:rPr lang="en-US" sz="1100"/>
              <a:t>Lights schedule- Small office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'Interior Lights'!$B$84</c:f>
              <c:strCache>
                <c:ptCount val="1"/>
                <c:pt idx="0">
                  <c:v>CEC-Weekday</c:v>
                </c:pt>
              </c:strCache>
            </c:strRef>
          </c:tx>
          <c:spPr>
            <a:ln w="28575" cap="rnd">
              <a:solidFill>
                <a:schemeClr val="accent1"/>
              </a:solidFill>
              <a:round/>
            </a:ln>
            <a:effectLst/>
          </c:spPr>
          <c:marker>
            <c:symbol val="none"/>
          </c:marker>
          <c:cat>
            <c:multiLvlStrRef>
              <c:f>'Interior Lights'!$A$85:$A$108</c:f>
            </c:multiLvlStrRef>
          </c:cat>
          <c:val>
            <c:numRef>
              <c:f>'Interior Lights'!$B$85:$B$108</c:f>
            </c:numRef>
          </c:val>
          <c:smooth val="0"/>
          <c:extLst>
            <c:ext xmlns:c16="http://schemas.microsoft.com/office/drawing/2014/chart" uri="{C3380CC4-5D6E-409C-BE32-E72D297353CC}">
              <c16:uniqueId val="{00000000-36A0-4A6C-A608-3C0A3AD60E08}"/>
            </c:ext>
          </c:extLst>
        </c:ser>
        <c:ser>
          <c:idx val="1"/>
          <c:order val="1"/>
          <c:tx>
            <c:strRef>
              <c:f>'Interior Lights'!$C$84</c:f>
              <c:strCache>
                <c:ptCount val="1"/>
                <c:pt idx="0">
                  <c:v>CEC-Saturday</c:v>
                </c:pt>
              </c:strCache>
            </c:strRef>
          </c:tx>
          <c:spPr>
            <a:ln w="28575" cap="rnd">
              <a:solidFill>
                <a:schemeClr val="accent2"/>
              </a:solidFill>
              <a:round/>
            </a:ln>
            <a:effectLst/>
          </c:spPr>
          <c:marker>
            <c:symbol val="none"/>
          </c:marker>
          <c:cat>
            <c:multiLvlStrRef>
              <c:f>'Interior Lights'!$A$85:$A$108</c:f>
            </c:multiLvlStrRef>
          </c:cat>
          <c:val>
            <c:numRef>
              <c:f>'Interior Lights'!$C$85:$C$108</c:f>
            </c:numRef>
          </c:val>
          <c:smooth val="0"/>
          <c:extLst>
            <c:ext xmlns:c16="http://schemas.microsoft.com/office/drawing/2014/chart" uri="{C3380CC4-5D6E-409C-BE32-E72D297353CC}">
              <c16:uniqueId val="{00000001-36A0-4A6C-A608-3C0A3AD60E08}"/>
            </c:ext>
          </c:extLst>
        </c:ser>
        <c:ser>
          <c:idx val="2"/>
          <c:order val="2"/>
          <c:tx>
            <c:strRef>
              <c:f>'Interior Lights'!$D$84</c:f>
              <c:strCache>
                <c:ptCount val="1"/>
                <c:pt idx="0">
                  <c:v>CEC-Sunday</c:v>
                </c:pt>
              </c:strCache>
            </c:strRef>
          </c:tx>
          <c:spPr>
            <a:ln w="28575" cap="rnd">
              <a:solidFill>
                <a:schemeClr val="accent3"/>
              </a:solidFill>
              <a:round/>
            </a:ln>
            <a:effectLst/>
          </c:spPr>
          <c:marker>
            <c:symbol val="none"/>
          </c:marker>
          <c:cat>
            <c:multiLvlStrRef>
              <c:f>'Interior Lights'!$A$85:$A$108</c:f>
            </c:multiLvlStrRef>
          </c:cat>
          <c:val>
            <c:numRef>
              <c:f>'Interior Lights'!$D$85:$D$108</c:f>
            </c:numRef>
          </c:val>
          <c:smooth val="0"/>
          <c:extLst>
            <c:ext xmlns:c16="http://schemas.microsoft.com/office/drawing/2014/chart" uri="{C3380CC4-5D6E-409C-BE32-E72D297353CC}">
              <c16:uniqueId val="{00000002-36A0-4A6C-A608-3C0A3AD60E08}"/>
            </c:ext>
          </c:extLst>
        </c:ser>
        <c:ser>
          <c:idx val="4"/>
          <c:order val="3"/>
          <c:tx>
            <c:strRef>
              <c:f>'Interior Lights'!$F$84</c:f>
              <c:strCache>
                <c:ptCount val="1"/>
                <c:pt idx="0">
                  <c:v>DEER- Weekday</c:v>
                </c:pt>
              </c:strCache>
              <c:extLst xmlns:c15="http://schemas.microsoft.com/office/drawing/2012/chart"/>
            </c:strRef>
          </c:tx>
          <c:spPr>
            <a:ln w="28575" cap="rnd">
              <a:solidFill>
                <a:schemeClr val="accent5"/>
              </a:solidFill>
              <a:round/>
            </a:ln>
            <a:effectLst/>
          </c:spPr>
          <c:marker>
            <c:symbol val="none"/>
          </c:marker>
          <c:cat>
            <c:multiLvlStrRef>
              <c:f>'Interior Lights'!$A$85:$A$108</c:f>
            </c:multiLvlStrRef>
          </c:cat>
          <c:val>
            <c:numRef>
              <c:f>'Interior Lights'!$F$85:$F$108</c:f>
              <c:extLst xmlns:c15="http://schemas.microsoft.com/office/drawing/2012/chart"/>
            </c:numRef>
          </c:val>
          <c:smooth val="0"/>
          <c:extLst xmlns:c15="http://schemas.microsoft.com/office/drawing/2012/chart">
            <c:ext xmlns:c16="http://schemas.microsoft.com/office/drawing/2014/chart" uri="{C3380CC4-5D6E-409C-BE32-E72D297353CC}">
              <c16:uniqueId val="{00000004-36A0-4A6C-A608-3C0A3AD60E08}"/>
            </c:ext>
          </c:extLst>
        </c:ser>
        <c:ser>
          <c:idx val="5"/>
          <c:order val="4"/>
          <c:tx>
            <c:strRef>
              <c:f>'Interior Lights'!$G$84</c:f>
              <c:strCache>
                <c:ptCount val="1"/>
                <c:pt idx="0">
                  <c:v>DEER- Saturday</c:v>
                </c:pt>
              </c:strCache>
              <c:extLst xmlns:c15="http://schemas.microsoft.com/office/drawing/2012/chart"/>
            </c:strRef>
          </c:tx>
          <c:spPr>
            <a:ln w="28575" cap="rnd">
              <a:solidFill>
                <a:schemeClr val="accent6"/>
              </a:solidFill>
              <a:round/>
            </a:ln>
            <a:effectLst/>
          </c:spPr>
          <c:marker>
            <c:symbol val="none"/>
          </c:marker>
          <c:cat>
            <c:multiLvlStrRef>
              <c:f>'Interior Lights'!$A$85:$A$108</c:f>
            </c:multiLvlStrRef>
          </c:cat>
          <c:val>
            <c:numRef>
              <c:f>'Interior Lights'!$G$85:$G$108</c:f>
              <c:extLst xmlns:c15="http://schemas.microsoft.com/office/drawing/2012/chart"/>
            </c:numRef>
          </c:val>
          <c:smooth val="0"/>
          <c:extLst xmlns:c15="http://schemas.microsoft.com/office/drawing/2012/chart">
            <c:ext xmlns:c16="http://schemas.microsoft.com/office/drawing/2014/chart" uri="{C3380CC4-5D6E-409C-BE32-E72D297353CC}">
              <c16:uniqueId val="{00000005-36A0-4A6C-A608-3C0A3AD60E08}"/>
            </c:ext>
          </c:extLst>
        </c:ser>
        <c:ser>
          <c:idx val="6"/>
          <c:order val="5"/>
          <c:tx>
            <c:strRef>
              <c:f>'Interior Lights'!$H$84</c:f>
              <c:strCache>
                <c:ptCount val="1"/>
                <c:pt idx="0">
                  <c:v>DEER-Otherday</c:v>
                </c:pt>
              </c:strCache>
              <c:extLst xmlns:c15="http://schemas.microsoft.com/office/drawing/2012/chart"/>
            </c:strRef>
          </c:tx>
          <c:spPr>
            <a:ln w="28575" cap="rnd">
              <a:solidFill>
                <a:schemeClr val="accent1">
                  <a:lumMod val="60000"/>
                </a:schemeClr>
              </a:solidFill>
              <a:round/>
            </a:ln>
            <a:effectLst/>
          </c:spPr>
          <c:marker>
            <c:symbol val="none"/>
          </c:marker>
          <c:cat>
            <c:multiLvlStrRef>
              <c:f>'Interior Lights'!$A$85:$A$108</c:f>
            </c:multiLvlStrRef>
          </c:cat>
          <c:val>
            <c:numRef>
              <c:f>'Interior Lights'!$H$85:$H$108</c:f>
              <c:extLst xmlns:c15="http://schemas.microsoft.com/office/drawing/2012/chart"/>
            </c:numRef>
          </c:val>
          <c:smooth val="0"/>
          <c:extLst xmlns:c15="http://schemas.microsoft.com/office/drawing/2012/chart">
            <c:ext xmlns:c16="http://schemas.microsoft.com/office/drawing/2014/chart" uri="{C3380CC4-5D6E-409C-BE32-E72D297353CC}">
              <c16:uniqueId val="{00000006-36A0-4A6C-A608-3C0A3AD60E08}"/>
            </c:ext>
          </c:extLst>
        </c:ser>
        <c:ser>
          <c:idx val="8"/>
          <c:order val="6"/>
          <c:tx>
            <c:strRef>
              <c:f>'Interior Lights'!$J$84</c:f>
              <c:strCache>
                <c:ptCount val="1"/>
                <c:pt idx="0">
                  <c:v>PNNL-Weekday</c:v>
                </c:pt>
              </c:strCache>
              <c:extLst xmlns:c15="http://schemas.microsoft.com/office/drawing/2012/chart"/>
            </c:strRef>
          </c:tx>
          <c:spPr>
            <a:ln w="28575" cap="rnd">
              <a:solidFill>
                <a:schemeClr val="accent3">
                  <a:lumMod val="60000"/>
                </a:schemeClr>
              </a:solidFill>
              <a:round/>
            </a:ln>
            <a:effectLst/>
          </c:spPr>
          <c:marker>
            <c:symbol val="none"/>
          </c:marker>
          <c:cat>
            <c:multiLvlStrRef>
              <c:f>'Interior Lights'!$A$85:$A$108</c:f>
            </c:multiLvlStrRef>
          </c:cat>
          <c:val>
            <c:numRef>
              <c:f>'Interior Lights'!$J$85:$J$108</c:f>
              <c:extLst xmlns:c15="http://schemas.microsoft.com/office/drawing/2012/chart"/>
            </c:numRef>
          </c:val>
          <c:smooth val="0"/>
          <c:extLst xmlns:c15="http://schemas.microsoft.com/office/drawing/2012/chart">
            <c:ext xmlns:c16="http://schemas.microsoft.com/office/drawing/2014/chart" uri="{C3380CC4-5D6E-409C-BE32-E72D297353CC}">
              <c16:uniqueId val="{00000008-36A0-4A6C-A608-3C0A3AD60E08}"/>
            </c:ext>
          </c:extLst>
        </c:ser>
        <c:ser>
          <c:idx val="9"/>
          <c:order val="7"/>
          <c:tx>
            <c:strRef>
              <c:f>'Interior Lights'!$K$84</c:f>
              <c:strCache>
                <c:ptCount val="1"/>
                <c:pt idx="0">
                  <c:v>PNNL-Saturday</c:v>
                </c:pt>
              </c:strCache>
              <c:extLst xmlns:c15="http://schemas.microsoft.com/office/drawing/2012/chart"/>
            </c:strRef>
          </c:tx>
          <c:spPr>
            <a:ln w="28575" cap="rnd">
              <a:solidFill>
                <a:schemeClr val="accent4">
                  <a:lumMod val="60000"/>
                </a:schemeClr>
              </a:solidFill>
              <a:round/>
            </a:ln>
            <a:effectLst/>
          </c:spPr>
          <c:marker>
            <c:symbol val="none"/>
          </c:marker>
          <c:cat>
            <c:multiLvlStrRef>
              <c:f>'Interior Lights'!$A$85:$A$108</c:f>
            </c:multiLvlStrRef>
          </c:cat>
          <c:val>
            <c:numRef>
              <c:f>'Interior Lights'!$K$85:$K$108</c:f>
              <c:extLst xmlns:c15="http://schemas.microsoft.com/office/drawing/2012/chart"/>
            </c:numRef>
          </c:val>
          <c:smooth val="0"/>
          <c:extLst xmlns:c15="http://schemas.microsoft.com/office/drawing/2012/chart">
            <c:ext xmlns:c16="http://schemas.microsoft.com/office/drawing/2014/chart" uri="{C3380CC4-5D6E-409C-BE32-E72D297353CC}">
              <c16:uniqueId val="{00000009-36A0-4A6C-A608-3C0A3AD60E08}"/>
            </c:ext>
          </c:extLst>
        </c:ser>
        <c:ser>
          <c:idx val="10"/>
          <c:order val="8"/>
          <c:tx>
            <c:strRef>
              <c:f>'Interior Lights'!$L$84</c:f>
              <c:strCache>
                <c:ptCount val="1"/>
                <c:pt idx="0">
                  <c:v>PNNL-Otherday</c:v>
                </c:pt>
              </c:strCache>
              <c:extLst xmlns:c15="http://schemas.microsoft.com/office/drawing/2012/chart"/>
            </c:strRef>
          </c:tx>
          <c:spPr>
            <a:ln w="28575" cap="rnd">
              <a:solidFill>
                <a:schemeClr val="accent5">
                  <a:lumMod val="60000"/>
                </a:schemeClr>
              </a:solidFill>
              <a:round/>
            </a:ln>
            <a:effectLst/>
          </c:spPr>
          <c:marker>
            <c:symbol val="none"/>
          </c:marker>
          <c:cat>
            <c:multiLvlStrRef>
              <c:f>'Interior Lights'!$A$85:$A$108</c:f>
            </c:multiLvlStrRef>
          </c:cat>
          <c:val>
            <c:numRef>
              <c:f>'Interior Lights'!$L$85:$L$108</c:f>
              <c:extLst xmlns:c15="http://schemas.microsoft.com/office/drawing/2012/chart"/>
            </c:numRef>
          </c:val>
          <c:smooth val="0"/>
          <c:extLst xmlns:c15="http://schemas.microsoft.com/office/drawing/2012/chart">
            <c:ext xmlns:c16="http://schemas.microsoft.com/office/drawing/2014/chart" uri="{C3380CC4-5D6E-409C-BE32-E72D297353CC}">
              <c16:uniqueId val="{0000000A-36A0-4A6C-A608-3C0A3AD60E08}"/>
            </c:ext>
          </c:extLst>
        </c:ser>
        <c:dLbls>
          <c:showLegendKey val="0"/>
          <c:showVal val="0"/>
          <c:showCatName val="0"/>
          <c:showSerName val="0"/>
          <c:showPercent val="0"/>
          <c:showBubbleSize val="0"/>
        </c:dLbls>
        <c:marker val="1"/>
        <c:smooth val="0"/>
        <c:axId val="787384271"/>
        <c:axId val="787381871"/>
        <c:extLst/>
      </c:lineChart>
      <c:catAx>
        <c:axId val="78738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81871"/>
        <c:crosses val="autoZero"/>
        <c:auto val="1"/>
        <c:lblAlgn val="ctr"/>
        <c:lblOffset val="100"/>
        <c:noMultiLvlLbl val="0"/>
      </c:catAx>
      <c:valAx>
        <c:axId val="78738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84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PNNL</a:t>
            </a:r>
            <a:r>
              <a:rPr lang="en-US" sz="1100" b="0">
                <a:solidFill>
                  <a:sysClr val="windowText" lastClr="000000"/>
                </a:solidFill>
              </a:rPr>
              <a:t>: </a:t>
            </a:r>
            <a:r>
              <a:rPr lang="en-US" sz="1100"/>
              <a:t>Lights schedule- Small office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'Interior Lights'!$B$84</c:f>
              <c:strCache>
                <c:ptCount val="1"/>
                <c:pt idx="0">
                  <c:v>CEC-Weekday</c:v>
                </c:pt>
              </c:strCache>
              <c:extLst xmlns:c15="http://schemas.microsoft.com/office/drawing/2012/chart"/>
            </c:strRef>
          </c:tx>
          <c:spPr>
            <a:ln w="28575" cap="rnd">
              <a:solidFill>
                <a:schemeClr val="accent1"/>
              </a:solidFill>
              <a:round/>
            </a:ln>
            <a:effectLst/>
          </c:spPr>
          <c:marker>
            <c:symbol val="none"/>
          </c:marker>
          <c:cat>
            <c:multiLvlStrRef>
              <c:f>'Interior Lights'!$A$85:$A$108</c:f>
            </c:multiLvlStrRef>
          </c:cat>
          <c:val>
            <c:numRef>
              <c:f>'Interior Lights'!$B$85:$B$108</c:f>
              <c:extLst xmlns:c15="http://schemas.microsoft.com/office/drawing/2012/chart"/>
            </c:numRef>
          </c:val>
          <c:smooth val="0"/>
          <c:extLst xmlns:c15="http://schemas.microsoft.com/office/drawing/2012/chart">
            <c:ext xmlns:c16="http://schemas.microsoft.com/office/drawing/2014/chart" uri="{C3380CC4-5D6E-409C-BE32-E72D297353CC}">
              <c16:uniqueId val="{00000000-5672-49DA-9D73-0943382CB52C}"/>
            </c:ext>
          </c:extLst>
        </c:ser>
        <c:ser>
          <c:idx val="1"/>
          <c:order val="1"/>
          <c:tx>
            <c:strRef>
              <c:f>'Interior Lights'!$C$84</c:f>
              <c:strCache>
                <c:ptCount val="1"/>
                <c:pt idx="0">
                  <c:v>CEC-Saturday</c:v>
                </c:pt>
              </c:strCache>
              <c:extLst xmlns:c15="http://schemas.microsoft.com/office/drawing/2012/chart"/>
            </c:strRef>
          </c:tx>
          <c:spPr>
            <a:ln w="28575" cap="rnd">
              <a:solidFill>
                <a:schemeClr val="accent2"/>
              </a:solidFill>
              <a:round/>
            </a:ln>
            <a:effectLst/>
          </c:spPr>
          <c:marker>
            <c:symbol val="none"/>
          </c:marker>
          <c:cat>
            <c:multiLvlStrRef>
              <c:f>'Interior Lights'!$A$85:$A$108</c:f>
            </c:multiLvlStrRef>
          </c:cat>
          <c:val>
            <c:numRef>
              <c:f>'Interior Lights'!$C$85:$C$108</c:f>
              <c:extLst xmlns:c15="http://schemas.microsoft.com/office/drawing/2012/chart"/>
            </c:numRef>
          </c:val>
          <c:smooth val="0"/>
          <c:extLst xmlns:c15="http://schemas.microsoft.com/office/drawing/2012/chart">
            <c:ext xmlns:c16="http://schemas.microsoft.com/office/drawing/2014/chart" uri="{C3380CC4-5D6E-409C-BE32-E72D297353CC}">
              <c16:uniqueId val="{00000001-5672-49DA-9D73-0943382CB52C}"/>
            </c:ext>
          </c:extLst>
        </c:ser>
        <c:ser>
          <c:idx val="2"/>
          <c:order val="2"/>
          <c:tx>
            <c:strRef>
              <c:f>'Interior Lights'!$D$84</c:f>
              <c:strCache>
                <c:ptCount val="1"/>
                <c:pt idx="0">
                  <c:v>CEC-Sunday</c:v>
                </c:pt>
              </c:strCache>
              <c:extLst xmlns:c15="http://schemas.microsoft.com/office/drawing/2012/chart"/>
            </c:strRef>
          </c:tx>
          <c:spPr>
            <a:ln w="28575" cap="rnd">
              <a:solidFill>
                <a:schemeClr val="accent3"/>
              </a:solidFill>
              <a:round/>
            </a:ln>
            <a:effectLst/>
          </c:spPr>
          <c:marker>
            <c:symbol val="none"/>
          </c:marker>
          <c:cat>
            <c:multiLvlStrRef>
              <c:f>'Interior Lights'!$A$85:$A$108</c:f>
            </c:multiLvlStrRef>
          </c:cat>
          <c:val>
            <c:numRef>
              <c:f>'Interior Lights'!$D$85:$D$108</c:f>
              <c:extLst xmlns:c15="http://schemas.microsoft.com/office/drawing/2012/chart"/>
            </c:numRef>
          </c:val>
          <c:smooth val="0"/>
          <c:extLst xmlns:c15="http://schemas.microsoft.com/office/drawing/2012/chart">
            <c:ext xmlns:c16="http://schemas.microsoft.com/office/drawing/2014/chart" uri="{C3380CC4-5D6E-409C-BE32-E72D297353CC}">
              <c16:uniqueId val="{00000002-5672-49DA-9D73-0943382CB52C}"/>
            </c:ext>
          </c:extLst>
        </c:ser>
        <c:ser>
          <c:idx val="4"/>
          <c:order val="3"/>
          <c:tx>
            <c:strRef>
              <c:f>'Interior Lights'!$F$84</c:f>
              <c:strCache>
                <c:ptCount val="1"/>
                <c:pt idx="0">
                  <c:v>DEER- Weekday</c:v>
                </c:pt>
              </c:strCache>
              <c:extLst xmlns:c15="http://schemas.microsoft.com/office/drawing/2012/chart"/>
            </c:strRef>
          </c:tx>
          <c:spPr>
            <a:ln w="28575" cap="rnd">
              <a:solidFill>
                <a:schemeClr val="accent5"/>
              </a:solidFill>
              <a:round/>
            </a:ln>
            <a:effectLst/>
          </c:spPr>
          <c:marker>
            <c:symbol val="none"/>
          </c:marker>
          <c:cat>
            <c:multiLvlStrRef>
              <c:f>'Interior Lights'!$A$85:$A$108</c:f>
            </c:multiLvlStrRef>
          </c:cat>
          <c:val>
            <c:numRef>
              <c:f>'Interior Lights'!$F$85:$F$108</c:f>
              <c:extLst xmlns:c15="http://schemas.microsoft.com/office/drawing/2012/chart"/>
            </c:numRef>
          </c:val>
          <c:smooth val="0"/>
          <c:extLst xmlns:c15="http://schemas.microsoft.com/office/drawing/2012/chart">
            <c:ext xmlns:c16="http://schemas.microsoft.com/office/drawing/2014/chart" uri="{C3380CC4-5D6E-409C-BE32-E72D297353CC}">
              <c16:uniqueId val="{00000003-5672-49DA-9D73-0943382CB52C}"/>
            </c:ext>
          </c:extLst>
        </c:ser>
        <c:ser>
          <c:idx val="5"/>
          <c:order val="4"/>
          <c:tx>
            <c:strRef>
              <c:f>'Interior Lights'!$G$84</c:f>
              <c:strCache>
                <c:ptCount val="1"/>
                <c:pt idx="0">
                  <c:v>DEER- Saturday</c:v>
                </c:pt>
              </c:strCache>
              <c:extLst xmlns:c15="http://schemas.microsoft.com/office/drawing/2012/chart"/>
            </c:strRef>
          </c:tx>
          <c:spPr>
            <a:ln w="28575" cap="rnd">
              <a:solidFill>
                <a:schemeClr val="accent6"/>
              </a:solidFill>
              <a:round/>
            </a:ln>
            <a:effectLst/>
          </c:spPr>
          <c:marker>
            <c:symbol val="none"/>
          </c:marker>
          <c:cat>
            <c:multiLvlStrRef>
              <c:f>'Interior Lights'!$A$85:$A$108</c:f>
            </c:multiLvlStrRef>
          </c:cat>
          <c:val>
            <c:numRef>
              <c:f>'Interior Lights'!$G$85:$G$108</c:f>
              <c:extLst xmlns:c15="http://schemas.microsoft.com/office/drawing/2012/chart"/>
            </c:numRef>
          </c:val>
          <c:smooth val="0"/>
          <c:extLst xmlns:c15="http://schemas.microsoft.com/office/drawing/2012/chart">
            <c:ext xmlns:c16="http://schemas.microsoft.com/office/drawing/2014/chart" uri="{C3380CC4-5D6E-409C-BE32-E72D297353CC}">
              <c16:uniqueId val="{00000004-5672-49DA-9D73-0943382CB52C}"/>
            </c:ext>
          </c:extLst>
        </c:ser>
        <c:ser>
          <c:idx val="6"/>
          <c:order val="5"/>
          <c:tx>
            <c:strRef>
              <c:f>'Interior Lights'!$H$84</c:f>
              <c:strCache>
                <c:ptCount val="1"/>
                <c:pt idx="0">
                  <c:v>DEER-Otherday</c:v>
                </c:pt>
              </c:strCache>
              <c:extLst xmlns:c15="http://schemas.microsoft.com/office/drawing/2012/chart"/>
            </c:strRef>
          </c:tx>
          <c:spPr>
            <a:ln w="28575" cap="rnd">
              <a:solidFill>
                <a:schemeClr val="accent1">
                  <a:lumMod val="60000"/>
                </a:schemeClr>
              </a:solidFill>
              <a:round/>
            </a:ln>
            <a:effectLst/>
          </c:spPr>
          <c:marker>
            <c:symbol val="none"/>
          </c:marker>
          <c:cat>
            <c:multiLvlStrRef>
              <c:f>'Interior Lights'!$A$85:$A$108</c:f>
            </c:multiLvlStrRef>
          </c:cat>
          <c:val>
            <c:numRef>
              <c:f>'Interior Lights'!$H$85:$H$108</c:f>
              <c:extLst xmlns:c15="http://schemas.microsoft.com/office/drawing/2012/chart"/>
            </c:numRef>
          </c:val>
          <c:smooth val="0"/>
          <c:extLst xmlns:c15="http://schemas.microsoft.com/office/drawing/2012/chart">
            <c:ext xmlns:c16="http://schemas.microsoft.com/office/drawing/2014/chart" uri="{C3380CC4-5D6E-409C-BE32-E72D297353CC}">
              <c16:uniqueId val="{00000005-5672-49DA-9D73-0943382CB52C}"/>
            </c:ext>
          </c:extLst>
        </c:ser>
        <c:ser>
          <c:idx val="8"/>
          <c:order val="6"/>
          <c:tx>
            <c:strRef>
              <c:f>'Interior Lights'!$J$84</c:f>
              <c:strCache>
                <c:ptCount val="1"/>
                <c:pt idx="0">
                  <c:v>PNNL-Weekday</c:v>
                </c:pt>
              </c:strCache>
              <c:extLst xmlns:c15="http://schemas.microsoft.com/office/drawing/2012/chart"/>
            </c:strRef>
          </c:tx>
          <c:spPr>
            <a:ln w="28575" cap="rnd">
              <a:solidFill>
                <a:schemeClr val="accent3">
                  <a:lumMod val="60000"/>
                </a:schemeClr>
              </a:solidFill>
              <a:round/>
            </a:ln>
            <a:effectLst/>
          </c:spPr>
          <c:marker>
            <c:symbol val="none"/>
          </c:marker>
          <c:cat>
            <c:multiLvlStrRef>
              <c:f>'Interior Lights'!$A$85:$A$108</c:f>
            </c:multiLvlStrRef>
          </c:cat>
          <c:val>
            <c:numRef>
              <c:f>'Interior Lights'!$J$85:$J$108</c:f>
              <c:extLst xmlns:c15="http://schemas.microsoft.com/office/drawing/2012/chart"/>
            </c:numRef>
          </c:val>
          <c:smooth val="0"/>
          <c:extLst>
            <c:ext xmlns:c16="http://schemas.microsoft.com/office/drawing/2014/chart" uri="{C3380CC4-5D6E-409C-BE32-E72D297353CC}">
              <c16:uniqueId val="{00000006-5672-49DA-9D73-0943382CB52C}"/>
            </c:ext>
          </c:extLst>
        </c:ser>
        <c:ser>
          <c:idx val="9"/>
          <c:order val="7"/>
          <c:tx>
            <c:strRef>
              <c:f>'Interior Lights'!$K$84</c:f>
              <c:strCache>
                <c:ptCount val="1"/>
                <c:pt idx="0">
                  <c:v>PNNL-Saturday</c:v>
                </c:pt>
              </c:strCache>
              <c:extLst xmlns:c15="http://schemas.microsoft.com/office/drawing/2012/chart"/>
            </c:strRef>
          </c:tx>
          <c:spPr>
            <a:ln w="28575" cap="rnd">
              <a:solidFill>
                <a:schemeClr val="accent4">
                  <a:lumMod val="60000"/>
                </a:schemeClr>
              </a:solidFill>
              <a:round/>
            </a:ln>
            <a:effectLst/>
          </c:spPr>
          <c:marker>
            <c:symbol val="none"/>
          </c:marker>
          <c:cat>
            <c:multiLvlStrRef>
              <c:f>'Interior Lights'!$A$85:$A$108</c:f>
            </c:multiLvlStrRef>
          </c:cat>
          <c:val>
            <c:numRef>
              <c:f>'Interior Lights'!$K$85:$K$108</c:f>
              <c:extLst xmlns:c15="http://schemas.microsoft.com/office/drawing/2012/chart"/>
            </c:numRef>
          </c:val>
          <c:smooth val="0"/>
          <c:extLst>
            <c:ext xmlns:c16="http://schemas.microsoft.com/office/drawing/2014/chart" uri="{C3380CC4-5D6E-409C-BE32-E72D297353CC}">
              <c16:uniqueId val="{00000007-5672-49DA-9D73-0943382CB52C}"/>
            </c:ext>
          </c:extLst>
        </c:ser>
        <c:ser>
          <c:idx val="10"/>
          <c:order val="8"/>
          <c:tx>
            <c:strRef>
              <c:f>'Interior Lights'!$L$84</c:f>
              <c:strCache>
                <c:ptCount val="1"/>
                <c:pt idx="0">
                  <c:v>PNNL-Otherday</c:v>
                </c:pt>
              </c:strCache>
              <c:extLst xmlns:c15="http://schemas.microsoft.com/office/drawing/2012/chart"/>
            </c:strRef>
          </c:tx>
          <c:spPr>
            <a:ln w="28575" cap="rnd">
              <a:solidFill>
                <a:schemeClr val="accent5">
                  <a:lumMod val="60000"/>
                </a:schemeClr>
              </a:solidFill>
              <a:round/>
            </a:ln>
            <a:effectLst/>
          </c:spPr>
          <c:marker>
            <c:symbol val="none"/>
          </c:marker>
          <c:cat>
            <c:multiLvlStrRef>
              <c:f>'Interior Lights'!$A$85:$A$108</c:f>
            </c:multiLvlStrRef>
          </c:cat>
          <c:val>
            <c:numRef>
              <c:f>'Interior Lights'!$L$85:$L$108</c:f>
              <c:extLst xmlns:c15="http://schemas.microsoft.com/office/drawing/2012/chart"/>
            </c:numRef>
          </c:val>
          <c:smooth val="0"/>
          <c:extLst>
            <c:ext xmlns:c16="http://schemas.microsoft.com/office/drawing/2014/chart" uri="{C3380CC4-5D6E-409C-BE32-E72D297353CC}">
              <c16:uniqueId val="{00000008-5672-49DA-9D73-0943382CB52C}"/>
            </c:ext>
          </c:extLst>
        </c:ser>
        <c:dLbls>
          <c:showLegendKey val="0"/>
          <c:showVal val="0"/>
          <c:showCatName val="0"/>
          <c:showSerName val="0"/>
          <c:showPercent val="0"/>
          <c:showBubbleSize val="0"/>
        </c:dLbls>
        <c:marker val="1"/>
        <c:smooth val="0"/>
        <c:axId val="787384271"/>
        <c:axId val="787381871"/>
        <c:extLst/>
      </c:lineChart>
      <c:catAx>
        <c:axId val="78738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81871"/>
        <c:crosses val="autoZero"/>
        <c:auto val="1"/>
        <c:lblAlgn val="ctr"/>
        <c:lblOffset val="100"/>
        <c:noMultiLvlLbl val="0"/>
      </c:catAx>
      <c:valAx>
        <c:axId val="78738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84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DEER</a:t>
            </a:r>
            <a:r>
              <a:rPr lang="en-US" sz="1100" b="0">
                <a:solidFill>
                  <a:sysClr val="windowText" lastClr="000000"/>
                </a:solidFill>
              </a:rPr>
              <a:t>: </a:t>
            </a:r>
            <a:r>
              <a:rPr lang="en-US" sz="1100"/>
              <a:t>Lights schedule- Small office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'Interior Lights'!$B$84</c:f>
              <c:strCache>
                <c:ptCount val="1"/>
                <c:pt idx="0">
                  <c:v>CEC-Weekday</c:v>
                </c:pt>
              </c:strCache>
              <c:extLst xmlns:c15="http://schemas.microsoft.com/office/drawing/2012/chart"/>
            </c:strRef>
          </c:tx>
          <c:spPr>
            <a:ln w="28575" cap="rnd">
              <a:solidFill>
                <a:schemeClr val="accent1"/>
              </a:solidFill>
              <a:round/>
            </a:ln>
            <a:effectLst/>
          </c:spPr>
          <c:marker>
            <c:symbol val="none"/>
          </c:marker>
          <c:cat>
            <c:multiLvlStrRef>
              <c:f>'Interior Lights'!$A$85:$A$108</c:f>
            </c:multiLvlStrRef>
          </c:cat>
          <c:val>
            <c:numRef>
              <c:f>'Interior Lights'!$B$85:$B$108</c:f>
              <c:extLst xmlns:c15="http://schemas.microsoft.com/office/drawing/2012/chart"/>
            </c:numRef>
          </c:val>
          <c:smooth val="0"/>
          <c:extLst xmlns:c15="http://schemas.microsoft.com/office/drawing/2012/chart">
            <c:ext xmlns:c16="http://schemas.microsoft.com/office/drawing/2014/chart" uri="{C3380CC4-5D6E-409C-BE32-E72D297353CC}">
              <c16:uniqueId val="{00000003-2114-4653-AB87-DCE79D7B2F87}"/>
            </c:ext>
          </c:extLst>
        </c:ser>
        <c:ser>
          <c:idx val="1"/>
          <c:order val="1"/>
          <c:tx>
            <c:strRef>
              <c:f>'Interior Lights'!$C$84</c:f>
              <c:strCache>
                <c:ptCount val="1"/>
                <c:pt idx="0">
                  <c:v>CEC-Saturday</c:v>
                </c:pt>
              </c:strCache>
              <c:extLst xmlns:c15="http://schemas.microsoft.com/office/drawing/2012/chart"/>
            </c:strRef>
          </c:tx>
          <c:spPr>
            <a:ln w="28575" cap="rnd">
              <a:solidFill>
                <a:schemeClr val="accent2"/>
              </a:solidFill>
              <a:round/>
            </a:ln>
            <a:effectLst/>
          </c:spPr>
          <c:marker>
            <c:symbol val="none"/>
          </c:marker>
          <c:cat>
            <c:multiLvlStrRef>
              <c:f>'Interior Lights'!$A$85:$A$108</c:f>
            </c:multiLvlStrRef>
          </c:cat>
          <c:val>
            <c:numRef>
              <c:f>'Interior Lights'!$C$85:$C$108</c:f>
              <c:extLst xmlns:c15="http://schemas.microsoft.com/office/drawing/2012/chart"/>
            </c:numRef>
          </c:val>
          <c:smooth val="0"/>
          <c:extLst xmlns:c15="http://schemas.microsoft.com/office/drawing/2012/chart">
            <c:ext xmlns:c16="http://schemas.microsoft.com/office/drawing/2014/chart" uri="{C3380CC4-5D6E-409C-BE32-E72D297353CC}">
              <c16:uniqueId val="{00000004-2114-4653-AB87-DCE79D7B2F87}"/>
            </c:ext>
          </c:extLst>
        </c:ser>
        <c:ser>
          <c:idx val="2"/>
          <c:order val="2"/>
          <c:tx>
            <c:strRef>
              <c:f>'Interior Lights'!$D$84</c:f>
              <c:strCache>
                <c:ptCount val="1"/>
                <c:pt idx="0">
                  <c:v>CEC-Sunday</c:v>
                </c:pt>
              </c:strCache>
              <c:extLst xmlns:c15="http://schemas.microsoft.com/office/drawing/2012/chart"/>
            </c:strRef>
          </c:tx>
          <c:spPr>
            <a:ln w="28575" cap="rnd">
              <a:solidFill>
                <a:schemeClr val="accent3"/>
              </a:solidFill>
              <a:round/>
            </a:ln>
            <a:effectLst/>
          </c:spPr>
          <c:marker>
            <c:symbol val="none"/>
          </c:marker>
          <c:cat>
            <c:multiLvlStrRef>
              <c:f>'Interior Lights'!$A$85:$A$108</c:f>
            </c:multiLvlStrRef>
          </c:cat>
          <c:val>
            <c:numRef>
              <c:f>'Interior Lights'!$D$85:$D$108</c:f>
              <c:extLst xmlns:c15="http://schemas.microsoft.com/office/drawing/2012/chart"/>
            </c:numRef>
          </c:val>
          <c:smooth val="0"/>
          <c:extLst xmlns:c15="http://schemas.microsoft.com/office/drawing/2012/chart">
            <c:ext xmlns:c16="http://schemas.microsoft.com/office/drawing/2014/chart" uri="{C3380CC4-5D6E-409C-BE32-E72D297353CC}">
              <c16:uniqueId val="{00000005-2114-4653-AB87-DCE79D7B2F87}"/>
            </c:ext>
          </c:extLst>
        </c:ser>
        <c:ser>
          <c:idx val="4"/>
          <c:order val="3"/>
          <c:tx>
            <c:strRef>
              <c:f>'Interior Lights'!$F$84</c:f>
              <c:strCache>
                <c:ptCount val="1"/>
                <c:pt idx="0">
                  <c:v>DEER- Weekday</c:v>
                </c:pt>
              </c:strCache>
              <c:extLst xmlns:c15="http://schemas.microsoft.com/office/drawing/2012/chart"/>
            </c:strRef>
          </c:tx>
          <c:spPr>
            <a:ln w="28575" cap="rnd">
              <a:solidFill>
                <a:schemeClr val="accent5"/>
              </a:solidFill>
              <a:round/>
            </a:ln>
            <a:effectLst/>
          </c:spPr>
          <c:marker>
            <c:symbol val="none"/>
          </c:marker>
          <c:cat>
            <c:multiLvlStrRef>
              <c:f>'Interior Lights'!$A$85:$A$108</c:f>
            </c:multiLvlStrRef>
          </c:cat>
          <c:val>
            <c:numRef>
              <c:f>'Interior Lights'!$F$85:$F$108</c:f>
              <c:extLst xmlns:c15="http://schemas.microsoft.com/office/drawing/2012/chart"/>
            </c:numRef>
          </c:val>
          <c:smooth val="0"/>
          <c:extLst>
            <c:ext xmlns:c16="http://schemas.microsoft.com/office/drawing/2014/chart" uri="{C3380CC4-5D6E-409C-BE32-E72D297353CC}">
              <c16:uniqueId val="{00000006-2114-4653-AB87-DCE79D7B2F87}"/>
            </c:ext>
          </c:extLst>
        </c:ser>
        <c:ser>
          <c:idx val="5"/>
          <c:order val="4"/>
          <c:tx>
            <c:strRef>
              <c:f>'Interior Lights'!$G$84</c:f>
              <c:strCache>
                <c:ptCount val="1"/>
                <c:pt idx="0">
                  <c:v>DEER- Saturday</c:v>
                </c:pt>
              </c:strCache>
              <c:extLst xmlns:c15="http://schemas.microsoft.com/office/drawing/2012/chart"/>
            </c:strRef>
          </c:tx>
          <c:spPr>
            <a:ln w="28575" cap="rnd">
              <a:solidFill>
                <a:schemeClr val="accent6"/>
              </a:solidFill>
              <a:round/>
            </a:ln>
            <a:effectLst/>
          </c:spPr>
          <c:marker>
            <c:symbol val="none"/>
          </c:marker>
          <c:cat>
            <c:multiLvlStrRef>
              <c:f>'Interior Lights'!$A$85:$A$108</c:f>
            </c:multiLvlStrRef>
          </c:cat>
          <c:val>
            <c:numRef>
              <c:f>'Interior Lights'!$G$85:$G$108</c:f>
              <c:extLst xmlns:c15="http://schemas.microsoft.com/office/drawing/2012/chart"/>
            </c:numRef>
          </c:val>
          <c:smooth val="0"/>
          <c:extLst>
            <c:ext xmlns:c16="http://schemas.microsoft.com/office/drawing/2014/chart" uri="{C3380CC4-5D6E-409C-BE32-E72D297353CC}">
              <c16:uniqueId val="{00000007-2114-4653-AB87-DCE79D7B2F87}"/>
            </c:ext>
          </c:extLst>
        </c:ser>
        <c:ser>
          <c:idx val="6"/>
          <c:order val="5"/>
          <c:tx>
            <c:strRef>
              <c:f>'Interior Lights'!$H$84</c:f>
              <c:strCache>
                <c:ptCount val="1"/>
                <c:pt idx="0">
                  <c:v>DEER-Otherday</c:v>
                </c:pt>
              </c:strCache>
              <c:extLst xmlns:c15="http://schemas.microsoft.com/office/drawing/2012/chart"/>
            </c:strRef>
          </c:tx>
          <c:spPr>
            <a:ln w="28575" cap="rnd">
              <a:solidFill>
                <a:schemeClr val="accent1">
                  <a:lumMod val="60000"/>
                </a:schemeClr>
              </a:solidFill>
              <a:round/>
            </a:ln>
            <a:effectLst/>
          </c:spPr>
          <c:marker>
            <c:symbol val="none"/>
          </c:marker>
          <c:cat>
            <c:multiLvlStrRef>
              <c:f>'Interior Lights'!$A$85:$A$108</c:f>
            </c:multiLvlStrRef>
          </c:cat>
          <c:val>
            <c:numRef>
              <c:f>'Interior Lights'!$H$85:$H$108</c:f>
              <c:extLst xmlns:c15="http://schemas.microsoft.com/office/drawing/2012/chart"/>
            </c:numRef>
          </c:val>
          <c:smooth val="0"/>
          <c:extLst>
            <c:ext xmlns:c16="http://schemas.microsoft.com/office/drawing/2014/chart" uri="{C3380CC4-5D6E-409C-BE32-E72D297353CC}">
              <c16:uniqueId val="{00000008-2114-4653-AB87-DCE79D7B2F87}"/>
            </c:ext>
          </c:extLst>
        </c:ser>
        <c:ser>
          <c:idx val="8"/>
          <c:order val="6"/>
          <c:tx>
            <c:strRef>
              <c:f>'Interior Lights'!$J$84</c:f>
              <c:strCache>
                <c:ptCount val="1"/>
                <c:pt idx="0">
                  <c:v>PNNL-Weekday</c:v>
                </c:pt>
              </c:strCache>
              <c:extLst xmlns:c15="http://schemas.microsoft.com/office/drawing/2012/chart"/>
            </c:strRef>
          </c:tx>
          <c:spPr>
            <a:ln w="28575" cap="rnd">
              <a:solidFill>
                <a:schemeClr val="accent3">
                  <a:lumMod val="60000"/>
                </a:schemeClr>
              </a:solidFill>
              <a:round/>
            </a:ln>
            <a:effectLst/>
          </c:spPr>
          <c:marker>
            <c:symbol val="none"/>
          </c:marker>
          <c:cat>
            <c:multiLvlStrRef>
              <c:f>'Interior Lights'!$A$85:$A$108</c:f>
            </c:multiLvlStrRef>
          </c:cat>
          <c:val>
            <c:numRef>
              <c:f>'Interior Lights'!$J$85:$J$108</c:f>
              <c:extLst xmlns:c15="http://schemas.microsoft.com/office/drawing/2012/chart"/>
            </c:numRef>
          </c:val>
          <c:smooth val="0"/>
          <c:extLst xmlns:c15="http://schemas.microsoft.com/office/drawing/2012/chart">
            <c:ext xmlns:c16="http://schemas.microsoft.com/office/drawing/2014/chart" uri="{C3380CC4-5D6E-409C-BE32-E72D297353CC}">
              <c16:uniqueId val="{00000000-2114-4653-AB87-DCE79D7B2F87}"/>
            </c:ext>
          </c:extLst>
        </c:ser>
        <c:ser>
          <c:idx val="9"/>
          <c:order val="7"/>
          <c:tx>
            <c:strRef>
              <c:f>'Interior Lights'!$K$84</c:f>
              <c:strCache>
                <c:ptCount val="1"/>
                <c:pt idx="0">
                  <c:v>PNNL-Saturday</c:v>
                </c:pt>
              </c:strCache>
              <c:extLst xmlns:c15="http://schemas.microsoft.com/office/drawing/2012/chart"/>
            </c:strRef>
          </c:tx>
          <c:spPr>
            <a:ln w="28575" cap="rnd">
              <a:solidFill>
                <a:schemeClr val="accent4">
                  <a:lumMod val="60000"/>
                </a:schemeClr>
              </a:solidFill>
              <a:round/>
            </a:ln>
            <a:effectLst/>
          </c:spPr>
          <c:marker>
            <c:symbol val="none"/>
          </c:marker>
          <c:cat>
            <c:multiLvlStrRef>
              <c:f>'Interior Lights'!$A$85:$A$108</c:f>
            </c:multiLvlStrRef>
          </c:cat>
          <c:val>
            <c:numRef>
              <c:f>'Interior Lights'!$K$85:$K$108</c:f>
              <c:extLst xmlns:c15="http://schemas.microsoft.com/office/drawing/2012/chart"/>
            </c:numRef>
          </c:val>
          <c:smooth val="0"/>
          <c:extLst xmlns:c15="http://schemas.microsoft.com/office/drawing/2012/chart">
            <c:ext xmlns:c16="http://schemas.microsoft.com/office/drawing/2014/chart" uri="{C3380CC4-5D6E-409C-BE32-E72D297353CC}">
              <c16:uniqueId val="{00000001-2114-4653-AB87-DCE79D7B2F87}"/>
            </c:ext>
          </c:extLst>
        </c:ser>
        <c:ser>
          <c:idx val="10"/>
          <c:order val="8"/>
          <c:tx>
            <c:strRef>
              <c:f>'Interior Lights'!$L$84</c:f>
              <c:strCache>
                <c:ptCount val="1"/>
                <c:pt idx="0">
                  <c:v>PNNL-Otherday</c:v>
                </c:pt>
              </c:strCache>
              <c:extLst xmlns:c15="http://schemas.microsoft.com/office/drawing/2012/chart"/>
            </c:strRef>
          </c:tx>
          <c:spPr>
            <a:ln w="28575" cap="rnd">
              <a:solidFill>
                <a:schemeClr val="accent5">
                  <a:lumMod val="60000"/>
                </a:schemeClr>
              </a:solidFill>
              <a:round/>
            </a:ln>
            <a:effectLst/>
          </c:spPr>
          <c:marker>
            <c:symbol val="none"/>
          </c:marker>
          <c:cat>
            <c:multiLvlStrRef>
              <c:f>'Interior Lights'!$A$85:$A$108</c:f>
            </c:multiLvlStrRef>
          </c:cat>
          <c:val>
            <c:numRef>
              <c:f>'Interior Lights'!$L$85:$L$108</c:f>
              <c:extLst xmlns:c15="http://schemas.microsoft.com/office/drawing/2012/chart"/>
            </c:numRef>
          </c:val>
          <c:smooth val="0"/>
          <c:extLst xmlns:c15="http://schemas.microsoft.com/office/drawing/2012/chart">
            <c:ext xmlns:c16="http://schemas.microsoft.com/office/drawing/2014/chart" uri="{C3380CC4-5D6E-409C-BE32-E72D297353CC}">
              <c16:uniqueId val="{00000002-2114-4653-AB87-DCE79D7B2F87}"/>
            </c:ext>
          </c:extLst>
        </c:ser>
        <c:dLbls>
          <c:showLegendKey val="0"/>
          <c:showVal val="0"/>
          <c:showCatName val="0"/>
          <c:showSerName val="0"/>
          <c:showPercent val="0"/>
          <c:showBubbleSize val="0"/>
        </c:dLbls>
        <c:marker val="1"/>
        <c:smooth val="0"/>
        <c:axId val="787384271"/>
        <c:axId val="787381871"/>
        <c:extLst/>
      </c:lineChart>
      <c:catAx>
        <c:axId val="78738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81871"/>
        <c:crosses val="autoZero"/>
        <c:auto val="1"/>
        <c:lblAlgn val="ctr"/>
        <c:lblOffset val="100"/>
        <c:noMultiLvlLbl val="0"/>
      </c:catAx>
      <c:valAx>
        <c:axId val="78738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84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PNNL</a:t>
            </a:r>
            <a:r>
              <a:rPr lang="en-US" sz="1050" b="1"/>
              <a:t>:</a:t>
            </a:r>
            <a:r>
              <a:rPr lang="en-US" sz="1050"/>
              <a:t> </a:t>
            </a:r>
            <a:r>
              <a:rPr lang="en-US" sz="1050" b="0" i="0" u="none" strike="noStrike" kern="1200" spc="0" baseline="0">
                <a:solidFill>
                  <a:sysClr val="windowText" lastClr="000000"/>
                </a:solidFill>
              </a:rPr>
              <a:t>Occpancy Schedule- Small office</a:t>
            </a:r>
            <a:endParaRPr lang="en-US" sz="1050"/>
          </a:p>
        </c:rich>
      </c:tx>
      <c:layout>
        <c:manualLayout>
          <c:xMode val="edge"/>
          <c:yMode val="edge"/>
          <c:x val="0.19171028919591523"/>
          <c:y val="2.4841221562180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Occupnacy!$B$68</c:f>
              <c:strCache>
                <c:ptCount val="1"/>
                <c:pt idx="0">
                  <c:v>PNNL (Core+ 3 Perimeter)</c:v>
                </c:pt>
              </c:strCache>
            </c:strRef>
          </c:tx>
          <c:spPr>
            <a:ln w="28575" cap="rnd">
              <a:solidFill>
                <a:schemeClr val="accent1"/>
              </a:solidFill>
              <a:round/>
            </a:ln>
            <a:effectLst/>
          </c:spPr>
          <c:marker>
            <c:symbol val="none"/>
          </c:marker>
          <c:cat>
            <c:numRef>
              <c:f>Occupnacy!$A$69:$A$92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Occupnacy!$B$69:$B$92</c:f>
              <c:numCache>
                <c:formatCode>General</c:formatCode>
                <c:ptCount val="24"/>
                <c:pt idx="0">
                  <c:v>0</c:v>
                </c:pt>
                <c:pt idx="1">
                  <c:v>0</c:v>
                </c:pt>
                <c:pt idx="2">
                  <c:v>0</c:v>
                </c:pt>
                <c:pt idx="3">
                  <c:v>0</c:v>
                </c:pt>
                <c:pt idx="4">
                  <c:v>0</c:v>
                </c:pt>
                <c:pt idx="5">
                  <c:v>0</c:v>
                </c:pt>
                <c:pt idx="6">
                  <c:v>0.11</c:v>
                </c:pt>
                <c:pt idx="7">
                  <c:v>0.21</c:v>
                </c:pt>
                <c:pt idx="8">
                  <c:v>1</c:v>
                </c:pt>
                <c:pt idx="9">
                  <c:v>1</c:v>
                </c:pt>
                <c:pt idx="10">
                  <c:v>1</c:v>
                </c:pt>
                <c:pt idx="11">
                  <c:v>1</c:v>
                </c:pt>
                <c:pt idx="12">
                  <c:v>1</c:v>
                </c:pt>
                <c:pt idx="13">
                  <c:v>0.61</c:v>
                </c:pt>
                <c:pt idx="14">
                  <c:v>1</c:v>
                </c:pt>
                <c:pt idx="15">
                  <c:v>1</c:v>
                </c:pt>
                <c:pt idx="16">
                  <c:v>1</c:v>
                </c:pt>
                <c:pt idx="17">
                  <c:v>1</c:v>
                </c:pt>
                <c:pt idx="18">
                  <c:v>0.32</c:v>
                </c:pt>
                <c:pt idx="19">
                  <c:v>0.11</c:v>
                </c:pt>
                <c:pt idx="20">
                  <c:v>0.11</c:v>
                </c:pt>
                <c:pt idx="21">
                  <c:v>0.11</c:v>
                </c:pt>
                <c:pt idx="22">
                  <c:v>0.05</c:v>
                </c:pt>
                <c:pt idx="23">
                  <c:v>0</c:v>
                </c:pt>
              </c:numCache>
            </c:numRef>
          </c:val>
          <c:smooth val="0"/>
          <c:extLst>
            <c:ext xmlns:c16="http://schemas.microsoft.com/office/drawing/2014/chart" uri="{C3380CC4-5D6E-409C-BE32-E72D297353CC}">
              <c16:uniqueId val="{00000000-938C-4DAC-9E90-9F0246FEFFA8}"/>
            </c:ext>
          </c:extLst>
        </c:ser>
        <c:ser>
          <c:idx val="1"/>
          <c:order val="1"/>
          <c:tx>
            <c:strRef>
              <c:f>Occupnacy!$C$68</c:f>
              <c:strCache>
                <c:ptCount val="1"/>
                <c:pt idx="0">
                  <c:v>PNNL( 1 Perimeter)</c:v>
                </c:pt>
              </c:strCache>
            </c:strRef>
          </c:tx>
          <c:spPr>
            <a:ln w="28575" cap="rnd">
              <a:solidFill>
                <a:schemeClr val="accent2"/>
              </a:solidFill>
              <a:prstDash val="dash"/>
              <a:round/>
            </a:ln>
            <a:effectLst/>
          </c:spPr>
          <c:marker>
            <c:symbol val="none"/>
          </c:marker>
          <c:cat>
            <c:numRef>
              <c:f>Occupnacy!$A$69:$A$92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Occupnacy!$C$69:$C$92</c:f>
              <c:numCache>
                <c:formatCode>General</c:formatCode>
                <c:ptCount val="24"/>
                <c:pt idx="0">
                  <c:v>0</c:v>
                </c:pt>
                <c:pt idx="1">
                  <c:v>0</c:v>
                </c:pt>
                <c:pt idx="2">
                  <c:v>0</c:v>
                </c:pt>
                <c:pt idx="3">
                  <c:v>0</c:v>
                </c:pt>
                <c:pt idx="4">
                  <c:v>0</c:v>
                </c:pt>
                <c:pt idx="5">
                  <c:v>0</c:v>
                </c:pt>
                <c:pt idx="6">
                  <c:v>0.11</c:v>
                </c:pt>
                <c:pt idx="7">
                  <c:v>0.21</c:v>
                </c:pt>
                <c:pt idx="8">
                  <c:v>1</c:v>
                </c:pt>
                <c:pt idx="9">
                  <c:v>1</c:v>
                </c:pt>
                <c:pt idx="10">
                  <c:v>0</c:v>
                </c:pt>
                <c:pt idx="11">
                  <c:v>1</c:v>
                </c:pt>
                <c:pt idx="12">
                  <c:v>0</c:v>
                </c:pt>
                <c:pt idx="13">
                  <c:v>1</c:v>
                </c:pt>
                <c:pt idx="14">
                  <c:v>0</c:v>
                </c:pt>
                <c:pt idx="15">
                  <c:v>1</c:v>
                </c:pt>
                <c:pt idx="16">
                  <c:v>1</c:v>
                </c:pt>
                <c:pt idx="17">
                  <c:v>0.32</c:v>
                </c:pt>
                <c:pt idx="18">
                  <c:v>0.11</c:v>
                </c:pt>
                <c:pt idx="19">
                  <c:v>0.11</c:v>
                </c:pt>
                <c:pt idx="20">
                  <c:v>0.11</c:v>
                </c:pt>
                <c:pt idx="21">
                  <c:v>0.11</c:v>
                </c:pt>
                <c:pt idx="22">
                  <c:v>0.05</c:v>
                </c:pt>
                <c:pt idx="23">
                  <c:v>0</c:v>
                </c:pt>
              </c:numCache>
            </c:numRef>
          </c:val>
          <c:smooth val="0"/>
          <c:extLst>
            <c:ext xmlns:c16="http://schemas.microsoft.com/office/drawing/2014/chart" uri="{C3380CC4-5D6E-409C-BE32-E72D297353CC}">
              <c16:uniqueId val="{00000001-938C-4DAC-9E90-9F0246FEFFA8}"/>
            </c:ext>
          </c:extLst>
        </c:ser>
        <c:dLbls>
          <c:showLegendKey val="0"/>
          <c:showVal val="0"/>
          <c:showCatName val="0"/>
          <c:showSerName val="0"/>
          <c:showPercent val="0"/>
          <c:showBubbleSize val="0"/>
        </c:dLbls>
        <c:smooth val="0"/>
        <c:axId val="1948449903"/>
        <c:axId val="1948435023"/>
      </c:lineChart>
      <c:catAx>
        <c:axId val="194844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35023"/>
        <c:crosses val="autoZero"/>
        <c:auto val="1"/>
        <c:lblAlgn val="ctr"/>
        <c:lblOffset val="100"/>
        <c:noMultiLvlLbl val="0"/>
      </c:catAx>
      <c:valAx>
        <c:axId val="194843502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49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DEER</a:t>
            </a:r>
            <a:r>
              <a:rPr lang="en-US"/>
              <a:t>: </a:t>
            </a:r>
            <a:r>
              <a:rPr lang="en-US" sz="1050" b="0" i="0" u="none" strike="noStrike" kern="1200" spc="0" baseline="0">
                <a:solidFill>
                  <a:sysClr val="windowText" lastClr="000000"/>
                </a:solidFill>
              </a:rPr>
              <a:t>Occpancy Schedule- Small office</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Occupnacy!$E$68</c:f>
              <c:strCache>
                <c:ptCount val="1"/>
                <c:pt idx="0">
                  <c:v>DEER Normal day</c:v>
                </c:pt>
              </c:strCache>
            </c:strRef>
          </c:tx>
          <c:spPr>
            <a:ln w="28575" cap="rnd">
              <a:solidFill>
                <a:schemeClr val="accent3"/>
              </a:solidFill>
              <a:round/>
            </a:ln>
            <a:effectLst/>
          </c:spPr>
          <c:marker>
            <c:symbol val="none"/>
          </c:marker>
          <c:cat>
            <c:numRef>
              <c:f>Occupnacy!$A$69:$A$92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Occupnacy!$E$69:$E$92</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smooth val="0"/>
          <c:extLst>
            <c:ext xmlns:c16="http://schemas.microsoft.com/office/drawing/2014/chart" uri="{C3380CC4-5D6E-409C-BE32-E72D297353CC}">
              <c16:uniqueId val="{00000000-B6E7-4267-AE9D-6157B45EA6EA}"/>
            </c:ext>
          </c:extLst>
        </c:ser>
        <c:ser>
          <c:idx val="3"/>
          <c:order val="3"/>
          <c:tx>
            <c:strRef>
              <c:f>Occupnacy!$F$68</c:f>
              <c:strCache>
                <c:ptCount val="1"/>
                <c:pt idx="0">
                  <c:v>DEER Saturday</c:v>
                </c:pt>
              </c:strCache>
              <c:extLst xmlns:c15="http://schemas.microsoft.com/office/drawing/2012/chart"/>
            </c:strRef>
          </c:tx>
          <c:spPr>
            <a:ln w="28575" cap="rnd">
              <a:solidFill>
                <a:schemeClr val="accent4"/>
              </a:solidFill>
              <a:round/>
            </a:ln>
            <a:effectLst/>
          </c:spPr>
          <c:marker>
            <c:symbol val="none"/>
          </c:marker>
          <c:cat>
            <c:numRef>
              <c:f>Occupnacy!$A$69:$A$92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extLst xmlns:c15="http://schemas.microsoft.com/office/drawing/2012/chart"/>
            </c:numRef>
          </c:cat>
          <c:val>
            <c:numRef>
              <c:f>Occupnacy!$F$69:$F$92</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extLst xmlns:c15="http://schemas.microsoft.com/office/drawing/2012/chart"/>
            </c:numRef>
          </c:val>
          <c:smooth val="0"/>
          <c:extLst>
            <c:ext xmlns:c16="http://schemas.microsoft.com/office/drawing/2014/chart" uri="{C3380CC4-5D6E-409C-BE32-E72D297353CC}">
              <c16:uniqueId val="{00000001-B6E7-4267-AE9D-6157B45EA6EA}"/>
            </c:ext>
          </c:extLst>
        </c:ser>
        <c:ser>
          <c:idx val="4"/>
          <c:order val="4"/>
          <c:tx>
            <c:strRef>
              <c:f>Occupnacy!$G$68</c:f>
              <c:strCache>
                <c:ptCount val="1"/>
                <c:pt idx="0">
                  <c:v>DEER (Other day)</c:v>
                </c:pt>
              </c:strCache>
              <c:extLst xmlns:c15="http://schemas.microsoft.com/office/drawing/2012/chart"/>
            </c:strRef>
          </c:tx>
          <c:spPr>
            <a:ln w="28575" cap="rnd">
              <a:solidFill>
                <a:schemeClr val="accent5"/>
              </a:solidFill>
              <a:round/>
            </a:ln>
            <a:effectLst/>
          </c:spPr>
          <c:marker>
            <c:symbol val="none"/>
          </c:marker>
          <c:cat>
            <c:numRef>
              <c:f>Occupnacy!$A$69:$A$92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extLst xmlns:c15="http://schemas.microsoft.com/office/drawing/2012/chart"/>
            </c:numRef>
          </c:cat>
          <c:val>
            <c:numRef>
              <c:f>Occupnacy!$G$69:$G$92</c:f>
              <c:numCache>
                <c:formatCode>General</c:formatCode>
                <c:ptCount val="24"/>
                <c:pt idx="0">
                  <c:v>0</c:v>
                </c:pt>
                <c:pt idx="1">
                  <c:v>0</c:v>
                </c:pt>
                <c:pt idx="2">
                  <c:v>0</c:v>
                </c:pt>
                <c:pt idx="3">
                  <c:v>0</c:v>
                </c:pt>
                <c:pt idx="4">
                  <c:v>0</c:v>
                </c:pt>
                <c:pt idx="5">
                  <c:v>0</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c:v>
                </c:pt>
                <c:pt idx="19">
                  <c:v>0</c:v>
                </c:pt>
                <c:pt idx="20">
                  <c:v>0</c:v>
                </c:pt>
                <c:pt idx="21">
                  <c:v>0</c:v>
                </c:pt>
                <c:pt idx="22">
                  <c:v>0</c:v>
                </c:pt>
                <c:pt idx="23">
                  <c:v>0</c:v>
                </c:pt>
              </c:numCache>
              <c:extLst xmlns:c15="http://schemas.microsoft.com/office/drawing/2012/chart"/>
            </c:numRef>
          </c:val>
          <c:smooth val="0"/>
          <c:extLst>
            <c:ext xmlns:c16="http://schemas.microsoft.com/office/drawing/2014/chart" uri="{C3380CC4-5D6E-409C-BE32-E72D297353CC}">
              <c16:uniqueId val="{00000002-B6E7-4267-AE9D-6157B45EA6EA}"/>
            </c:ext>
          </c:extLst>
        </c:ser>
        <c:dLbls>
          <c:showLegendKey val="0"/>
          <c:showVal val="0"/>
          <c:showCatName val="0"/>
          <c:showSerName val="0"/>
          <c:showPercent val="0"/>
          <c:showBubbleSize val="0"/>
        </c:dLbls>
        <c:smooth val="0"/>
        <c:axId val="125811183"/>
        <c:axId val="125833263"/>
        <c:extLst>
          <c:ext xmlns:c15="http://schemas.microsoft.com/office/drawing/2012/chart" uri="{02D57815-91ED-43cb-92C2-25804820EDAC}">
            <c15:filteredLineSeries>
              <c15:ser>
                <c:idx val="0"/>
                <c:order val="0"/>
                <c:tx>
                  <c:strRef>
                    <c:extLst>
                      <c:ext uri="{02D57815-91ED-43cb-92C2-25804820EDAC}">
                        <c15:formulaRef>
                          <c15:sqref>Occupnacy!$B$68</c15:sqref>
                        </c15:formulaRef>
                      </c:ext>
                    </c:extLst>
                    <c:strCache>
                      <c:ptCount val="1"/>
                      <c:pt idx="0">
                        <c:v>PNNL (Core+ 3 Perimeter)</c:v>
                      </c:pt>
                    </c:strCache>
                  </c:strRef>
                </c:tx>
                <c:spPr>
                  <a:ln w="28575" cap="rnd">
                    <a:solidFill>
                      <a:schemeClr val="accent1"/>
                    </a:solidFill>
                    <a:round/>
                  </a:ln>
                  <a:effectLst/>
                </c:spPr>
                <c:marker>
                  <c:symbol val="none"/>
                </c:marker>
                <c:cat>
                  <c:numRef>
                    <c:extLst>
                      <c:ext uri="{02D57815-91ED-43cb-92C2-25804820EDAC}">
                        <c15:formulaRef>
                          <c15:sqref>Occupnacy!$A$69:$A$92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Occupnacy!$B$69:$B$92</c15:sqref>
                        </c15:formulaRef>
                      </c:ext>
                    </c:extLst>
                    <c:numCache>
                      <c:formatCode>General</c:formatCode>
                      <c:ptCount val="24"/>
                      <c:pt idx="0">
                        <c:v>0</c:v>
                      </c:pt>
                      <c:pt idx="1">
                        <c:v>0</c:v>
                      </c:pt>
                      <c:pt idx="2">
                        <c:v>0</c:v>
                      </c:pt>
                      <c:pt idx="3">
                        <c:v>0</c:v>
                      </c:pt>
                      <c:pt idx="4">
                        <c:v>0</c:v>
                      </c:pt>
                      <c:pt idx="5">
                        <c:v>0</c:v>
                      </c:pt>
                      <c:pt idx="6">
                        <c:v>0.11</c:v>
                      </c:pt>
                      <c:pt idx="7">
                        <c:v>0.21</c:v>
                      </c:pt>
                      <c:pt idx="8">
                        <c:v>1</c:v>
                      </c:pt>
                      <c:pt idx="9">
                        <c:v>1</c:v>
                      </c:pt>
                      <c:pt idx="10">
                        <c:v>1</c:v>
                      </c:pt>
                      <c:pt idx="11">
                        <c:v>1</c:v>
                      </c:pt>
                      <c:pt idx="12">
                        <c:v>1</c:v>
                      </c:pt>
                      <c:pt idx="13">
                        <c:v>0.61</c:v>
                      </c:pt>
                      <c:pt idx="14">
                        <c:v>1</c:v>
                      </c:pt>
                      <c:pt idx="15">
                        <c:v>1</c:v>
                      </c:pt>
                      <c:pt idx="16">
                        <c:v>1</c:v>
                      </c:pt>
                      <c:pt idx="17">
                        <c:v>1</c:v>
                      </c:pt>
                      <c:pt idx="18">
                        <c:v>0.32</c:v>
                      </c:pt>
                      <c:pt idx="19">
                        <c:v>0.11</c:v>
                      </c:pt>
                      <c:pt idx="20">
                        <c:v>0.11</c:v>
                      </c:pt>
                      <c:pt idx="21">
                        <c:v>0.11</c:v>
                      </c:pt>
                      <c:pt idx="22">
                        <c:v>0.05</c:v>
                      </c:pt>
                      <c:pt idx="23">
                        <c:v>0</c:v>
                      </c:pt>
                    </c:numCache>
                  </c:numRef>
                </c:val>
                <c:smooth val="0"/>
                <c:extLst>
                  <c:ext xmlns:c16="http://schemas.microsoft.com/office/drawing/2014/chart" uri="{C3380CC4-5D6E-409C-BE32-E72D297353CC}">
                    <c16:uniqueId val="{00000003-B6E7-4267-AE9D-6157B45EA6E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Occupnacy!$C$68</c15:sqref>
                        </c15:formulaRef>
                      </c:ext>
                    </c:extLst>
                    <c:strCache>
                      <c:ptCount val="1"/>
                      <c:pt idx="0">
                        <c:v>PNNL( 1 Perimeter)</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Occupnacy!$A$69:$A$92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Occupnacy!$C$69:$C$92</c15:sqref>
                        </c15:formulaRef>
                      </c:ext>
                    </c:extLst>
                    <c:numCache>
                      <c:formatCode>General</c:formatCode>
                      <c:ptCount val="24"/>
                      <c:pt idx="0">
                        <c:v>0</c:v>
                      </c:pt>
                      <c:pt idx="1">
                        <c:v>0</c:v>
                      </c:pt>
                      <c:pt idx="2">
                        <c:v>0</c:v>
                      </c:pt>
                      <c:pt idx="3">
                        <c:v>0</c:v>
                      </c:pt>
                      <c:pt idx="4">
                        <c:v>0</c:v>
                      </c:pt>
                      <c:pt idx="5">
                        <c:v>0</c:v>
                      </c:pt>
                      <c:pt idx="6">
                        <c:v>0.11</c:v>
                      </c:pt>
                      <c:pt idx="7">
                        <c:v>0.21</c:v>
                      </c:pt>
                      <c:pt idx="8">
                        <c:v>1</c:v>
                      </c:pt>
                      <c:pt idx="9">
                        <c:v>1</c:v>
                      </c:pt>
                      <c:pt idx="10">
                        <c:v>0</c:v>
                      </c:pt>
                      <c:pt idx="11">
                        <c:v>1</c:v>
                      </c:pt>
                      <c:pt idx="12">
                        <c:v>0</c:v>
                      </c:pt>
                      <c:pt idx="13">
                        <c:v>1</c:v>
                      </c:pt>
                      <c:pt idx="14">
                        <c:v>0</c:v>
                      </c:pt>
                      <c:pt idx="15">
                        <c:v>1</c:v>
                      </c:pt>
                      <c:pt idx="16">
                        <c:v>1</c:v>
                      </c:pt>
                      <c:pt idx="17">
                        <c:v>0.32</c:v>
                      </c:pt>
                      <c:pt idx="18">
                        <c:v>0.11</c:v>
                      </c:pt>
                      <c:pt idx="19">
                        <c:v>0.11</c:v>
                      </c:pt>
                      <c:pt idx="20">
                        <c:v>0.11</c:v>
                      </c:pt>
                      <c:pt idx="21">
                        <c:v>0.11</c:v>
                      </c:pt>
                      <c:pt idx="22">
                        <c:v>0.05</c:v>
                      </c:pt>
                      <c:pt idx="23">
                        <c:v>0</c:v>
                      </c:pt>
                    </c:numCache>
                  </c:numRef>
                </c:val>
                <c:smooth val="0"/>
                <c:extLst xmlns:c15="http://schemas.microsoft.com/office/drawing/2012/chart">
                  <c:ext xmlns:c16="http://schemas.microsoft.com/office/drawing/2014/chart" uri="{C3380CC4-5D6E-409C-BE32-E72D297353CC}">
                    <c16:uniqueId val="{00000004-B6E7-4267-AE9D-6157B45EA6EA}"/>
                  </c:ext>
                </c:extLst>
              </c15:ser>
            </c15:filteredLineSeries>
          </c:ext>
        </c:extLst>
      </c:lineChart>
      <c:catAx>
        <c:axId val="12581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33263"/>
        <c:crosses val="autoZero"/>
        <c:auto val="1"/>
        <c:lblAlgn val="ctr"/>
        <c:lblOffset val="100"/>
        <c:noMultiLvlLbl val="0"/>
      </c:catAx>
      <c:valAx>
        <c:axId val="12583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1.png"/><Relationship Id="rId7" Type="http://schemas.openxmlformats.org/officeDocument/2006/relationships/image" Target="../media/image10.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12.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17</xdr:row>
      <xdr:rowOff>152400</xdr:rowOff>
    </xdr:from>
    <xdr:to>
      <xdr:col>1</xdr:col>
      <xdr:colOff>5240655</xdr:colOff>
      <xdr:row>27</xdr:row>
      <xdr:rowOff>129540</xdr:rowOff>
    </xdr:to>
    <xdr:pic>
      <xdr:nvPicPr>
        <xdr:cNvPr id="7" name="Picture 1">
          <a:extLst>
            <a:ext uri="{FF2B5EF4-FFF2-40B4-BE49-F238E27FC236}">
              <a16:creationId xmlns:a16="http://schemas.microsoft.com/office/drawing/2014/main" id="{C3CA583B-F9BE-4F3F-B7DD-7FD80A44173B}"/>
            </a:ext>
          </a:extLst>
        </xdr:cNvPr>
        <xdr:cNvPicPr>
          <a:picLocks noChangeAspect="1"/>
        </xdr:cNvPicPr>
      </xdr:nvPicPr>
      <xdr:blipFill>
        <a:blip xmlns:r="http://schemas.openxmlformats.org/officeDocument/2006/relationships" r:embed="rId1"/>
        <a:stretch>
          <a:fillRect/>
        </a:stretch>
      </xdr:blipFill>
      <xdr:spPr>
        <a:xfrm>
          <a:off x="1047750" y="2924175"/>
          <a:ext cx="5191125" cy="1600200"/>
        </a:xfrm>
        <a:prstGeom prst="rect">
          <a:avLst/>
        </a:prstGeom>
        <a:ln w="3175">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50</xdr:row>
      <xdr:rowOff>93072</xdr:rowOff>
    </xdr:from>
    <xdr:to>
      <xdr:col>3</xdr:col>
      <xdr:colOff>1030941</xdr:colOff>
      <xdr:row>63</xdr:row>
      <xdr:rowOff>19321</xdr:rowOff>
    </xdr:to>
    <xdr:graphicFrame macro="">
      <xdr:nvGraphicFramePr>
        <xdr:cNvPr id="9" name="Chart 8">
          <a:extLst>
            <a:ext uri="{FF2B5EF4-FFF2-40B4-BE49-F238E27FC236}">
              <a16:creationId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1049545</xdr:colOff>
      <xdr:row>50</xdr:row>
      <xdr:rowOff>115526</xdr:rowOff>
    </xdr:from>
    <xdr:to>
      <xdr:col>8</xdr:col>
      <xdr:colOff>223552</xdr:colOff>
      <xdr:row>63</xdr:row>
      <xdr:rowOff>21993</xdr:rowOff>
    </xdr:to>
    <xdr:graphicFrame macro="">
      <xdr:nvGraphicFramePr>
        <xdr:cNvPr id="10" name="Chart 9">
          <a:extLst>
            <a:ext uri="{FF2B5EF4-FFF2-40B4-BE49-F238E27FC236}">
              <a16:creationId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251828</xdr:colOff>
      <xdr:row>50</xdr:row>
      <xdr:rowOff>113065</xdr:rowOff>
    </xdr:from>
    <xdr:to>
      <xdr:col>13</xdr:col>
      <xdr:colOff>326651</xdr:colOff>
      <xdr:row>62</xdr:row>
      <xdr:rowOff>209824</xdr:rowOff>
    </xdr:to>
    <xdr:graphicFrame macro="">
      <xdr:nvGraphicFramePr>
        <xdr:cNvPr id="11" name="Chart 10">
          <a:extLst>
            <a:ext uri="{FF2B5EF4-FFF2-40B4-BE49-F238E27FC236}">
              <a16:creationId xmlns:a16="http://schemas.microsoft.com/office/drawing/2014/main" id="{00000000-0008-0000-0F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38100</xdr:colOff>
      <xdr:row>38</xdr:row>
      <xdr:rowOff>0</xdr:rowOff>
    </xdr:from>
    <xdr:to>
      <xdr:col>14</xdr:col>
      <xdr:colOff>249554</xdr:colOff>
      <xdr:row>50</xdr:row>
      <xdr:rowOff>95250</xdr:rowOff>
    </xdr:to>
    <xdr:graphicFrame macro="">
      <xdr:nvGraphicFramePr>
        <xdr:cNvPr id="32" name="Chart 4">
          <a:extLst>
            <a:ext uri="{FF2B5EF4-FFF2-40B4-BE49-F238E27FC236}">
              <a16:creationId xmlns:a16="http://schemas.microsoft.com/office/drawing/2014/main" id="{F391909B-C2C0-967D-F8A9-8B71DE849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138883</xdr:colOff>
      <xdr:row>38</xdr:row>
      <xdr:rowOff>47625</xdr:rowOff>
    </xdr:from>
    <xdr:to>
      <xdr:col>3</xdr:col>
      <xdr:colOff>1152525</xdr:colOff>
      <xdr:row>50</xdr:row>
      <xdr:rowOff>66674</xdr:rowOff>
    </xdr:to>
    <xdr:graphicFrame macro="">
      <xdr:nvGraphicFramePr>
        <xdr:cNvPr id="33" name="Chart 5">
          <a:extLst>
            <a:ext uri="{FF2B5EF4-FFF2-40B4-BE49-F238E27FC236}">
              <a16:creationId xmlns:a16="http://schemas.microsoft.com/office/drawing/2014/main" id="{CEFE1435-937F-461A-B4D1-F4FB67BE1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1040130</xdr:colOff>
      <xdr:row>37</xdr:row>
      <xdr:rowOff>121920</xdr:rowOff>
    </xdr:from>
    <xdr:to>
      <xdr:col>8</xdr:col>
      <xdr:colOff>0</xdr:colOff>
      <xdr:row>50</xdr:row>
      <xdr:rowOff>66675</xdr:rowOff>
    </xdr:to>
    <xdr:graphicFrame macro="">
      <xdr:nvGraphicFramePr>
        <xdr:cNvPr id="29" name="Chart 6">
          <a:extLst>
            <a:ext uri="{FF2B5EF4-FFF2-40B4-BE49-F238E27FC236}">
              <a16:creationId xmlns:a16="http://schemas.microsoft.com/office/drawing/2014/main" id="{18D3FECB-99F3-4E11-B893-46EC0117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28</xdr:col>
      <xdr:colOff>289560</xdr:colOff>
      <xdr:row>1</xdr:row>
      <xdr:rowOff>251791</xdr:rowOff>
    </xdr:from>
    <xdr:to>
      <xdr:col>35</xdr:col>
      <xdr:colOff>0</xdr:colOff>
      <xdr:row>5</xdr:row>
      <xdr:rowOff>364434</xdr:rowOff>
    </xdr:to>
    <xdr:graphicFrame macro="">
      <xdr:nvGraphicFramePr>
        <xdr:cNvPr id="9" name="Chart 5">
          <a:extLst>
            <a:ext uri="{FF2B5EF4-FFF2-40B4-BE49-F238E27FC236}">
              <a16:creationId xmlns:a16="http://schemas.microsoft.com/office/drawing/2014/main" id="{CBDA0656-8164-4FA8-8BE7-79F7FE5F5FB7}"/>
            </a:ext>
            <a:ext uri="{147F2762-F138-4A5C-976F-8EAC2B608ADB}">
              <a16:predDERef xmlns:a16="http://schemas.microsoft.com/office/drawing/2014/main" pred="{DBBB3571-9962-4A3F-82BD-C5E36308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289560</xdr:colOff>
      <xdr:row>6</xdr:row>
      <xdr:rowOff>0</xdr:rowOff>
    </xdr:from>
    <xdr:to>
      <xdr:col>35</xdr:col>
      <xdr:colOff>0</xdr:colOff>
      <xdr:row>8</xdr:row>
      <xdr:rowOff>391886</xdr:rowOff>
    </xdr:to>
    <xdr:graphicFrame macro="">
      <xdr:nvGraphicFramePr>
        <xdr:cNvPr id="18" name="Chart 5">
          <a:extLst>
            <a:ext uri="{FF2B5EF4-FFF2-40B4-BE49-F238E27FC236}">
              <a16:creationId xmlns:a16="http://schemas.microsoft.com/office/drawing/2014/main" id="{D1C87CF7-6396-404E-8ACD-112AC14A41DC}"/>
            </a:ext>
            <a:ext uri="{147F2762-F138-4A5C-976F-8EAC2B608ADB}">
              <a16:predDERef xmlns:a16="http://schemas.microsoft.com/office/drawing/2014/main" pred="{DBBB3571-9962-4A3F-82BD-C5E36308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315686</xdr:colOff>
      <xdr:row>9</xdr:row>
      <xdr:rowOff>0</xdr:rowOff>
    </xdr:from>
    <xdr:to>
      <xdr:col>35</xdr:col>
      <xdr:colOff>26126</xdr:colOff>
      <xdr:row>12</xdr:row>
      <xdr:rowOff>0</xdr:rowOff>
    </xdr:to>
    <xdr:graphicFrame macro="">
      <xdr:nvGraphicFramePr>
        <xdr:cNvPr id="19" name="Chart 5">
          <a:extLst>
            <a:ext uri="{FF2B5EF4-FFF2-40B4-BE49-F238E27FC236}">
              <a16:creationId xmlns:a16="http://schemas.microsoft.com/office/drawing/2014/main" id="{6467D4B0-6F0E-43CB-958A-F19CE6AFCF64}"/>
            </a:ext>
            <a:ext uri="{147F2762-F138-4A5C-976F-8EAC2B608ADB}">
              <a16:predDERef xmlns:a16="http://schemas.microsoft.com/office/drawing/2014/main" pred="{DBBB3571-9962-4A3F-82BD-C5E36308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326572</xdr:colOff>
      <xdr:row>12</xdr:row>
      <xdr:rowOff>54429</xdr:rowOff>
    </xdr:from>
    <xdr:to>
      <xdr:col>35</xdr:col>
      <xdr:colOff>37012</xdr:colOff>
      <xdr:row>15</xdr:row>
      <xdr:rowOff>119744</xdr:rowOff>
    </xdr:to>
    <xdr:graphicFrame macro="">
      <xdr:nvGraphicFramePr>
        <xdr:cNvPr id="20" name="Chart 5">
          <a:extLst>
            <a:ext uri="{FF2B5EF4-FFF2-40B4-BE49-F238E27FC236}">
              <a16:creationId xmlns:a16="http://schemas.microsoft.com/office/drawing/2014/main" id="{A67B757E-11F2-4D63-8049-87A030D08F47}"/>
            </a:ext>
            <a:ext uri="{147F2762-F138-4A5C-976F-8EAC2B608ADB}">
              <a16:predDERef xmlns:a16="http://schemas.microsoft.com/office/drawing/2014/main" pred="{DBBB3571-9962-4A3F-82BD-C5E36308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289560</xdr:colOff>
      <xdr:row>15</xdr:row>
      <xdr:rowOff>337457</xdr:rowOff>
    </xdr:from>
    <xdr:to>
      <xdr:col>35</xdr:col>
      <xdr:colOff>0</xdr:colOff>
      <xdr:row>19</xdr:row>
      <xdr:rowOff>0</xdr:rowOff>
    </xdr:to>
    <xdr:graphicFrame macro="">
      <xdr:nvGraphicFramePr>
        <xdr:cNvPr id="21" name="Chart 5">
          <a:extLst>
            <a:ext uri="{FF2B5EF4-FFF2-40B4-BE49-F238E27FC236}">
              <a16:creationId xmlns:a16="http://schemas.microsoft.com/office/drawing/2014/main" id="{2E6CA2C7-E4AB-4DC1-A50A-FEBB0B9CA814}"/>
            </a:ext>
            <a:ext uri="{147F2762-F138-4A5C-976F-8EAC2B608ADB}">
              <a16:predDERef xmlns:a16="http://schemas.microsoft.com/office/drawing/2014/main" pred="{DBBB3571-9962-4A3F-82BD-C5E36308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289560</xdr:colOff>
      <xdr:row>19</xdr:row>
      <xdr:rowOff>130628</xdr:rowOff>
    </xdr:from>
    <xdr:to>
      <xdr:col>35</xdr:col>
      <xdr:colOff>0</xdr:colOff>
      <xdr:row>24</xdr:row>
      <xdr:rowOff>0</xdr:rowOff>
    </xdr:to>
    <xdr:graphicFrame macro="">
      <xdr:nvGraphicFramePr>
        <xdr:cNvPr id="24" name="Chart 5">
          <a:extLst>
            <a:ext uri="{FF2B5EF4-FFF2-40B4-BE49-F238E27FC236}">
              <a16:creationId xmlns:a16="http://schemas.microsoft.com/office/drawing/2014/main" id="{43375B62-1004-4C9E-9CB5-ED0EF57BA9C1}"/>
            </a:ext>
            <a:ext uri="{147F2762-F138-4A5C-976F-8EAC2B608ADB}">
              <a16:predDERef xmlns:a16="http://schemas.microsoft.com/office/drawing/2014/main" pred="{DBBB3571-9962-4A3F-82BD-C5E36308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291465</xdr:colOff>
      <xdr:row>29</xdr:row>
      <xdr:rowOff>97267</xdr:rowOff>
    </xdr:from>
    <xdr:to>
      <xdr:col>35</xdr:col>
      <xdr:colOff>0</xdr:colOff>
      <xdr:row>33</xdr:row>
      <xdr:rowOff>0</xdr:rowOff>
    </xdr:to>
    <xdr:graphicFrame macro="">
      <xdr:nvGraphicFramePr>
        <xdr:cNvPr id="3" name="Chart 5">
          <a:extLst>
            <a:ext uri="{FF2B5EF4-FFF2-40B4-BE49-F238E27FC236}">
              <a16:creationId xmlns:a16="http://schemas.microsoft.com/office/drawing/2014/main" id="{5A999577-F135-454E-AC54-3B86805F4DDA}"/>
            </a:ext>
            <a:ext uri="{147F2762-F138-4A5C-976F-8EAC2B608ADB}">
              <a16:predDERef xmlns:a16="http://schemas.microsoft.com/office/drawing/2014/main" pred="{DBBB3571-9962-4A3F-82BD-C5E36308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361117</xdr:colOff>
      <xdr:row>23</xdr:row>
      <xdr:rowOff>64379</xdr:rowOff>
    </xdr:from>
    <xdr:to>
      <xdr:col>9</xdr:col>
      <xdr:colOff>276225</xdr:colOff>
      <xdr:row>33</xdr:row>
      <xdr:rowOff>38100</xdr:rowOff>
    </xdr:to>
    <xdr:pic>
      <xdr:nvPicPr>
        <xdr:cNvPr id="2" name="Picture 1">
          <a:extLst>
            <a:ext uri="{FF2B5EF4-FFF2-40B4-BE49-F238E27FC236}">
              <a16:creationId xmlns:a16="http://schemas.microsoft.com/office/drawing/2014/main" id="{15DE42FE-DB82-CA33-93C9-98E617BB08AC}"/>
            </a:ext>
          </a:extLst>
        </xdr:cNvPr>
        <xdr:cNvPicPr>
          <a:picLocks noChangeAspect="1"/>
        </xdr:cNvPicPr>
      </xdr:nvPicPr>
      <xdr:blipFill>
        <a:blip xmlns:r="http://schemas.openxmlformats.org/officeDocument/2006/relationships" r:embed="rId1"/>
        <a:stretch>
          <a:fillRect/>
        </a:stretch>
      </xdr:blipFill>
      <xdr:spPr>
        <a:xfrm>
          <a:off x="361117" y="4245854"/>
          <a:ext cx="5401508" cy="1783471"/>
        </a:xfrm>
        <a:prstGeom prst="rect">
          <a:avLst/>
        </a:prstGeom>
      </xdr:spPr>
    </xdr:pic>
    <xdr:clientData/>
  </xdr:twoCellAnchor>
  <xdr:twoCellAnchor editAs="oneCell">
    <xdr:from>
      <xdr:col>0</xdr:col>
      <xdr:colOff>114300</xdr:colOff>
      <xdr:row>14</xdr:row>
      <xdr:rowOff>113328</xdr:rowOff>
    </xdr:from>
    <xdr:to>
      <xdr:col>10</xdr:col>
      <xdr:colOff>220980</xdr:colOff>
      <xdr:row>23</xdr:row>
      <xdr:rowOff>0</xdr:rowOff>
    </xdr:to>
    <xdr:pic>
      <xdr:nvPicPr>
        <xdr:cNvPr id="3" name="Picture 2">
          <a:extLst>
            <a:ext uri="{FF2B5EF4-FFF2-40B4-BE49-F238E27FC236}">
              <a16:creationId xmlns:a16="http://schemas.microsoft.com/office/drawing/2014/main" id="{C7999785-E4AD-A320-5B89-5FC85AE47E44}"/>
            </a:ext>
          </a:extLst>
        </xdr:cNvPr>
        <xdr:cNvPicPr>
          <a:picLocks noChangeAspect="1"/>
        </xdr:cNvPicPr>
      </xdr:nvPicPr>
      <xdr:blipFill>
        <a:blip xmlns:r="http://schemas.openxmlformats.org/officeDocument/2006/relationships" r:embed="rId2"/>
        <a:stretch>
          <a:fillRect/>
        </a:stretch>
      </xdr:blipFill>
      <xdr:spPr>
        <a:xfrm>
          <a:off x="114300" y="2688888"/>
          <a:ext cx="6202680" cy="153259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114300</xdr:colOff>
      <xdr:row>52</xdr:row>
      <xdr:rowOff>60960</xdr:rowOff>
    </xdr:from>
    <xdr:to>
      <xdr:col>4</xdr:col>
      <xdr:colOff>38100</xdr:colOff>
      <xdr:row>63</xdr:row>
      <xdr:rowOff>86639</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723900" y="9867900"/>
          <a:ext cx="2415540" cy="20373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392430</xdr:colOff>
      <xdr:row>6</xdr:row>
      <xdr:rowOff>68580</xdr:rowOff>
    </xdr:from>
    <xdr:ext cx="2461637" cy="1120140"/>
    <xdr:pic>
      <xdr:nvPicPr>
        <xdr:cNvPr id="5" name="Picture 1" descr="Screen Clipping">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11705" y="1316355"/>
          <a:ext cx="2461637" cy="1120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12</xdr:col>
      <xdr:colOff>52799</xdr:colOff>
      <xdr:row>0</xdr:row>
      <xdr:rowOff>310607</xdr:rowOff>
    </xdr:from>
    <xdr:to>
      <xdr:col>15</xdr:col>
      <xdr:colOff>424275</xdr:colOff>
      <xdr:row>15</xdr:row>
      <xdr:rowOff>115898</xdr:rowOff>
    </xdr:to>
    <xdr:pic>
      <xdr:nvPicPr>
        <xdr:cNvPr id="9" name="Picture 4">
          <a:extLst>
            <a:ext uri="{FF2B5EF4-FFF2-40B4-BE49-F238E27FC236}">
              <a16:creationId xmlns:a16="http://schemas.microsoft.com/office/drawing/2014/main" id="{7C8D4F26-1AEB-54FE-9C88-074887C74771}"/>
            </a:ext>
            <a:ext uri="{147F2762-F138-4A5C-976F-8EAC2B608ADB}">
              <a16:predDERef xmlns:a16="http://schemas.microsoft.com/office/drawing/2014/main" pred="{00000000-0008-0000-0200-00000B000000}"/>
            </a:ext>
          </a:extLst>
        </xdr:cNvPr>
        <xdr:cNvPicPr>
          <a:picLocks noChangeAspect="1"/>
        </xdr:cNvPicPr>
      </xdr:nvPicPr>
      <xdr:blipFill>
        <a:blip xmlns:r="http://schemas.openxmlformats.org/officeDocument/2006/relationships" r:embed="rId1"/>
        <a:stretch>
          <a:fillRect/>
        </a:stretch>
      </xdr:blipFill>
      <xdr:spPr>
        <a:xfrm>
          <a:off x="12740099" y="310607"/>
          <a:ext cx="4874896" cy="3668631"/>
        </a:xfrm>
        <a:prstGeom prst="rect">
          <a:avLst/>
        </a:prstGeom>
      </xdr:spPr>
    </xdr:pic>
    <xdr:clientData/>
  </xdr:twoCellAnchor>
  <xdr:twoCellAnchor>
    <xdr:from>
      <xdr:col>12</xdr:col>
      <xdr:colOff>1282561</xdr:colOff>
      <xdr:row>0</xdr:row>
      <xdr:rowOff>35035</xdr:rowOff>
    </xdr:from>
    <xdr:to>
      <xdr:col>12</xdr:col>
      <xdr:colOff>1282561</xdr:colOff>
      <xdr:row>0</xdr:row>
      <xdr:rowOff>321779</xdr:rowOff>
    </xdr:to>
    <xdr:cxnSp macro="">
      <xdr:nvCxnSpPr>
        <xdr:cNvPr id="4" name="Straight Arrow Connector 3">
          <a:extLst>
            <a:ext uri="{FF2B5EF4-FFF2-40B4-BE49-F238E27FC236}">
              <a16:creationId xmlns:a16="http://schemas.microsoft.com/office/drawing/2014/main" id="{BB0EC946-BDB6-09C9-DB60-21B21720AE71}"/>
            </a:ext>
          </a:extLst>
        </xdr:cNvPr>
        <xdr:cNvCxnSpPr/>
      </xdr:nvCxnSpPr>
      <xdr:spPr>
        <a:xfrm flipV="1">
          <a:off x="12000257" y="35035"/>
          <a:ext cx="0" cy="286744"/>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1325218</xdr:colOff>
      <xdr:row>0</xdr:row>
      <xdr:rowOff>67505</xdr:rowOff>
    </xdr:from>
    <xdr:to>
      <xdr:col>12</xdr:col>
      <xdr:colOff>1565412</xdr:colOff>
      <xdr:row>1</xdr:row>
      <xdr:rowOff>103203</xdr:rowOff>
    </xdr:to>
    <xdr:sp macro="" textlink="">
      <xdr:nvSpPr>
        <xdr:cNvPr id="8" name="TextBox 7">
          <a:extLst>
            <a:ext uri="{FF2B5EF4-FFF2-40B4-BE49-F238E27FC236}">
              <a16:creationId xmlns:a16="http://schemas.microsoft.com/office/drawing/2014/main" id="{1DDDC35D-79DC-FE8D-E36B-A215903DCB00}"/>
            </a:ext>
          </a:extLst>
        </xdr:cNvPr>
        <xdr:cNvSpPr txBox="1"/>
      </xdr:nvSpPr>
      <xdr:spPr>
        <a:xfrm>
          <a:off x="13855148" y="67505"/>
          <a:ext cx="240194" cy="360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N</a:t>
          </a:r>
        </a:p>
      </xdr:txBody>
    </xdr:sp>
    <xdr:clientData/>
  </xdr:twoCellAnchor>
  <xdr:twoCellAnchor>
    <xdr:from>
      <xdr:col>8</xdr:col>
      <xdr:colOff>699247</xdr:colOff>
      <xdr:row>36</xdr:row>
      <xdr:rowOff>824751</xdr:rowOff>
    </xdr:from>
    <xdr:to>
      <xdr:col>13</xdr:col>
      <xdr:colOff>1392150</xdr:colOff>
      <xdr:row>48</xdr:row>
      <xdr:rowOff>27880</xdr:rowOff>
    </xdr:to>
    <xdr:pic>
      <xdr:nvPicPr>
        <xdr:cNvPr id="11" name="Picture 10">
          <a:extLst>
            <a:ext uri="{FF2B5EF4-FFF2-40B4-BE49-F238E27FC236}">
              <a16:creationId xmlns:a16="http://schemas.microsoft.com/office/drawing/2014/main" id="{9C0EDC9F-6248-C878-AF18-0C99D41AE64D}"/>
            </a:ext>
          </a:extLst>
        </xdr:cNvPr>
        <xdr:cNvPicPr>
          <a:picLocks noChangeAspect="1"/>
        </xdr:cNvPicPr>
      </xdr:nvPicPr>
      <xdr:blipFill>
        <a:blip xmlns:r="http://schemas.openxmlformats.org/officeDocument/2006/relationships" r:embed="rId2"/>
        <a:stretch>
          <a:fillRect/>
        </a:stretch>
      </xdr:blipFill>
      <xdr:spPr>
        <a:xfrm>
          <a:off x="8901953" y="8695763"/>
          <a:ext cx="6735115" cy="3057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1040174</xdr:colOff>
      <xdr:row>207</xdr:row>
      <xdr:rowOff>45944</xdr:rowOff>
    </xdr:from>
    <xdr:to>
      <xdr:col>9</xdr:col>
      <xdr:colOff>3810</xdr:colOff>
      <xdr:row>218</xdr:row>
      <xdr:rowOff>1905</xdr:rowOff>
    </xdr:to>
    <xdr:pic>
      <xdr:nvPicPr>
        <xdr:cNvPr id="58"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2167615" y="39636326"/>
          <a:ext cx="2142297" cy="1847850"/>
        </a:xfrm>
        <a:prstGeom prst="rect">
          <a:avLst/>
        </a:prstGeom>
      </xdr:spPr>
    </xdr:pic>
    <xdr:clientData/>
  </xdr:twoCellAnchor>
  <xdr:twoCellAnchor>
    <xdr:from>
      <xdr:col>7</xdr:col>
      <xdr:colOff>540973</xdr:colOff>
      <xdr:row>85</xdr:row>
      <xdr:rowOff>174795</xdr:rowOff>
    </xdr:from>
    <xdr:to>
      <xdr:col>15</xdr:col>
      <xdr:colOff>5012</xdr:colOff>
      <xdr:row>104</xdr:row>
      <xdr:rowOff>16344</xdr:rowOff>
    </xdr:to>
    <xdr:pic>
      <xdr:nvPicPr>
        <xdr:cNvPr id="57"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4733223" y="5413545"/>
          <a:ext cx="7160079" cy="3269921"/>
        </a:xfrm>
        <a:prstGeom prst="rect">
          <a:avLst/>
        </a:prstGeom>
      </xdr:spPr>
    </xdr:pic>
    <xdr:clientData/>
  </xdr:twoCellAnchor>
  <xdr:twoCellAnchor>
    <xdr:from>
      <xdr:col>8</xdr:col>
      <xdr:colOff>437029</xdr:colOff>
      <xdr:row>113</xdr:row>
      <xdr:rowOff>168088</xdr:rowOff>
    </xdr:from>
    <xdr:to>
      <xdr:col>14</xdr:col>
      <xdr:colOff>323860</xdr:colOff>
      <xdr:row>124</xdr:row>
      <xdr:rowOff>45048</xdr:rowOff>
    </xdr:to>
    <xdr:pic>
      <xdr:nvPicPr>
        <xdr:cNvPr id="5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14085794" y="10488706"/>
          <a:ext cx="5685155" cy="1690370"/>
        </a:xfrm>
        <a:prstGeom prst="rect">
          <a:avLst/>
        </a:prstGeom>
      </xdr:spPr>
    </xdr:pic>
    <xdr:clientData/>
  </xdr:twoCellAnchor>
  <xdr:twoCellAnchor>
    <xdr:from>
      <xdr:col>0</xdr:col>
      <xdr:colOff>0</xdr:colOff>
      <xdr:row>46</xdr:row>
      <xdr:rowOff>125937</xdr:rowOff>
    </xdr:from>
    <xdr:to>
      <xdr:col>2</xdr:col>
      <xdr:colOff>349731</xdr:colOff>
      <xdr:row>58</xdr:row>
      <xdr:rowOff>116748</xdr:rowOff>
    </xdr:to>
    <xdr:pic>
      <xdr:nvPicPr>
        <xdr:cNvPr id="55"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4"/>
        <a:stretch>
          <a:fillRect/>
        </a:stretch>
      </xdr:blipFill>
      <xdr:spPr>
        <a:xfrm>
          <a:off x="0" y="8136462"/>
          <a:ext cx="3967438" cy="2104333"/>
        </a:xfrm>
        <a:prstGeom prst="rect">
          <a:avLst/>
        </a:prstGeom>
      </xdr:spPr>
    </xdr:pic>
    <xdr:clientData/>
  </xdr:twoCellAnchor>
  <xdr:twoCellAnchor>
    <xdr:from>
      <xdr:col>4</xdr:col>
      <xdr:colOff>1572216</xdr:colOff>
      <xdr:row>45</xdr:row>
      <xdr:rowOff>166847</xdr:rowOff>
    </xdr:from>
    <xdr:to>
      <xdr:col>6</xdr:col>
      <xdr:colOff>1403615</xdr:colOff>
      <xdr:row>59</xdr:row>
      <xdr:rowOff>85662</xdr:rowOff>
    </xdr:to>
    <xdr:pic>
      <xdr:nvPicPr>
        <xdr:cNvPr id="54" name="Picture 8">
          <a:extLst>
            <a:ext uri="{FF2B5EF4-FFF2-40B4-BE49-F238E27FC236}">
              <a16:creationId xmlns:a16="http://schemas.microsoft.com/office/drawing/2014/main" id="{EE1D6241-5447-D774-41F6-D386E131F51C}"/>
            </a:ext>
          </a:extLst>
        </xdr:cNvPr>
        <xdr:cNvPicPr>
          <a:picLocks noChangeAspect="1"/>
        </xdr:cNvPicPr>
      </xdr:nvPicPr>
      <xdr:blipFill>
        <a:blip xmlns:r="http://schemas.openxmlformats.org/officeDocument/2006/relationships" r:embed="rId5"/>
        <a:stretch>
          <a:fillRect/>
        </a:stretch>
      </xdr:blipFill>
      <xdr:spPr>
        <a:xfrm>
          <a:off x="9018281" y="10122543"/>
          <a:ext cx="3505023" cy="2268240"/>
        </a:xfrm>
        <a:prstGeom prst="rect">
          <a:avLst/>
        </a:prstGeom>
      </xdr:spPr>
    </xdr:pic>
    <xdr:clientData/>
  </xdr:twoCellAnchor>
  <xdr:twoCellAnchor>
    <xdr:from>
      <xdr:col>8</xdr:col>
      <xdr:colOff>0</xdr:colOff>
      <xdr:row>46</xdr:row>
      <xdr:rowOff>86569</xdr:rowOff>
    </xdr:from>
    <xdr:to>
      <xdr:col>12</xdr:col>
      <xdr:colOff>1035984</xdr:colOff>
      <xdr:row>56</xdr:row>
      <xdr:rowOff>35522</xdr:rowOff>
    </xdr:to>
    <xdr:pic>
      <xdr:nvPicPr>
        <xdr:cNvPr id="52" name="Picture 12">
          <a:extLst>
            <a:ext uri="{FF2B5EF4-FFF2-40B4-BE49-F238E27FC236}">
              <a16:creationId xmlns:a16="http://schemas.microsoft.com/office/drawing/2014/main" id="{990912D0-6AAB-4D1C-809B-C16ABD43F4DE}"/>
            </a:ext>
          </a:extLst>
        </xdr:cNvPr>
        <xdr:cNvPicPr>
          <a:picLocks noChangeAspect="1"/>
        </xdr:cNvPicPr>
      </xdr:nvPicPr>
      <xdr:blipFill>
        <a:blip xmlns:r="http://schemas.openxmlformats.org/officeDocument/2006/relationships" r:embed="rId6"/>
        <a:stretch>
          <a:fillRect/>
        </a:stretch>
      </xdr:blipFill>
      <xdr:spPr>
        <a:xfrm>
          <a:off x="13411200" y="10164019"/>
          <a:ext cx="4733925" cy="1627931"/>
        </a:xfrm>
        <a:prstGeom prst="rect">
          <a:avLst/>
        </a:prstGeom>
      </xdr:spPr>
    </xdr:pic>
    <xdr:clientData/>
  </xdr:twoCellAnchor>
  <xdr:twoCellAnchor>
    <xdr:from>
      <xdr:col>2</xdr:col>
      <xdr:colOff>1650311</xdr:colOff>
      <xdr:row>56</xdr:row>
      <xdr:rowOff>120861</xdr:rowOff>
    </xdr:from>
    <xdr:to>
      <xdr:col>4</xdr:col>
      <xdr:colOff>1197481</xdr:colOff>
      <xdr:row>65</xdr:row>
      <xdr:rowOff>129067</xdr:rowOff>
    </xdr:to>
    <xdr:pic>
      <xdr:nvPicPr>
        <xdr:cNvPr id="51" name="Picture 16">
          <a:extLst>
            <a:ext uri="{FF2B5EF4-FFF2-40B4-BE49-F238E27FC236}">
              <a16:creationId xmlns:a16="http://schemas.microsoft.com/office/drawing/2014/main" id="{A9AA27BD-3145-DC13-072F-7A9E1ABE417E}"/>
            </a:ext>
          </a:extLst>
        </xdr:cNvPr>
        <xdr:cNvPicPr>
          <a:picLocks noChangeAspect="1"/>
        </xdr:cNvPicPr>
      </xdr:nvPicPr>
      <xdr:blipFill>
        <a:blip xmlns:r="http://schemas.openxmlformats.org/officeDocument/2006/relationships" r:embed="rId7"/>
        <a:stretch>
          <a:fillRect/>
        </a:stretch>
      </xdr:blipFill>
      <xdr:spPr>
        <a:xfrm>
          <a:off x="5352637" y="11989839"/>
          <a:ext cx="3286125" cy="1519095"/>
        </a:xfrm>
        <a:prstGeom prst="rect">
          <a:avLst/>
        </a:prstGeom>
      </xdr:spPr>
    </xdr:pic>
    <xdr:clientData/>
  </xdr:twoCellAnchor>
  <xdr:twoCellAnchor>
    <xdr:from>
      <xdr:col>0</xdr:col>
      <xdr:colOff>716280</xdr:colOff>
      <xdr:row>69</xdr:row>
      <xdr:rowOff>19050</xdr:rowOff>
    </xdr:from>
    <xdr:to>
      <xdr:col>2</xdr:col>
      <xdr:colOff>1718198</xdr:colOff>
      <xdr:row>80</xdr:row>
      <xdr:rowOff>103583</xdr:rowOff>
    </xdr:to>
    <xdr:pic>
      <xdr:nvPicPr>
        <xdr:cNvPr id="50" name="Picture 17">
          <a:extLst>
            <a:ext uri="{FF2B5EF4-FFF2-40B4-BE49-F238E27FC236}">
              <a16:creationId xmlns:a16="http://schemas.microsoft.com/office/drawing/2014/main" id="{B19D321F-652A-2FC2-869F-EF277CFB3D56}"/>
            </a:ext>
          </a:extLst>
        </xdr:cNvPr>
        <xdr:cNvPicPr>
          <a:picLocks noChangeAspect="1"/>
        </xdr:cNvPicPr>
      </xdr:nvPicPr>
      <xdr:blipFill>
        <a:blip xmlns:r="http://schemas.openxmlformats.org/officeDocument/2006/relationships" r:embed="rId8"/>
        <a:stretch>
          <a:fillRect/>
        </a:stretch>
      </xdr:blipFill>
      <xdr:spPr>
        <a:xfrm>
          <a:off x="716280" y="14725650"/>
          <a:ext cx="4712970" cy="1937313"/>
        </a:xfrm>
        <a:prstGeom prst="rect">
          <a:avLst/>
        </a:prstGeom>
      </xdr:spPr>
    </xdr:pic>
    <xdr:clientData/>
  </xdr:twoCellAnchor>
  <xdr:twoCellAnchor>
    <xdr:from>
      <xdr:col>2</xdr:col>
      <xdr:colOff>66675</xdr:colOff>
      <xdr:row>45</xdr:row>
      <xdr:rowOff>0</xdr:rowOff>
    </xdr:from>
    <xdr:to>
      <xdr:col>4</xdr:col>
      <xdr:colOff>1116708</xdr:colOff>
      <xdr:row>53</xdr:row>
      <xdr:rowOff>64994</xdr:rowOff>
    </xdr:to>
    <xdr:pic>
      <xdr:nvPicPr>
        <xdr:cNvPr id="49" name="Picture 19">
          <a:extLst>
            <a:ext uri="{FF2B5EF4-FFF2-40B4-BE49-F238E27FC236}">
              <a16:creationId xmlns:a16="http://schemas.microsoft.com/office/drawing/2014/main" id="{DC8CAFB5-511D-77B1-942D-86AB53AFD83A}"/>
            </a:ext>
          </a:extLst>
        </xdr:cNvPr>
        <xdr:cNvPicPr>
          <a:picLocks noChangeAspect="1"/>
        </xdr:cNvPicPr>
      </xdr:nvPicPr>
      <xdr:blipFill>
        <a:blip xmlns:r="http://schemas.openxmlformats.org/officeDocument/2006/relationships" r:embed="rId9"/>
        <a:stretch>
          <a:fillRect/>
        </a:stretch>
      </xdr:blipFill>
      <xdr:spPr>
        <a:xfrm>
          <a:off x="3771900" y="9906000"/>
          <a:ext cx="4794703" cy="1409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313764</xdr:colOff>
      <xdr:row>23</xdr:row>
      <xdr:rowOff>101310</xdr:rowOff>
    </xdr:from>
    <xdr:to>
      <xdr:col>16</xdr:col>
      <xdr:colOff>179293</xdr:colOff>
      <xdr:row>38</xdr:row>
      <xdr:rowOff>105759</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971104</xdr:colOff>
      <xdr:row>27</xdr:row>
      <xdr:rowOff>58911</xdr:rowOff>
    </xdr:from>
    <xdr:to>
      <xdr:col>18</xdr:col>
      <xdr:colOff>1006127</xdr:colOff>
      <xdr:row>36</xdr:row>
      <xdr:rowOff>37140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12030990" y="5447340"/>
          <a:ext cx="2122357" cy="18832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40</xdr:row>
      <xdr:rowOff>8572</xdr:rowOff>
    </xdr:from>
    <xdr:to>
      <xdr:col>6</xdr:col>
      <xdr:colOff>398145</xdr:colOff>
      <xdr:row>54</xdr:row>
      <xdr:rowOff>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110154</xdr:colOff>
      <xdr:row>10</xdr:row>
      <xdr:rowOff>111723</xdr:rowOff>
    </xdr:from>
    <xdr:to>
      <xdr:col>24</xdr:col>
      <xdr:colOff>588869</xdr:colOff>
      <xdr:row>25</xdr:row>
      <xdr:rowOff>128868</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256222</xdr:colOff>
      <xdr:row>1</xdr:row>
      <xdr:rowOff>31432</xdr:rowOff>
    </xdr:from>
    <xdr:to>
      <xdr:col>17</xdr:col>
      <xdr:colOff>570547</xdr:colOff>
      <xdr:row>16</xdr:row>
      <xdr:rowOff>63817</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67</xdr:row>
      <xdr:rowOff>158692</xdr:rowOff>
    </xdr:from>
    <xdr:to>
      <xdr:col>3</xdr:col>
      <xdr:colOff>475340</xdr:colOff>
      <xdr:row>81</xdr:row>
      <xdr:rowOff>81481</xdr:rowOff>
    </xdr:to>
    <xdr:graphicFrame macro="">
      <xdr:nvGraphicFramePr>
        <xdr:cNvPr id="6" name="Chart 5">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245333</xdr:colOff>
      <xdr:row>68</xdr:row>
      <xdr:rowOff>1903</xdr:rowOff>
    </xdr:from>
    <xdr:to>
      <xdr:col>12</xdr:col>
      <xdr:colOff>587403</xdr:colOff>
      <xdr:row>81</xdr:row>
      <xdr:rowOff>97486</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1013460</xdr:colOff>
      <xdr:row>68</xdr:row>
      <xdr:rowOff>21585</xdr:rowOff>
    </xdr:from>
    <xdr:to>
      <xdr:col>7</xdr:col>
      <xdr:colOff>520892</xdr:colOff>
      <xdr:row>81</xdr:row>
      <xdr:rowOff>121920</xdr:rowOff>
    </xdr:to>
    <xdr:graphicFrame macro="">
      <xdr:nvGraphicFramePr>
        <xdr:cNvPr id="4" name="Chart 7">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Yousefi, Fatemeh" id="{8FAFF6D4-17B8-4DDB-9166-20E9208D63E7}" userId="S::Fatemeh.Yousefi@noresco.com::e6e3f14c-e48f-4305-90f6-3bde8daf96a9" providerId="AD"/>
  <person displayName="Alamelu Brooks" id="{41E2E904-4528-4991-BC1B-0740D416137B}" userId="S::abrooks@energy-solution.com::4796814f-821b-42dd-aa91-62982b88c0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5-01-15T17:25:52.06" personId="{41E2E904-4528-4991-BC1B-0740D416137B}" id="{412A5608-015D-475A-8452-81D92F8F7642}" done="1">
    <text>Typo. This should be CEUS</text>
  </threadedComment>
  <threadedComment ref="B3" dT="2025-02-03T21:53:01.94" personId="{8FAFF6D4-17B8-4DDB-9166-20E9208D63E7}" id="{6ABA859E-3C99-4BA7-8D55-40AE4FE3C2E0}" parentId="{412A5608-015D-475A-8452-81D92F8F7642}">
    <text>Thanks!</text>
  </threadedComment>
  <threadedComment ref="B5" dT="2025-01-15T17:28:54.90" personId="{41E2E904-4528-4991-BC1B-0740D416137B}" id="{359F911F-26D4-435B-97AB-F6A8C14D655C}" done="1">
    <text>ComStock - Release #?</text>
  </threadedComment>
  <threadedComment ref="B5" dT="2025-02-03T21:55:01.83" personId="{8FAFF6D4-17B8-4DDB-9166-20E9208D63E7}" id="{611B37D4-2F40-4DF4-A607-275B19210785}" parentId="{359F911F-26D4-435B-97AB-F6A8C14D655C}">
    <text>2023 has been added.</text>
  </threadedComment>
  <threadedComment ref="A6" dT="2025-01-15T17:30:16.58" personId="{41E2E904-4528-4991-BC1B-0740D416137B}" id="{789B77C3-0FCC-40A3-919E-4E8F68FDF952}" done="1">
    <text>Adding version or release date will be useful</text>
  </threadedComment>
  <threadedComment ref="A6" dT="2025-02-03T21:56:33.96" personId="{8FAFF6D4-17B8-4DDB-9166-20E9208D63E7}" id="{3D799FB6-5D0A-422F-8B3E-A6303C5EE530}" parentId="{789B77C3-0FCC-40A3-919E-4E8F68FDF952}">
    <text>Added.</text>
  </threadedComment>
  <threadedComment ref="A10" dT="2025-01-15T17:30:24.38" personId="{41E2E904-4528-4991-BC1B-0740D416137B}" id="{01411E8C-F8C6-4064-8D93-6CCFD564FEB0}" done="1">
    <text>Adding version or release date will be useful</text>
  </threadedComment>
  <threadedComment ref="A10" dT="2025-02-03T22:23:24.87" personId="{8FAFF6D4-17B8-4DDB-9166-20E9208D63E7}" id="{3F9D39AC-D35D-444F-9444-FEACCAA0D359}" parentId="{01411E8C-F8C6-4064-8D93-6CCFD564FEB0}">
    <text>Added.</text>
  </threadedComment>
  <threadedComment ref="A17" dT="2025-01-15T17:36:11.86" personId="{41E2E904-4528-4991-BC1B-0740D416137B}" id="{1E738941-CD9A-4404-945A-B49F3AF0E806}">
    <text>Is this for whole CA state? This is significantly different from 2023 CEC Construction Forecast (8.62 million sq.ft.) and 2026 CEC Construction Forecast (4.5 million sq.ft.)</text>
  </threadedComment>
  <threadedComment ref="A17" dT="2025-02-03T22:35:45.55" personId="{8FAFF6D4-17B8-4DDB-9166-20E9208D63E7}" id="{65E6B493-8AC9-4704-9DF0-52CAD784C964}" parentId="{1E738941-CD9A-4404-945A-B49F3AF0E806}">
    <text xml:space="preserve">Yes, This graph is for whole California but only for small office buildings (offices below 25,000 sf). The graph has been extracted from the Dodge issued permit data for new construction. </text>
  </threadedComment>
  <threadedComment ref="B34" dT="2025-01-15T17:42:34.95" personId="{41E2E904-4528-4991-BC1B-0740D416137B}" id="{56F70308-3D6D-4388-A354-D5B2792E3055}" done="1">
    <text>Does 2016 refer to the construction year or the code version year?
It seems a few typos in this cell. Example: ‘slow-sloped roof products’; it should be ‘Low-sloped roof products’</text>
  </threadedComment>
  <threadedComment ref="B34" dT="2025-02-03T23:12:40.14" personId="{8FAFF6D4-17B8-4DDB-9166-20E9208D63E7}" id="{358A64C2-8A94-4987-90DB-F688030C1D57}" parentId="{56F70308-3D6D-4388-A354-D5B2792E3055}">
    <text>Has been addressed. Thank you!</text>
  </threadedComment>
</ThreadedComments>
</file>

<file path=xl/threadedComments/threadedComment2.xml><?xml version="1.0" encoding="utf-8"?>
<ThreadedComments xmlns="http://schemas.microsoft.com/office/spreadsheetml/2018/threadedcomments" xmlns:x="http://schemas.openxmlformats.org/spreadsheetml/2006/main">
  <threadedComment ref="C6" dT="2025-01-15T17:47:11.40" personId="{41E2E904-4528-4991-BC1B-0740D416137B}" id="{16060CB6-BA55-4202-A89F-8445A366FADE}" done="1">
    <text>Is this analysis in a separate file?</text>
  </threadedComment>
  <threadedComment ref="C6" dT="2025-02-03T23:16:01.69" personId="{8FAFF6D4-17B8-4DDB-9166-20E9208D63E7}" id="{A6BB9D14-564F-43E2-84C4-D43A27946975}" parentId="{16060CB6-BA55-4202-A89F-8445A366FADE}">
    <text xml:space="preserve">Yes, The link of "the vintage bins report" has been added.
</text>
  </threadedComment>
  <threadedComment ref="B9" dT="2025-01-15T17:50:28.90" personId="{41E2E904-4528-4991-BC1B-0740D416137B}" id="{AD9CC582-59FE-4A02-B861-C52EE6B8B424}" done="1">
    <text>Added 1.5</text>
  </threadedComment>
  <threadedComment ref="B9" dT="2025-02-03T23:16:43.49" personId="{8FAFF6D4-17B8-4DDB-9166-20E9208D63E7}" id="{7BEAE61B-F36E-4444-B508-7B81A395F6DA}" parentId="{AD9CC582-59FE-4A02-B861-C52EE6B8B424}">
    <text>Thanks!</text>
  </threadedComment>
  <threadedComment ref="B11" dT="2025-01-15T18:05:44.83" personId="{41E2E904-4528-4991-BC1B-0740D416137B}" id="{027B2D28-D89F-4177-85E1-ADB4F9CC11C8}" done="1">
    <text>Steep-sloped or Low-sloped?</text>
  </threadedComment>
  <threadedComment ref="B11" dT="2025-02-03T23:18:18.13" personId="{8FAFF6D4-17B8-4DDB-9166-20E9208D63E7}" id="{863F205D-D2D1-46AA-8BEE-0C8C903B7ADE}" parentId="{027B2D28-D89F-4177-85E1-ADB4F9CC11C8}">
    <text>"Low-sloped" has been added.</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5-01-15T18:55:06.14" personId="{41E2E904-4528-4991-BC1B-0740D416137B}" id="{24D8A35F-28A0-42EA-B217-219484AC71E0}" done="1">
    <text>Is the Open Office facing North?</text>
  </threadedComment>
  <threadedComment ref="K1" dT="2025-02-03T23:22:07.94" personId="{8FAFF6D4-17B8-4DDB-9166-20E9208D63E7}" id="{3985C284-F31E-4304-9C5F-7C59B47626F7}" parentId="{24D8A35F-28A0-42EA-B217-219484AC71E0}">
    <text>The Orientation of N has been added.</text>
  </threadedComment>
  <threadedComment ref="J2" dT="2025-01-15T18:53:46.75" personId="{41E2E904-4528-4991-BC1B-0740D416137B}" id="{79E3DBAC-8776-46D3-B822-C9983BE24FE4}">
    <text>Is this different from App5-4A_SpaceBySpace file (CBECC Table in the Data folder)?</text>
  </threadedComment>
  <threadedComment ref="J2" dT="2025-02-13T21:02:14.84" personId="{8FAFF6D4-17B8-4DDB-9166-20E9208D63E7}" id="{E9EFDC5E-98AC-4375-8790-5CFD25E3790F}" parentId="{79E3DBAC-8776-46D3-B822-C9983BE24FE4}">
    <text xml:space="preserve">Yes, it is different from  App5-4_SpaceBySpace file. For example they considered OccDens equal to 10 people per 1,000 sf for office area but we set it to 5 based on the 2025 T24 as referenced.  But, please note that, CEBCC considers a 0.5 multiplier to calculate the actual occupancy load for a space . For office area, the actual occupancy load in CEBCC is  0.5*10 which is 5 </text>
  </threadedComment>
  <threadedComment ref="J6" dT="2025-01-15T18:42:49.46" personId="{41E2E904-4528-4991-BC1B-0740D416137B}" id="{8ECDB0FD-634D-48A1-8FDC-A65E9722DBE2}">
    <text>The comment in cell I7 says the lobby is 33. It looks like it is for the conference.</text>
  </threadedComment>
  <threadedComment ref="J6" dT="2025-02-03T23:23:08.49" personId="{8FAFF6D4-17B8-4DDB-9166-20E9208D63E7}" id="{FC42BCE3-0EC7-4E62-B8B2-40D50DFEBD7D}" parentId="{8ECDB0FD-634D-48A1-8FDC-A65E9722DBE2}">
    <text xml:space="preserve">Thanks for the point. The conference occupancy is 33 people based on the T24, Table 120.1-A. However for the lobby, there are two options: 33 for the lobby and 5 for the reception. </text>
  </threadedComment>
</ThreadedComments>
</file>

<file path=xl/threadedComments/threadedComment4.xml><?xml version="1.0" encoding="utf-8"?>
<ThreadedComments xmlns="http://schemas.microsoft.com/office/spreadsheetml/2018/threadedcomments" xmlns:x="http://schemas.openxmlformats.org/spreadsheetml/2006/main">
  <threadedComment ref="D9" dT="2025-01-15T19:05:18.43" personId="{41E2E904-4528-4991-BC1B-0740D416137B}" id="{F3C258D8-9FCA-4EB0-9919-5F5C006DB2E0}" done="1">
    <text>?</text>
  </threadedComment>
  <threadedComment ref="D9" dT="2025-02-11T22:38:03.70" personId="{8FAFF6D4-17B8-4DDB-9166-20E9208D63E7}" id="{AC4F197F-FAC7-4215-BD1A-7F5636BC2AC4}" parentId="{F3C258D8-9FCA-4EB0-9919-5F5C006DB2E0}">
    <text>Added. The space is equipped with exhaust fan</text>
  </threadedComment>
  <threadedComment ref="D10" dT="2025-01-15T19:05:13.32" personId="{41E2E904-4528-4991-BC1B-0740D416137B}" id="{CF23047C-A994-422F-8E00-FEAB53AB5352}" done="1">
    <text>?</text>
  </threadedComment>
  <threadedComment ref="D10" dT="2025-02-11T22:43:31.92" personId="{8FAFF6D4-17B8-4DDB-9166-20E9208D63E7}" id="{F4B12D60-BD01-4AF9-90A2-292804EAB220}" parentId="{CF23047C-A994-422F-8E00-FEAB53AB5352}">
    <text>Added. The space is equipped with exhaust fan</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5-01-15T19:10:28.92" personId="{41E2E904-4528-4991-BC1B-0740D416137B}" id="{D860F24D-D0BE-42DF-A872-A9CA5092B20B}">
    <text>New Enduse for Small Office?</text>
  </threadedComment>
  <threadedComment ref="A1" dT="2025-02-05T05:21:01.37" personId="{8FAFF6D4-17B8-4DDB-9166-20E9208D63E7}" id="{8EBB16D7-0696-49D9-BCE8-0BE4DFFB6596}" parentId="{D860F24D-D0BE-42DF-A872-A9CA5092B20B}">
    <text>According to CEUS 2022, saturation rate for exterior lighting in 67% in small offices.</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5-01-15T19:44:59.30" personId="{41E2E904-4528-4991-BC1B-0740D416137B}" id="{0335CA49-0C34-45D9-8E41-740ED7D03C8F}">
    <text>Is this for a specific vintage or NC?</text>
  </threadedComment>
  <threadedComment ref="A1" dT="2025-02-03T23:29:45.89" personId="{8FAFF6D4-17B8-4DDB-9166-20E9208D63E7}" id="{2638B20A-92FE-4FFB-9CF4-EADFBD53B9D4}" parentId="{0335CA49-0C34-45D9-8E41-740ED7D03C8F}">
    <text xml:space="preserve">No. This is for the whole small office buildings (Extracted from CEUS data). </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5-01-15T19:48:38.92" personId="{41E2E904-4528-4991-BC1B-0740D416137B}" id="{04393F4A-962F-4A9C-8D67-C6983844D941}">
    <text xml:space="preserve">Is there a table to see the % floor area for each CZ for each vintage year? </text>
  </threadedComment>
  <threadedComment ref="A1" dT="2025-02-04T17:18:14.83" personId="{8FAFF6D4-17B8-4DDB-9166-20E9208D63E7}" id="{D678E071-1F76-4ED4-B6E3-0E008AAC6566}" parentId="{04393F4A-962F-4A9C-8D67-C6983844D941}">
    <text>We don't have data per year. But, another table has been added to show the % per CZ for each vintage bin.</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bees.noresco.com/software2022.html" TargetMode="External"/><Relationship Id="rId7" Type="http://schemas.openxmlformats.org/officeDocument/2006/relationships/drawing" Target="../drawings/drawing1.xml"/><Relationship Id="rId2" Type="http://schemas.openxmlformats.org/officeDocument/2006/relationships/hyperlink" Target="https://www.mass.gov/lists/stretch-energy-code-development-support-documentation" TargetMode="External"/><Relationship Id="rId1" Type="http://schemas.openxmlformats.org/officeDocument/2006/relationships/hyperlink" Target="https://www.mass.gov/doc/small-office-prototype-basis-of-design-report/download" TargetMode="External"/><Relationship Id="rId6" Type="http://schemas.openxmlformats.org/officeDocument/2006/relationships/hyperlink" Target="https://web.eecs.utk.edu/~jnew1/publications/2019_IBPSA_OpenStudioOffice.pdf" TargetMode="External"/><Relationship Id="rId5" Type="http://schemas.openxmlformats.org/officeDocument/2006/relationships/hyperlink" Target="https://github.com/sound-data/DEER-Prototypes-EnergyPlus" TargetMode="External"/><Relationship Id="rId10" Type="http://schemas.microsoft.com/office/2017/10/relationships/threadedComment" Target="../threadedComments/threadedComment1.xml"/><Relationship Id="rId4" Type="http://schemas.openxmlformats.org/officeDocument/2006/relationships/hyperlink" Target="https://www.energycodes.gov/prototype-building-models" TargetMode="Externa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hyperlink" Target="https://carcglgov-my.sharepoint.com/Groups/CodesStds/Standards/California/2016-CEC-400-2015-037-CMF.pdf" TargetMode="External"/><Relationship Id="rId7" Type="http://schemas.openxmlformats.org/officeDocument/2006/relationships/comments" Target="../comments12.xml"/><Relationship Id="rId2" Type="http://schemas.openxmlformats.org/officeDocument/2006/relationships/hyperlink" Target="https://carcglgov-my.sharepoint.com/Groups/CodesStds/Standards/California/2016-CEC-400-2015-037-CMF.pdf" TargetMode="External"/><Relationship Id="rId1" Type="http://schemas.openxmlformats.org/officeDocument/2006/relationships/hyperlink" Target="https://carcglgov-my.sharepoint.com/Groups/CodesStds/Standards/California/2022%20Building%20Energy%20Efficiency%20Standards%20for%20Residential%20and%20Nonresidential%20Buildings.pdf" TargetMode="External"/><Relationship Id="rId6" Type="http://schemas.openxmlformats.org/officeDocument/2006/relationships/vmlDrawing" Target="../drawings/vmlDrawing12.vml"/><Relationship Id="rId5" Type="http://schemas.openxmlformats.org/officeDocument/2006/relationships/drawing" Target="../drawings/drawing9.xml"/><Relationship Id="rId4" Type="http://schemas.openxmlformats.org/officeDocument/2006/relationships/hyperlink" Target="https://carcglgov-my.sharepoint.com/Groups/CodesStds/Standards/California/2022%20Building%20Energy%20Efficiency%20Standards%20for%20Residential%20and%20Nonresidential%20Buildings.pdf"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hyperlink" Target="https://carcglgov-my.sharepoint.com/Groups/CodesStds/Standards/California/2022%20Building%20Energy%20Efficiency%20Standards%20for%20Residential%20and%20Nonresidential%20Buildings.pdf" TargetMode="External"/><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www.energy.ca.gov/publications/2022/2022-nonresidential-and-multifamily-alternative-calculation-method-reference"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2050partners.sharepoint.com/:w:/r/sites/CalBEMCollaborativeEfforts/Shared%20Documents/Working%20Group%201%20-%20Streamlined%20Process/D%20-%20Complexity%20of%20Compliance/Prototype%20Unification/Project%20Development/Phase%202%20(Collect%20Inputs)%20Development/NonRes-Vintage%20bins-Draft%20Report-30Nov2023-Final.docx?d=w8560be34ea9744e086bccf7767b0a3cf&amp;csf=1&amp;web=1&amp;e=tpxacv"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carcglgov-my.sharepoint.com/personal/fatemeh_yousefi_noresco_com/FCZ%20to%20CZ.xls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3.xml"/><Relationship Id="rId2" Type="http://schemas.openxmlformats.org/officeDocument/2006/relationships/hyperlink" Target="https://web.eecs.utk.edu/~jnew1/presentations/2019_IBPSA_OpenStudioOffice.pdf" TargetMode="External"/><Relationship Id="rId1" Type="http://schemas.openxmlformats.org/officeDocument/2006/relationships/hyperlink" Target="https://web.eecs.utk.edu/~jnew1/publications/2019_IBPSA_OpenStudioOffice.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ecfr.gov/current/title-10/chapter-II/subchapter-D/part-431/subpart-F/subject-group-ECFR2640f6ad978e4e6/section-431.97" TargetMode="External"/><Relationship Id="rId7" Type="http://schemas.openxmlformats.org/officeDocument/2006/relationships/hyperlink" Target="https://carcglgov-my.sharepoint.com/Database/Papers/Insights%20from%20hydronic%20heating%20systems%20in%20259%20commercial%20buildings/Insights%20from%20hydronic%20heating%20systems%20in%20259%20commercial%20buildings.pdf" TargetMode="External"/><Relationship Id="rId2" Type="http://schemas.openxmlformats.org/officeDocument/2006/relationships/hyperlink" Target="https://www.ecfr.gov/current/title-10/chapter-II/subchapter-D/part-431/subpart-D" TargetMode="External"/><Relationship Id="rId1" Type="http://schemas.openxmlformats.org/officeDocument/2006/relationships/hyperlink" Target="https://www.govinfo.gov/content/pkg/FR-2009-03-23/pdf/FR-2009-03-23.pdf" TargetMode="External"/><Relationship Id="rId6" Type="http://schemas.openxmlformats.org/officeDocument/2006/relationships/hyperlink" Target="https://www.govinfo.gov/content/pkg/FR-2009-03-23/pdf/FR-2009-03-23.pdf" TargetMode="External"/><Relationship Id="rId11" Type="http://schemas.openxmlformats.org/officeDocument/2006/relationships/comments" Target="../comments5.xml"/><Relationship Id="rId5" Type="http://schemas.openxmlformats.org/officeDocument/2006/relationships/hyperlink" Target="https://www.pnnl.gov/main/publications/external/technical_reports/PNNL-20405.pdf" TargetMode="External"/><Relationship Id="rId10" Type="http://schemas.openxmlformats.org/officeDocument/2006/relationships/vmlDrawing" Target="../drawings/vmlDrawing5.vml"/><Relationship Id="rId4" Type="http://schemas.openxmlformats.org/officeDocument/2006/relationships/hyperlink" Target="https://www.govinfo.gov/content/pkg/CFR-2024-title10-vol3/pdf/CFR-2024-title10-vol3-part431-subpartF.pdf" TargetMode="External"/><Relationship Id="rId9"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65BDF-3C17-4869-B954-111AEEDC46EB}">
  <sheetPr codeName="Sheet4"/>
  <dimension ref="A1:K34"/>
  <sheetViews>
    <sheetView zoomScaleNormal="100" workbookViewId="0">
      <selection sqref="A1:F1"/>
    </sheetView>
  </sheetViews>
  <sheetFormatPr defaultColWidth="9.21875" defaultRowHeight="13.2"/>
  <cols>
    <col min="1" max="1" width="14.77734375" style="154" customWidth="1"/>
    <col min="2" max="2" width="83.77734375" style="154" customWidth="1"/>
    <col min="3" max="7" width="9.21875" style="154"/>
    <col min="8" max="8" width="21.77734375" style="154" customWidth="1"/>
    <col min="9" max="9" width="10.77734375" style="154" customWidth="1"/>
    <col min="10" max="10" width="9.77734375" style="154" customWidth="1"/>
    <col min="11" max="11" width="9.77734375" style="154" bestFit="1" customWidth="1"/>
    <col min="12" max="16384" width="9.21875" style="154"/>
  </cols>
  <sheetData>
    <row r="1" spans="1:7" ht="20.399999999999999" customHeight="1">
      <c r="A1" s="677" t="s">
        <v>0</v>
      </c>
      <c r="B1" s="677"/>
      <c r="C1" s="677"/>
      <c r="D1" s="677"/>
      <c r="E1" s="677"/>
      <c r="F1" s="677"/>
    </row>
    <row r="2" spans="1:7">
      <c r="A2" s="676" t="s">
        <v>1</v>
      </c>
      <c r="B2" s="154" t="s">
        <v>2</v>
      </c>
      <c r="C2" s="678"/>
      <c r="D2" s="678"/>
      <c r="E2" s="678"/>
      <c r="F2" s="678"/>
    </row>
    <row r="3" spans="1:7">
      <c r="A3" s="676"/>
      <c r="B3" s="154" t="s">
        <v>176</v>
      </c>
      <c r="C3" s="678"/>
      <c r="D3" s="678"/>
      <c r="E3" s="678"/>
      <c r="F3" s="678"/>
    </row>
    <row r="4" spans="1:7">
      <c r="A4" s="676"/>
      <c r="B4" s="154" t="s">
        <v>3</v>
      </c>
      <c r="C4" s="678"/>
      <c r="D4" s="678"/>
      <c r="E4" s="678"/>
      <c r="F4" s="678"/>
    </row>
    <row r="5" spans="1:7">
      <c r="A5" s="676"/>
      <c r="B5" s="154" t="s">
        <v>484</v>
      </c>
      <c r="C5" s="678"/>
      <c r="D5" s="678"/>
      <c r="E5" s="678"/>
      <c r="F5" s="678"/>
    </row>
    <row r="6" spans="1:7" ht="14.4">
      <c r="A6" s="676" t="s">
        <v>5</v>
      </c>
      <c r="B6" s="154" t="s">
        <v>1111</v>
      </c>
      <c r="C6" s="679" t="s">
        <v>1103</v>
      </c>
      <c r="D6" s="680"/>
      <c r="E6" s="680"/>
      <c r="F6" s="680"/>
    </row>
    <row r="7" spans="1:7" ht="14.4">
      <c r="A7" s="676"/>
      <c r="B7" s="154" t="s">
        <v>1112</v>
      </c>
      <c r="C7" s="679" t="s">
        <v>1104</v>
      </c>
      <c r="D7" s="680"/>
      <c r="E7" s="680"/>
      <c r="F7" s="680"/>
    </row>
    <row r="8" spans="1:7" ht="14.4">
      <c r="A8" s="676"/>
      <c r="B8" s="154" t="s">
        <v>1113</v>
      </c>
      <c r="C8" s="679" t="s">
        <v>1105</v>
      </c>
      <c r="D8" s="680"/>
      <c r="E8" s="680"/>
      <c r="F8" s="680"/>
    </row>
    <row r="9" spans="1:7" ht="14.4">
      <c r="A9" s="676"/>
      <c r="B9" s="154" t="s">
        <v>1114</v>
      </c>
      <c r="C9" s="679" t="s">
        <v>74</v>
      </c>
      <c r="D9" s="680"/>
      <c r="E9" s="680"/>
      <c r="F9" s="680"/>
    </row>
    <row r="10" spans="1:7">
      <c r="A10" s="676" t="s">
        <v>6</v>
      </c>
      <c r="B10" s="154" t="s">
        <v>1108</v>
      </c>
      <c r="C10" s="678"/>
      <c r="D10" s="678"/>
      <c r="E10" s="678"/>
      <c r="F10" s="678"/>
    </row>
    <row r="11" spans="1:7">
      <c r="A11" s="676"/>
      <c r="B11" s="154" t="s">
        <v>1107</v>
      </c>
      <c r="C11" s="678"/>
      <c r="D11" s="678"/>
      <c r="E11" s="678"/>
      <c r="F11" s="678"/>
    </row>
    <row r="12" spans="1:7">
      <c r="A12" s="676"/>
      <c r="B12" s="154" t="s">
        <v>1106</v>
      </c>
      <c r="C12" s="678"/>
      <c r="D12" s="678"/>
      <c r="E12" s="678"/>
      <c r="F12" s="678"/>
    </row>
    <row r="13" spans="1:7">
      <c r="A13" s="154" t="s">
        <v>7</v>
      </c>
      <c r="B13" s="165" t="s">
        <v>8</v>
      </c>
      <c r="C13" s="165" t="s">
        <v>9</v>
      </c>
      <c r="G13" s="154" t="s">
        <v>1097</v>
      </c>
    </row>
    <row r="14" spans="1:7" ht="26.4">
      <c r="B14" s="166" t="s">
        <v>10</v>
      </c>
      <c r="C14" s="678"/>
      <c r="D14" s="678"/>
      <c r="E14" s="678"/>
      <c r="F14" s="678"/>
    </row>
    <row r="15" spans="1:7">
      <c r="C15" s="678"/>
      <c r="D15" s="678"/>
      <c r="E15" s="678"/>
      <c r="F15" s="678"/>
    </row>
    <row r="16" spans="1:7">
      <c r="C16" s="678"/>
      <c r="D16" s="678"/>
      <c r="E16" s="678"/>
      <c r="F16" s="678"/>
    </row>
    <row r="17" spans="1:11" ht="18.600000000000001" customHeight="1">
      <c r="A17" s="677" t="s">
        <v>11</v>
      </c>
      <c r="B17" s="677"/>
      <c r="C17" s="677"/>
      <c r="D17" s="677"/>
      <c r="E17" s="677"/>
      <c r="F17" s="677"/>
    </row>
    <row r="18" spans="1:11">
      <c r="C18" s="155"/>
      <c r="D18" s="155"/>
      <c r="E18" s="155"/>
      <c r="F18" s="155"/>
    </row>
    <row r="19" spans="1:11">
      <c r="C19" s="155"/>
      <c r="D19" s="155"/>
      <c r="E19" s="155"/>
      <c r="F19" s="155"/>
    </row>
    <row r="20" spans="1:11">
      <c r="C20" s="155"/>
      <c r="D20" s="155"/>
      <c r="E20" s="155"/>
      <c r="F20" s="155"/>
    </row>
    <row r="21" spans="1:11">
      <c r="C21" s="155"/>
      <c r="D21" s="155"/>
      <c r="E21" s="155"/>
      <c r="F21" s="155"/>
    </row>
    <row r="22" spans="1:11">
      <c r="C22" s="155"/>
      <c r="D22" s="155"/>
      <c r="E22" s="155"/>
      <c r="F22" s="155"/>
    </row>
    <row r="23" spans="1:11">
      <c r="C23" s="155"/>
      <c r="D23" s="155"/>
      <c r="E23" s="155"/>
      <c r="F23" s="155"/>
    </row>
    <row r="24" spans="1:11">
      <c r="C24" s="155"/>
      <c r="D24" s="155"/>
      <c r="E24" s="155"/>
      <c r="F24" s="155"/>
    </row>
    <row r="25" spans="1:11">
      <c r="C25" s="155"/>
      <c r="D25" s="155"/>
      <c r="E25" s="155"/>
      <c r="F25" s="155"/>
    </row>
    <row r="26" spans="1:11">
      <c r="C26" s="155"/>
      <c r="D26" s="155"/>
      <c r="E26" s="155"/>
      <c r="F26" s="155"/>
    </row>
    <row r="27" spans="1:11">
      <c r="C27" s="155"/>
      <c r="D27" s="155"/>
      <c r="E27" s="155"/>
      <c r="F27" s="155"/>
    </row>
    <row r="28" spans="1:11">
      <c r="C28" s="155"/>
      <c r="D28" s="155"/>
      <c r="E28" s="155"/>
      <c r="F28" s="155"/>
    </row>
    <row r="29" spans="1:11">
      <c r="C29" s="155"/>
      <c r="D29" s="155"/>
      <c r="E29" s="155"/>
      <c r="F29" s="155"/>
    </row>
    <row r="30" spans="1:11" ht="19.2" customHeight="1">
      <c r="A30" s="677" t="s">
        <v>12</v>
      </c>
      <c r="B30" s="677"/>
      <c r="C30" s="677"/>
      <c r="D30" s="677"/>
      <c r="E30" s="677"/>
      <c r="F30" s="677"/>
    </row>
    <row r="31" spans="1:11" ht="14.55" customHeight="1">
      <c r="B31" s="680" t="s">
        <v>13</v>
      </c>
      <c r="C31" s="680"/>
      <c r="D31" s="680"/>
      <c r="E31" s="680"/>
      <c r="F31" s="680"/>
      <c r="H31" s="167"/>
      <c r="I31" s="168" t="s">
        <v>14</v>
      </c>
      <c r="J31" s="168" t="s">
        <v>15</v>
      </c>
      <c r="K31" s="168" t="s">
        <v>16</v>
      </c>
    </row>
    <row r="32" spans="1:11" ht="58.2" customHeight="1">
      <c r="A32" s="162" t="s">
        <v>17</v>
      </c>
      <c r="B32" s="681" t="s">
        <v>18</v>
      </c>
      <c r="C32" s="681"/>
      <c r="D32" s="681"/>
      <c r="E32" s="681"/>
      <c r="F32" s="681"/>
      <c r="H32" s="169" t="s">
        <v>19</v>
      </c>
      <c r="I32" s="170">
        <v>0.46536942917401369</v>
      </c>
      <c r="J32" s="170">
        <v>0.53462987933478545</v>
      </c>
      <c r="K32" s="170">
        <v>9.3651419285689569E-2</v>
      </c>
    </row>
    <row r="33" spans="1:6" ht="125.25" customHeight="1">
      <c r="A33" s="162" t="s">
        <v>20</v>
      </c>
      <c r="B33" s="681" t="s">
        <v>1122</v>
      </c>
      <c r="C33" s="681"/>
      <c r="D33" s="681"/>
      <c r="E33" s="681"/>
      <c r="F33" s="681"/>
    </row>
    <row r="34" spans="1:6" ht="99.6" customHeight="1">
      <c r="A34" s="162" t="s">
        <v>21</v>
      </c>
      <c r="B34" s="681" t="s">
        <v>1115</v>
      </c>
      <c r="C34" s="681"/>
      <c r="D34" s="681"/>
      <c r="E34" s="681"/>
      <c r="F34" s="681"/>
    </row>
  </sheetData>
  <mergeCells count="24">
    <mergeCell ref="A17:F17"/>
    <mergeCell ref="C12:F12"/>
    <mergeCell ref="C14:F14"/>
    <mergeCell ref="C15:F15"/>
    <mergeCell ref="C16:F16"/>
    <mergeCell ref="B31:F31"/>
    <mergeCell ref="B32:F32"/>
    <mergeCell ref="B33:F33"/>
    <mergeCell ref="B34:F34"/>
    <mergeCell ref="A30:F30"/>
    <mergeCell ref="A2:A5"/>
    <mergeCell ref="A6:A9"/>
    <mergeCell ref="A10:A12"/>
    <mergeCell ref="A1:F1"/>
    <mergeCell ref="C2:F2"/>
    <mergeCell ref="C3:F3"/>
    <mergeCell ref="C4:F4"/>
    <mergeCell ref="C11:F11"/>
    <mergeCell ref="C5:F5"/>
    <mergeCell ref="C6:F6"/>
    <mergeCell ref="C8:F8"/>
    <mergeCell ref="C10:F10"/>
    <mergeCell ref="C9:F9"/>
    <mergeCell ref="C7:F7"/>
  </mergeCells>
  <hyperlinks>
    <hyperlink ref="B13" r:id="rId1" xr:uid="{6D163AC5-2862-4FF7-BF1E-5DBBFB5765D3}"/>
    <hyperlink ref="C13" r:id="rId2" xr:uid="{281B7D1D-7B1C-4EB5-9B6B-0D9DA0C9926B}"/>
    <hyperlink ref="C6" r:id="rId3" xr:uid="{BE11EEF8-3AF7-48F0-A38B-7309CE5A9491}"/>
    <hyperlink ref="C7" r:id="rId4" location="Commercial" xr:uid="{626A4776-C2FA-489E-88C0-BC9C7C8EA36F}"/>
    <hyperlink ref="C8" r:id="rId5" xr:uid="{0DEB00BB-3A26-4527-9ED4-40D17F93A579}"/>
    <hyperlink ref="C9" r:id="rId6" xr:uid="{E7A9A52D-7F84-4513-9CAE-4B7B2AE4C958}"/>
  </hyperlinks>
  <pageMargins left="0.7" right="0.7" top="0.75" bottom="0.75" header="0.3" footer="0.3"/>
  <drawing r:id="rId7"/>
  <legacy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E7BC-F5FC-4524-AAF2-AC61714BD837}">
  <sheetPr codeName="Sheet12"/>
  <dimension ref="A1:J18"/>
  <sheetViews>
    <sheetView workbookViewId="0">
      <selection activeCell="K28" sqref="K28"/>
    </sheetView>
  </sheetViews>
  <sheetFormatPr defaultRowHeight="14.4"/>
  <cols>
    <col min="1" max="1" width="16.21875" customWidth="1"/>
    <col min="2" max="2" width="12.77734375" customWidth="1"/>
    <col min="3" max="3" width="15.77734375" customWidth="1"/>
    <col min="4" max="4" width="14.21875" customWidth="1"/>
    <col min="5" max="5" width="11" customWidth="1"/>
    <col min="7" max="7" width="11.21875" customWidth="1"/>
    <col min="8" max="8" width="11.44140625" customWidth="1"/>
    <col min="9" max="9" width="10.77734375" customWidth="1"/>
    <col min="10" max="10" width="12.21875" customWidth="1"/>
  </cols>
  <sheetData>
    <row r="1" spans="1:10" ht="28.8">
      <c r="A1" s="11" t="s">
        <v>267</v>
      </c>
      <c r="B1" s="4" t="s">
        <v>268</v>
      </c>
      <c r="C1" s="4" t="s">
        <v>307</v>
      </c>
      <c r="D1" s="5" t="s">
        <v>269</v>
      </c>
      <c r="E1" s="5" t="s">
        <v>270</v>
      </c>
      <c r="F1" s="5" t="s">
        <v>308</v>
      </c>
      <c r="G1" s="5" t="s">
        <v>309</v>
      </c>
      <c r="H1" s="5" t="s">
        <v>271</v>
      </c>
      <c r="I1" s="5" t="s">
        <v>272</v>
      </c>
      <c r="J1" s="5" t="s">
        <v>273</v>
      </c>
    </row>
    <row r="2" spans="1:10">
      <c r="A2" s="6" t="s">
        <v>282</v>
      </c>
      <c r="B2" s="7" t="s">
        <v>283</v>
      </c>
      <c r="C2" s="7" t="s">
        <v>399</v>
      </c>
      <c r="D2" s="13">
        <v>0.1553155410424</v>
      </c>
      <c r="E2" s="13" t="s">
        <v>400</v>
      </c>
      <c r="F2" s="13" t="s">
        <v>400</v>
      </c>
      <c r="G2" s="13" t="s">
        <v>400</v>
      </c>
      <c r="H2" s="13">
        <v>0.1553155410424</v>
      </c>
      <c r="I2" s="13">
        <v>0</v>
      </c>
      <c r="J2" s="13">
        <v>0</v>
      </c>
    </row>
    <row r="3" spans="1:10">
      <c r="A3" s="6" t="s">
        <v>284</v>
      </c>
      <c r="B3" s="7" t="s">
        <v>283</v>
      </c>
      <c r="C3" s="7" t="s">
        <v>399</v>
      </c>
      <c r="D3" s="13">
        <v>0.161273857109418</v>
      </c>
      <c r="E3" s="13" t="s">
        <v>400</v>
      </c>
      <c r="F3" s="13" t="s">
        <v>400</v>
      </c>
      <c r="G3" s="13" t="s">
        <v>400</v>
      </c>
      <c r="H3" s="13">
        <v>0.161273857109418</v>
      </c>
      <c r="I3" s="13">
        <v>0</v>
      </c>
      <c r="J3" s="13">
        <v>0</v>
      </c>
    </row>
    <row r="4" spans="1:10">
      <c r="A4" s="6" t="s">
        <v>285</v>
      </c>
      <c r="B4" s="7" t="s">
        <v>283</v>
      </c>
      <c r="C4" s="7" t="s">
        <v>399</v>
      </c>
      <c r="D4" s="13">
        <v>0.16046382703446699</v>
      </c>
      <c r="E4" s="13" t="s">
        <v>400</v>
      </c>
      <c r="F4" s="13" t="s">
        <v>400</v>
      </c>
      <c r="G4" s="13" t="s">
        <v>400</v>
      </c>
      <c r="H4" s="13">
        <v>0.16046382703446699</v>
      </c>
      <c r="I4" s="13">
        <v>0</v>
      </c>
      <c r="J4" s="13">
        <v>0</v>
      </c>
    </row>
    <row r="5" spans="1:10">
      <c r="A5" s="6" t="s">
        <v>286</v>
      </c>
      <c r="B5" s="7" t="s">
        <v>283</v>
      </c>
      <c r="C5" s="7" t="s">
        <v>399</v>
      </c>
      <c r="D5" s="13">
        <v>0.17700837950041301</v>
      </c>
      <c r="E5" s="13" t="s">
        <v>400</v>
      </c>
      <c r="F5" s="13" t="s">
        <v>400</v>
      </c>
      <c r="G5" s="13" t="s">
        <v>400</v>
      </c>
      <c r="H5" s="13">
        <v>0.17700837950041301</v>
      </c>
      <c r="I5" s="13">
        <v>0</v>
      </c>
      <c r="J5" s="13">
        <v>0</v>
      </c>
    </row>
    <row r="6" spans="1:10">
      <c r="A6" s="6" t="s">
        <v>287</v>
      </c>
      <c r="B6" s="7" t="s">
        <v>283</v>
      </c>
      <c r="C6" s="7" t="s">
        <v>399</v>
      </c>
      <c r="D6" s="13">
        <v>0.17700837950041301</v>
      </c>
      <c r="E6" s="13" t="s">
        <v>400</v>
      </c>
      <c r="F6" s="13" t="s">
        <v>400</v>
      </c>
      <c r="G6" s="13" t="s">
        <v>400</v>
      </c>
      <c r="H6" s="13">
        <v>0.17700837950041301</v>
      </c>
      <c r="I6" s="13">
        <v>0</v>
      </c>
      <c r="J6" s="13">
        <v>0</v>
      </c>
    </row>
    <row r="7" spans="1:10">
      <c r="A7" s="6" t="s">
        <v>288</v>
      </c>
      <c r="B7" s="7" t="s">
        <v>283</v>
      </c>
      <c r="C7" s="7" t="s">
        <v>399</v>
      </c>
      <c r="D7" s="13">
        <v>0.11292693568274401</v>
      </c>
      <c r="E7" s="13" t="s">
        <v>400</v>
      </c>
      <c r="F7" s="13" t="s">
        <v>400</v>
      </c>
      <c r="G7" s="13" t="s">
        <v>400</v>
      </c>
      <c r="H7" s="13">
        <v>0.11292693568274401</v>
      </c>
      <c r="I7" s="13">
        <v>0</v>
      </c>
      <c r="J7" s="13">
        <v>0</v>
      </c>
    </row>
    <row r="8" spans="1:10">
      <c r="A8" s="6" t="s">
        <v>289</v>
      </c>
      <c r="B8" s="7" t="s">
        <v>283</v>
      </c>
      <c r="C8" s="7" t="s">
        <v>399</v>
      </c>
      <c r="D8" s="13">
        <v>0.199487040179542</v>
      </c>
      <c r="E8" s="13" t="s">
        <v>400</v>
      </c>
      <c r="F8" s="13" t="s">
        <v>400</v>
      </c>
      <c r="G8" s="13" t="s">
        <v>400</v>
      </c>
      <c r="H8" s="13">
        <v>0.199487040179542</v>
      </c>
      <c r="I8" s="13">
        <v>0</v>
      </c>
      <c r="J8" s="13">
        <v>0</v>
      </c>
    </row>
    <row r="9" spans="1:10">
      <c r="A9" s="6" t="s">
        <v>290</v>
      </c>
      <c r="B9" s="7" t="s">
        <v>283</v>
      </c>
      <c r="C9" s="7" t="s">
        <v>399</v>
      </c>
      <c r="D9" s="13">
        <v>0.116203373710192</v>
      </c>
      <c r="E9" s="13" t="s">
        <v>400</v>
      </c>
      <c r="F9" s="13" t="s">
        <v>400</v>
      </c>
      <c r="G9" s="13" t="s">
        <v>400</v>
      </c>
      <c r="H9" s="13">
        <v>0.116203373710192</v>
      </c>
      <c r="I9" s="13">
        <v>0</v>
      </c>
      <c r="J9" s="13">
        <v>0</v>
      </c>
    </row>
    <row r="10" spans="1:10">
      <c r="A10" s="6" t="s">
        <v>291</v>
      </c>
      <c r="B10" s="7" t="s">
        <v>283</v>
      </c>
      <c r="C10" s="7" t="s">
        <v>399</v>
      </c>
      <c r="D10" s="13">
        <v>0.18247123569139501</v>
      </c>
      <c r="E10" s="13" t="s">
        <v>400</v>
      </c>
      <c r="F10" s="13" t="s">
        <v>400</v>
      </c>
      <c r="G10" s="13" t="s">
        <v>400</v>
      </c>
      <c r="H10" s="13">
        <v>0.18247123569139501</v>
      </c>
      <c r="I10" s="13">
        <v>0</v>
      </c>
      <c r="J10" s="13">
        <v>0</v>
      </c>
    </row>
    <row r="11" spans="1:10">
      <c r="A11" s="6" t="s">
        <v>292</v>
      </c>
      <c r="B11" s="7" t="s">
        <v>283</v>
      </c>
      <c r="C11" s="7" t="s">
        <v>399</v>
      </c>
      <c r="D11" s="13">
        <v>0.26849571597838301</v>
      </c>
      <c r="E11" s="13" t="s">
        <v>400</v>
      </c>
      <c r="F11" s="13" t="s">
        <v>400</v>
      </c>
      <c r="G11" s="13" t="s">
        <v>400</v>
      </c>
      <c r="H11" s="13">
        <v>0.26849571597838301</v>
      </c>
      <c r="I11" s="13">
        <v>0</v>
      </c>
      <c r="J11" s="13">
        <v>0</v>
      </c>
    </row>
    <row r="12" spans="1:10">
      <c r="A12" s="6" t="s">
        <v>293</v>
      </c>
      <c r="B12" s="7" t="s">
        <v>283</v>
      </c>
      <c r="C12" s="7" t="s">
        <v>399</v>
      </c>
      <c r="D12" s="13">
        <v>8.5403947628915303E-2</v>
      </c>
      <c r="E12" s="13" t="s">
        <v>400</v>
      </c>
      <c r="F12" s="13" t="s">
        <v>400</v>
      </c>
      <c r="G12" s="13" t="s">
        <v>400</v>
      </c>
      <c r="H12" s="13">
        <v>8.5403947628915303E-2</v>
      </c>
      <c r="I12" s="13">
        <v>0</v>
      </c>
      <c r="J12" s="13">
        <v>0</v>
      </c>
    </row>
    <row r="13" spans="1:10">
      <c r="A13" s="6" t="s">
        <v>294</v>
      </c>
      <c r="B13" s="7" t="s">
        <v>283</v>
      </c>
      <c r="C13" s="7" t="s">
        <v>399</v>
      </c>
      <c r="D13" s="13">
        <v>0.175347072814862</v>
      </c>
      <c r="E13" s="13" t="s">
        <v>400</v>
      </c>
      <c r="F13" s="13" t="s">
        <v>400</v>
      </c>
      <c r="G13" s="13" t="s">
        <v>400</v>
      </c>
      <c r="H13" s="13">
        <v>0.175347072814862</v>
      </c>
      <c r="I13" s="13">
        <v>0</v>
      </c>
      <c r="J13" s="13">
        <v>0</v>
      </c>
    </row>
    <row r="14" spans="1:10">
      <c r="A14" s="6" t="s">
        <v>295</v>
      </c>
      <c r="B14" s="7" t="s">
        <v>283</v>
      </c>
      <c r="C14" s="7" t="s">
        <v>399</v>
      </c>
      <c r="D14" s="13">
        <v>0.19805364112934601</v>
      </c>
      <c r="E14" s="13" t="s">
        <v>400</v>
      </c>
      <c r="F14" s="13" t="s">
        <v>400</v>
      </c>
      <c r="G14" s="13" t="s">
        <v>400</v>
      </c>
      <c r="H14" s="13">
        <v>0.19805364112934601</v>
      </c>
      <c r="I14" s="13">
        <v>0</v>
      </c>
      <c r="J14" s="13">
        <v>0</v>
      </c>
    </row>
    <row r="15" spans="1:10">
      <c r="A15" s="6" t="s">
        <v>296</v>
      </c>
      <c r="B15" s="7" t="s">
        <v>283</v>
      </c>
      <c r="C15" s="7" t="s">
        <v>399</v>
      </c>
      <c r="D15" s="13">
        <v>0.15536718288441601</v>
      </c>
      <c r="E15" s="13" t="s">
        <v>400</v>
      </c>
      <c r="F15" s="13" t="s">
        <v>400</v>
      </c>
      <c r="G15" s="13" t="s">
        <v>400</v>
      </c>
      <c r="H15" s="13">
        <v>0.15536718288441601</v>
      </c>
      <c r="I15" s="13">
        <v>0</v>
      </c>
      <c r="J15" s="13">
        <v>0</v>
      </c>
    </row>
    <row r="16" spans="1:10">
      <c r="A16" s="6" t="s">
        <v>297</v>
      </c>
      <c r="B16" s="7" t="s">
        <v>283</v>
      </c>
      <c r="C16" s="7" t="s">
        <v>399</v>
      </c>
      <c r="D16" s="13">
        <v>0.18422964650607099</v>
      </c>
      <c r="E16" s="13" t="s">
        <v>400</v>
      </c>
      <c r="F16" s="13" t="s">
        <v>400</v>
      </c>
      <c r="G16" s="13" t="s">
        <v>400</v>
      </c>
      <c r="H16" s="13">
        <v>0.18422964650607099</v>
      </c>
      <c r="I16" s="13">
        <v>0</v>
      </c>
      <c r="J16" s="13">
        <v>0</v>
      </c>
    </row>
    <row r="17" spans="1:10">
      <c r="A17" s="6" t="s">
        <v>298</v>
      </c>
      <c r="B17" s="7" t="s">
        <v>283</v>
      </c>
      <c r="C17" s="7" t="s">
        <v>399</v>
      </c>
      <c r="D17" s="13">
        <v>0.15520541943038299</v>
      </c>
      <c r="E17" s="13" t="s">
        <v>400</v>
      </c>
      <c r="F17" s="13" t="s">
        <v>400</v>
      </c>
      <c r="G17" s="13" t="s">
        <v>400</v>
      </c>
      <c r="H17" s="13">
        <v>0.15520541943038299</v>
      </c>
      <c r="I17" s="13">
        <v>0</v>
      </c>
      <c r="J17" s="13">
        <v>0</v>
      </c>
    </row>
    <row r="18" spans="1:10">
      <c r="A18" s="6" t="s">
        <v>299</v>
      </c>
      <c r="B18" s="7" t="s">
        <v>283</v>
      </c>
      <c r="C18" s="7" t="s">
        <v>399</v>
      </c>
      <c r="D18" s="13">
        <v>0.24877341410367701</v>
      </c>
      <c r="E18" s="13" t="s">
        <v>400</v>
      </c>
      <c r="F18" s="13" t="s">
        <v>400</v>
      </c>
      <c r="G18" s="13" t="s">
        <v>400</v>
      </c>
      <c r="H18" s="13">
        <v>0.24877341410367701</v>
      </c>
      <c r="I18" s="13">
        <v>0</v>
      </c>
      <c r="J18" s="13">
        <v>0</v>
      </c>
    </row>
  </sheetData>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4193C-21E3-4213-B2A9-EB79DA823DB2}">
  <sheetPr codeName="Sheet13"/>
  <dimension ref="A1:J58"/>
  <sheetViews>
    <sheetView workbookViewId="0">
      <selection activeCell="L4" sqref="L4"/>
    </sheetView>
  </sheetViews>
  <sheetFormatPr defaultRowHeight="14.4"/>
  <cols>
    <col min="1" max="2" width="15.21875" customWidth="1"/>
    <col min="3" max="3" width="28.21875" customWidth="1"/>
    <col min="4" max="10" width="15.21875" customWidth="1"/>
  </cols>
  <sheetData>
    <row r="1" spans="1:10" ht="28.8">
      <c r="A1" s="11" t="s">
        <v>267</v>
      </c>
      <c r="B1" s="4" t="s">
        <v>268</v>
      </c>
      <c r="C1" s="4" t="s">
        <v>307</v>
      </c>
      <c r="D1" s="5" t="s">
        <v>269</v>
      </c>
      <c r="E1" s="5" t="s">
        <v>270</v>
      </c>
      <c r="F1" s="5" t="s">
        <v>308</v>
      </c>
      <c r="G1" s="5" t="s">
        <v>309</v>
      </c>
      <c r="H1" s="5" t="s">
        <v>271</v>
      </c>
      <c r="I1" s="5" t="s">
        <v>272</v>
      </c>
      <c r="J1" s="5" t="s">
        <v>273</v>
      </c>
    </row>
    <row r="2" spans="1:10">
      <c r="A2" s="6" t="s">
        <v>282</v>
      </c>
      <c r="B2" s="7" t="s">
        <v>283</v>
      </c>
      <c r="C2" s="7" t="s">
        <v>401</v>
      </c>
      <c r="D2" s="13">
        <v>0.84563059045562805</v>
      </c>
      <c r="E2" s="13" t="s">
        <v>400</v>
      </c>
      <c r="F2" s="13" t="s">
        <v>400</v>
      </c>
      <c r="G2" s="13" t="s">
        <v>400</v>
      </c>
      <c r="H2" s="13">
        <v>0.84563059045562805</v>
      </c>
      <c r="I2" s="13">
        <v>0</v>
      </c>
      <c r="J2" s="13">
        <v>0</v>
      </c>
    </row>
    <row r="3" spans="1:10">
      <c r="A3" s="6" t="s">
        <v>284</v>
      </c>
      <c r="B3" s="7" t="s">
        <v>283</v>
      </c>
      <c r="C3" s="7" t="s">
        <v>401</v>
      </c>
      <c r="D3" s="13">
        <v>0.79853341257566002</v>
      </c>
      <c r="E3" s="13" t="s">
        <v>400</v>
      </c>
      <c r="F3" s="13" t="s">
        <v>400</v>
      </c>
      <c r="G3" s="13" t="s">
        <v>400</v>
      </c>
      <c r="H3" s="13">
        <v>0.79853341257566002</v>
      </c>
      <c r="I3" s="13">
        <v>0</v>
      </c>
      <c r="J3" s="13">
        <v>0</v>
      </c>
    </row>
    <row r="4" spans="1:10">
      <c r="A4" s="6" t="s">
        <v>285</v>
      </c>
      <c r="B4" s="7" t="s">
        <v>283</v>
      </c>
      <c r="C4" s="7" t="s">
        <v>401</v>
      </c>
      <c r="D4" s="13">
        <v>0.86552926726510604</v>
      </c>
      <c r="E4" s="13" t="s">
        <v>400</v>
      </c>
      <c r="F4" s="13" t="s">
        <v>400</v>
      </c>
      <c r="G4" s="13" t="s">
        <v>400</v>
      </c>
      <c r="H4" s="13">
        <v>0.86552926726510604</v>
      </c>
      <c r="I4" s="13">
        <v>0</v>
      </c>
      <c r="J4" s="13">
        <v>0</v>
      </c>
    </row>
    <row r="5" spans="1:10">
      <c r="A5" s="6" t="s">
        <v>286</v>
      </c>
      <c r="B5" s="7" t="s">
        <v>283</v>
      </c>
      <c r="C5" s="7" t="s">
        <v>401</v>
      </c>
      <c r="D5" s="13">
        <v>0.82761772835216796</v>
      </c>
      <c r="E5" s="13" t="s">
        <v>400</v>
      </c>
      <c r="F5" s="13" t="s">
        <v>400</v>
      </c>
      <c r="G5" s="13" t="s">
        <v>400</v>
      </c>
      <c r="H5" s="13">
        <v>0.82761772835216796</v>
      </c>
      <c r="I5" s="13">
        <v>0</v>
      </c>
      <c r="J5" s="13">
        <v>0</v>
      </c>
    </row>
    <row r="6" spans="1:10">
      <c r="A6" s="6" t="s">
        <v>287</v>
      </c>
      <c r="B6" s="7" t="s">
        <v>283</v>
      </c>
      <c r="C6" s="7" t="s">
        <v>401</v>
      </c>
      <c r="D6" s="13">
        <v>0.82761772835216796</v>
      </c>
      <c r="E6" s="13" t="s">
        <v>400</v>
      </c>
      <c r="F6" s="13" t="s">
        <v>400</v>
      </c>
      <c r="G6" s="13" t="s">
        <v>400</v>
      </c>
      <c r="H6" s="13">
        <v>0.82761772835216796</v>
      </c>
      <c r="I6" s="13">
        <v>0</v>
      </c>
      <c r="J6" s="13">
        <v>0</v>
      </c>
    </row>
    <row r="7" spans="1:10">
      <c r="A7" s="6" t="s">
        <v>288</v>
      </c>
      <c r="B7" s="7" t="s">
        <v>283</v>
      </c>
      <c r="C7" s="7" t="s">
        <v>401</v>
      </c>
      <c r="D7" s="13">
        <v>0.85238510783690102</v>
      </c>
      <c r="E7" s="13" t="s">
        <v>400</v>
      </c>
      <c r="F7" s="13" t="s">
        <v>400</v>
      </c>
      <c r="G7" s="13" t="s">
        <v>400</v>
      </c>
      <c r="H7" s="13">
        <v>0.85238510783690102</v>
      </c>
      <c r="I7" s="13">
        <v>0</v>
      </c>
      <c r="J7" s="13">
        <v>0</v>
      </c>
    </row>
    <row r="8" spans="1:10">
      <c r="A8" s="6" t="s">
        <v>289</v>
      </c>
      <c r="B8" s="7" t="s">
        <v>283</v>
      </c>
      <c r="C8" s="7" t="s">
        <v>401</v>
      </c>
      <c r="D8" s="13">
        <v>0.83772399748774895</v>
      </c>
      <c r="E8" s="13" t="s">
        <v>400</v>
      </c>
      <c r="F8" s="13" t="s">
        <v>400</v>
      </c>
      <c r="G8" s="13" t="s">
        <v>400</v>
      </c>
      <c r="H8" s="13">
        <v>0.83772399748774895</v>
      </c>
      <c r="I8" s="13">
        <v>0</v>
      </c>
      <c r="J8" s="13">
        <v>0</v>
      </c>
    </row>
    <row r="9" spans="1:10">
      <c r="A9" s="6" t="s">
        <v>290</v>
      </c>
      <c r="B9" s="7" t="s">
        <v>283</v>
      </c>
      <c r="C9" s="7" t="s">
        <v>401</v>
      </c>
      <c r="D9" s="13">
        <v>0.822993632590312</v>
      </c>
      <c r="E9" s="13" t="s">
        <v>400</v>
      </c>
      <c r="F9" s="13" t="s">
        <v>400</v>
      </c>
      <c r="G9" s="13" t="s">
        <v>400</v>
      </c>
      <c r="H9" s="13">
        <v>0.822993632590312</v>
      </c>
      <c r="I9" s="13">
        <v>0</v>
      </c>
      <c r="J9" s="13">
        <v>0</v>
      </c>
    </row>
    <row r="10" spans="1:10">
      <c r="A10" s="6" t="s">
        <v>291</v>
      </c>
      <c r="B10" s="7" t="s">
        <v>283</v>
      </c>
      <c r="C10" s="7" t="s">
        <v>401</v>
      </c>
      <c r="D10" s="13">
        <v>0.88393635036396301</v>
      </c>
      <c r="E10" s="13" t="s">
        <v>400</v>
      </c>
      <c r="F10" s="13" t="s">
        <v>400</v>
      </c>
      <c r="G10" s="13" t="s">
        <v>400</v>
      </c>
      <c r="H10" s="13">
        <v>0.88393635036396301</v>
      </c>
      <c r="I10" s="13">
        <v>0</v>
      </c>
      <c r="J10" s="13">
        <v>0</v>
      </c>
    </row>
    <row r="11" spans="1:10">
      <c r="A11" s="6" t="s">
        <v>292</v>
      </c>
      <c r="B11" s="7" t="s">
        <v>283</v>
      </c>
      <c r="C11" s="7" t="s">
        <v>401</v>
      </c>
      <c r="D11" s="13">
        <v>1</v>
      </c>
      <c r="E11" s="13" t="s">
        <v>400</v>
      </c>
      <c r="F11" s="13" t="s">
        <v>400</v>
      </c>
      <c r="G11" s="13" t="s">
        <v>400</v>
      </c>
      <c r="H11" s="13">
        <v>1</v>
      </c>
      <c r="I11" s="13">
        <v>0</v>
      </c>
      <c r="J11" s="13">
        <v>0</v>
      </c>
    </row>
    <row r="12" spans="1:10">
      <c r="A12" s="6" t="s">
        <v>293</v>
      </c>
      <c r="B12" s="7" t="s">
        <v>283</v>
      </c>
      <c r="C12" s="7" t="s">
        <v>401</v>
      </c>
      <c r="D12" s="13">
        <v>0.81776839843446103</v>
      </c>
      <c r="E12" s="13" t="s">
        <v>400</v>
      </c>
      <c r="F12" s="13" t="s">
        <v>400</v>
      </c>
      <c r="G12" s="13" t="s">
        <v>400</v>
      </c>
      <c r="H12" s="13">
        <v>0.81776839843446103</v>
      </c>
      <c r="I12" s="13">
        <v>0</v>
      </c>
      <c r="J12" s="13">
        <v>0</v>
      </c>
    </row>
    <row r="13" spans="1:10">
      <c r="A13" s="6" t="s">
        <v>294</v>
      </c>
      <c r="B13" s="7" t="s">
        <v>283</v>
      </c>
      <c r="C13" s="7" t="s">
        <v>401</v>
      </c>
      <c r="D13" s="13">
        <v>0.86099786026060598</v>
      </c>
      <c r="E13" s="13" t="s">
        <v>400</v>
      </c>
      <c r="F13" s="13" t="s">
        <v>400</v>
      </c>
      <c r="G13" s="13" t="s">
        <v>400</v>
      </c>
      <c r="H13" s="13">
        <v>0.86099786026060598</v>
      </c>
      <c r="I13" s="13">
        <v>0</v>
      </c>
      <c r="J13" s="13">
        <v>0</v>
      </c>
    </row>
    <row r="14" spans="1:10">
      <c r="A14" s="6" t="s">
        <v>295</v>
      </c>
      <c r="B14" s="7" t="s">
        <v>283</v>
      </c>
      <c r="C14" s="7" t="s">
        <v>401</v>
      </c>
      <c r="D14" s="13">
        <v>0.81007305047593303</v>
      </c>
      <c r="E14" s="13" t="s">
        <v>400</v>
      </c>
      <c r="F14" s="13" t="s">
        <v>400</v>
      </c>
      <c r="G14" s="13" t="s">
        <v>400</v>
      </c>
      <c r="H14" s="13">
        <v>0.81007305047593303</v>
      </c>
      <c r="I14" s="13">
        <v>0</v>
      </c>
      <c r="J14" s="13">
        <v>0</v>
      </c>
    </row>
    <row r="15" spans="1:10">
      <c r="A15" s="6" t="s">
        <v>296</v>
      </c>
      <c r="B15" s="7" t="s">
        <v>283</v>
      </c>
      <c r="C15" s="7" t="s">
        <v>401</v>
      </c>
      <c r="D15" s="13">
        <v>0.842084754871259</v>
      </c>
      <c r="E15" s="13" t="s">
        <v>400</v>
      </c>
      <c r="F15" s="13" t="s">
        <v>400</v>
      </c>
      <c r="G15" s="13" t="s">
        <v>400</v>
      </c>
      <c r="H15" s="13">
        <v>0.842084754871259</v>
      </c>
      <c r="I15" s="13">
        <v>0</v>
      </c>
      <c r="J15" s="13">
        <v>0</v>
      </c>
    </row>
    <row r="16" spans="1:10">
      <c r="A16" s="6" t="s">
        <v>297</v>
      </c>
      <c r="B16" s="7" t="s">
        <v>283</v>
      </c>
      <c r="C16" s="7" t="s">
        <v>401</v>
      </c>
      <c r="D16" s="13">
        <v>0.89380105166034596</v>
      </c>
      <c r="E16" s="13" t="s">
        <v>400</v>
      </c>
      <c r="F16" s="13" t="s">
        <v>400</v>
      </c>
      <c r="G16" s="13" t="s">
        <v>400</v>
      </c>
      <c r="H16" s="13">
        <v>0.89380105166034596</v>
      </c>
      <c r="I16" s="13">
        <v>0</v>
      </c>
      <c r="J16" s="13">
        <v>0</v>
      </c>
    </row>
    <row r="17" spans="1:10">
      <c r="A17" s="6" t="s">
        <v>298</v>
      </c>
      <c r="B17" s="7" t="s">
        <v>283</v>
      </c>
      <c r="C17" s="7" t="s">
        <v>401</v>
      </c>
      <c r="D17" s="13">
        <v>0.98331805782898496</v>
      </c>
      <c r="E17" s="13" t="s">
        <v>400</v>
      </c>
      <c r="F17" s="13" t="s">
        <v>400</v>
      </c>
      <c r="G17" s="13" t="s">
        <v>400</v>
      </c>
      <c r="H17" s="13">
        <v>0.98331805782898496</v>
      </c>
      <c r="I17" s="13">
        <v>0</v>
      </c>
      <c r="J17" s="13">
        <v>0</v>
      </c>
    </row>
    <row r="18" spans="1:10">
      <c r="A18" s="6" t="s">
        <v>299</v>
      </c>
      <c r="B18" s="7" t="s">
        <v>283</v>
      </c>
      <c r="C18" s="7" t="s">
        <v>401</v>
      </c>
      <c r="D18" s="13">
        <v>0.94722377413625403</v>
      </c>
      <c r="E18" s="13" t="s">
        <v>400</v>
      </c>
      <c r="F18" s="13" t="s">
        <v>400</v>
      </c>
      <c r="G18" s="13" t="s">
        <v>400</v>
      </c>
      <c r="H18" s="13">
        <v>0.94722377413625403</v>
      </c>
      <c r="I18" s="13">
        <v>0</v>
      </c>
      <c r="J18" s="13">
        <v>0</v>
      </c>
    </row>
    <row r="22" spans="1:10" ht="28.8">
      <c r="A22" s="11" t="s">
        <v>267</v>
      </c>
      <c r="B22" s="4" t="s">
        <v>268</v>
      </c>
      <c r="C22" s="4" t="s">
        <v>307</v>
      </c>
      <c r="D22" s="5" t="s">
        <v>269</v>
      </c>
      <c r="E22" s="5" t="s">
        <v>270</v>
      </c>
      <c r="F22" s="5" t="s">
        <v>308</v>
      </c>
      <c r="G22" s="5" t="s">
        <v>309</v>
      </c>
      <c r="H22" s="5" t="s">
        <v>271</v>
      </c>
      <c r="I22" s="5" t="s">
        <v>272</v>
      </c>
      <c r="J22" s="5" t="s">
        <v>273</v>
      </c>
    </row>
    <row r="23" spans="1:10">
      <c r="A23" s="6" t="s">
        <v>282</v>
      </c>
      <c r="B23" s="7" t="s">
        <v>283</v>
      </c>
      <c r="C23" s="7" t="s">
        <v>402</v>
      </c>
      <c r="D23" s="13">
        <v>5.9735148462676302E-2</v>
      </c>
      <c r="E23" s="13" t="s">
        <v>400</v>
      </c>
      <c r="F23" s="13" t="s">
        <v>400</v>
      </c>
      <c r="G23" s="13" t="s">
        <v>400</v>
      </c>
      <c r="H23" s="13">
        <v>5.9735148462676302E-2</v>
      </c>
      <c r="I23" s="13">
        <v>0</v>
      </c>
      <c r="J23" s="13">
        <v>0</v>
      </c>
    </row>
    <row r="24" spans="1:10">
      <c r="A24" s="6" t="s">
        <v>284</v>
      </c>
      <c r="B24" s="7" t="s">
        <v>283</v>
      </c>
      <c r="C24" s="7" t="s">
        <v>402</v>
      </c>
      <c r="D24" s="13">
        <v>2.6408902729295001E-2</v>
      </c>
      <c r="E24" s="13" t="s">
        <v>400</v>
      </c>
      <c r="F24" s="13" t="s">
        <v>400</v>
      </c>
      <c r="G24" s="13" t="s">
        <v>400</v>
      </c>
      <c r="H24" s="13">
        <v>2.6408902729295001E-2</v>
      </c>
      <c r="I24" s="13">
        <v>0</v>
      </c>
      <c r="J24" s="13">
        <v>0</v>
      </c>
    </row>
    <row r="25" spans="1:10">
      <c r="A25" s="6" t="s">
        <v>285</v>
      </c>
      <c r="B25" s="7" t="s">
        <v>283</v>
      </c>
      <c r="C25" s="7" t="s">
        <v>402</v>
      </c>
      <c r="D25" s="13">
        <v>3.2667560068236998E-2</v>
      </c>
      <c r="E25" s="13" t="s">
        <v>400</v>
      </c>
      <c r="F25" s="13" t="s">
        <v>400</v>
      </c>
      <c r="G25" s="13" t="s">
        <v>400</v>
      </c>
      <c r="H25" s="13">
        <v>3.2667560068236998E-2</v>
      </c>
      <c r="I25" s="13">
        <v>0</v>
      </c>
      <c r="J25" s="13">
        <v>0</v>
      </c>
    </row>
    <row r="26" spans="1:10">
      <c r="A26" s="6" t="s">
        <v>286</v>
      </c>
      <c r="B26" s="7" t="s">
        <v>283</v>
      </c>
      <c r="C26" s="7" t="s">
        <v>402</v>
      </c>
      <c r="D26" s="13">
        <v>9.271867508626E-2</v>
      </c>
      <c r="E26" s="13" t="s">
        <v>400</v>
      </c>
      <c r="F26" s="13" t="s">
        <v>400</v>
      </c>
      <c r="G26" s="13" t="s">
        <v>400</v>
      </c>
      <c r="H26" s="13">
        <v>9.271867508626E-2</v>
      </c>
      <c r="I26" s="13">
        <v>0</v>
      </c>
      <c r="J26" s="13">
        <v>0</v>
      </c>
    </row>
    <row r="27" spans="1:10">
      <c r="A27" s="6" t="s">
        <v>287</v>
      </c>
      <c r="B27" s="7" t="s">
        <v>283</v>
      </c>
      <c r="C27" s="7" t="s">
        <v>402</v>
      </c>
      <c r="D27" s="13">
        <v>9.271867508626E-2</v>
      </c>
      <c r="E27" s="13" t="s">
        <v>400</v>
      </c>
      <c r="F27" s="13" t="s">
        <v>400</v>
      </c>
      <c r="G27" s="13" t="s">
        <v>400</v>
      </c>
      <c r="H27" s="13">
        <v>9.271867508626E-2</v>
      </c>
      <c r="I27" s="13">
        <v>0</v>
      </c>
      <c r="J27" s="13">
        <v>0</v>
      </c>
    </row>
    <row r="28" spans="1:10">
      <c r="A28" s="6" t="s">
        <v>288</v>
      </c>
      <c r="B28" s="7" t="s">
        <v>283</v>
      </c>
      <c r="C28" s="7" t="s">
        <v>402</v>
      </c>
      <c r="D28" s="13">
        <v>0.127723058991211</v>
      </c>
      <c r="E28" s="13" t="s">
        <v>400</v>
      </c>
      <c r="F28" s="13" t="s">
        <v>400</v>
      </c>
      <c r="G28" s="13" t="s">
        <v>400</v>
      </c>
      <c r="H28" s="13">
        <v>0.127723058991211</v>
      </c>
      <c r="I28" s="13">
        <v>0</v>
      </c>
      <c r="J28" s="13">
        <v>0</v>
      </c>
    </row>
    <row r="29" spans="1:10">
      <c r="A29" s="6" t="s">
        <v>289</v>
      </c>
      <c r="B29" s="7" t="s">
        <v>283</v>
      </c>
      <c r="C29" s="7" t="s">
        <v>402</v>
      </c>
      <c r="D29" s="13">
        <v>4.87420444037647E-2</v>
      </c>
      <c r="E29" s="13" t="s">
        <v>400</v>
      </c>
      <c r="F29" s="13" t="s">
        <v>400</v>
      </c>
      <c r="G29" s="13" t="s">
        <v>400</v>
      </c>
      <c r="H29" s="13">
        <v>4.87420444037647E-2</v>
      </c>
      <c r="I29" s="13">
        <v>0</v>
      </c>
      <c r="J29" s="13">
        <v>0</v>
      </c>
    </row>
    <row r="30" spans="1:10">
      <c r="A30" s="6" t="s">
        <v>290</v>
      </c>
      <c r="B30" s="7" t="s">
        <v>283</v>
      </c>
      <c r="C30" s="7" t="s">
        <v>402</v>
      </c>
      <c r="D30" s="13">
        <v>6.8151284483621496E-2</v>
      </c>
      <c r="E30" s="13" t="s">
        <v>400</v>
      </c>
      <c r="F30" s="13" t="s">
        <v>400</v>
      </c>
      <c r="G30" s="13" t="s">
        <v>400</v>
      </c>
      <c r="H30" s="13">
        <v>6.8151284483621496E-2</v>
      </c>
      <c r="I30" s="13">
        <v>0</v>
      </c>
      <c r="J30" s="13">
        <v>0</v>
      </c>
    </row>
    <row r="31" spans="1:10">
      <c r="A31" s="6" t="s">
        <v>291</v>
      </c>
      <c r="B31" s="7" t="s">
        <v>283</v>
      </c>
      <c r="C31" s="7" t="s">
        <v>402</v>
      </c>
      <c r="D31" s="13">
        <v>7.5522799977040395E-2</v>
      </c>
      <c r="E31" s="13" t="s">
        <v>400</v>
      </c>
      <c r="F31" s="13" t="s">
        <v>400</v>
      </c>
      <c r="G31" s="13" t="s">
        <v>400</v>
      </c>
      <c r="H31" s="13">
        <v>7.5522799977040395E-2</v>
      </c>
      <c r="I31" s="13">
        <v>0</v>
      </c>
      <c r="J31" s="13">
        <v>0</v>
      </c>
    </row>
    <row r="32" spans="1:10">
      <c r="A32" s="6" t="s">
        <v>292</v>
      </c>
      <c r="B32" s="7" t="s">
        <v>283</v>
      </c>
      <c r="C32" s="7" t="s">
        <v>402</v>
      </c>
      <c r="D32" s="13">
        <v>0.111546545787488</v>
      </c>
      <c r="E32" s="13" t="s">
        <v>400</v>
      </c>
      <c r="F32" s="13" t="s">
        <v>400</v>
      </c>
      <c r="G32" s="13" t="s">
        <v>400</v>
      </c>
      <c r="H32" s="13">
        <v>0.111546545787488</v>
      </c>
      <c r="I32" s="13">
        <v>0</v>
      </c>
      <c r="J32" s="13">
        <v>0</v>
      </c>
    </row>
    <row r="33" spans="1:10">
      <c r="A33" s="6" t="s">
        <v>293</v>
      </c>
      <c r="B33" s="7" t="s">
        <v>283</v>
      </c>
      <c r="C33" s="7" t="s">
        <v>402</v>
      </c>
      <c r="D33" s="13">
        <v>4.86346609673367E-2</v>
      </c>
      <c r="E33" s="13" t="s">
        <v>400</v>
      </c>
      <c r="F33" s="13" t="s">
        <v>400</v>
      </c>
      <c r="G33" s="13" t="s">
        <v>400</v>
      </c>
      <c r="H33" s="13">
        <v>4.86346609673367E-2</v>
      </c>
      <c r="I33" s="13">
        <v>0</v>
      </c>
      <c r="J33" s="13">
        <v>0</v>
      </c>
    </row>
    <row r="34" spans="1:10">
      <c r="A34" s="6" t="s">
        <v>294</v>
      </c>
      <c r="B34" s="7" t="s">
        <v>283</v>
      </c>
      <c r="C34" s="7" t="s">
        <v>402</v>
      </c>
      <c r="D34" s="13">
        <v>4.1049525742992699E-2</v>
      </c>
      <c r="E34" s="13" t="s">
        <v>400</v>
      </c>
      <c r="F34" s="13" t="s">
        <v>400</v>
      </c>
      <c r="G34" s="13" t="s">
        <v>400</v>
      </c>
      <c r="H34" s="13">
        <v>4.1049525742992699E-2</v>
      </c>
      <c r="I34" s="13">
        <v>0</v>
      </c>
      <c r="J34" s="13">
        <v>0</v>
      </c>
    </row>
    <row r="35" spans="1:10">
      <c r="A35" s="6" t="s">
        <v>295</v>
      </c>
      <c r="B35" s="7" t="s">
        <v>283</v>
      </c>
      <c r="C35" s="7" t="s">
        <v>402</v>
      </c>
      <c r="D35" s="13">
        <v>6.6648231274529707E-2</v>
      </c>
      <c r="E35" s="13" t="s">
        <v>400</v>
      </c>
      <c r="F35" s="13" t="s">
        <v>400</v>
      </c>
      <c r="G35" s="13" t="s">
        <v>400</v>
      </c>
      <c r="H35" s="13">
        <v>6.6648231274529707E-2</v>
      </c>
      <c r="I35" s="13">
        <v>0</v>
      </c>
      <c r="J35" s="13">
        <v>0</v>
      </c>
    </row>
    <row r="36" spans="1:10">
      <c r="A36" s="6" t="s">
        <v>296</v>
      </c>
      <c r="B36" s="7" t="s">
        <v>283</v>
      </c>
      <c r="C36" s="7" t="s">
        <v>402</v>
      </c>
      <c r="D36" s="13">
        <v>5.96015838255117E-2</v>
      </c>
      <c r="E36" s="13" t="s">
        <v>400</v>
      </c>
      <c r="F36" s="13" t="s">
        <v>400</v>
      </c>
      <c r="G36" s="13" t="s">
        <v>400</v>
      </c>
      <c r="H36" s="13">
        <v>5.96015838255117E-2</v>
      </c>
      <c r="I36" s="13">
        <v>0</v>
      </c>
      <c r="J36" s="13">
        <v>0</v>
      </c>
    </row>
    <row r="37" spans="1:10">
      <c r="A37" s="6" t="s">
        <v>297</v>
      </c>
      <c r="B37" s="7" t="s">
        <v>283</v>
      </c>
      <c r="C37" s="7" t="s">
        <v>402</v>
      </c>
      <c r="D37" s="13">
        <v>4.5894929134666397E-2</v>
      </c>
      <c r="E37" s="13" t="s">
        <v>400</v>
      </c>
      <c r="F37" s="13" t="s">
        <v>400</v>
      </c>
      <c r="G37" s="13" t="s">
        <v>400</v>
      </c>
      <c r="H37" s="13">
        <v>4.5894929134666397E-2</v>
      </c>
      <c r="I37" s="13">
        <v>0</v>
      </c>
      <c r="J37" s="13">
        <v>0</v>
      </c>
    </row>
    <row r="38" spans="1:10">
      <c r="A38" s="6" t="s">
        <v>298</v>
      </c>
      <c r="B38" s="7" t="s">
        <v>283</v>
      </c>
      <c r="C38" s="7" t="s">
        <v>402</v>
      </c>
      <c r="D38" s="13">
        <v>7.9669923677834806E-2</v>
      </c>
      <c r="E38" s="13" t="s">
        <v>400</v>
      </c>
      <c r="F38" s="13" t="s">
        <v>400</v>
      </c>
      <c r="G38" s="13" t="s">
        <v>400</v>
      </c>
      <c r="H38" s="13">
        <v>7.9669923677834806E-2</v>
      </c>
      <c r="I38" s="13">
        <v>0</v>
      </c>
      <c r="J38" s="13">
        <v>0</v>
      </c>
    </row>
    <row r="39" spans="1:10">
      <c r="A39" s="6" t="s">
        <v>299</v>
      </c>
      <c r="B39" s="7" t="s">
        <v>283</v>
      </c>
      <c r="C39" s="7" t="s">
        <v>402</v>
      </c>
      <c r="D39" s="13">
        <v>2.5770434803415801E-2</v>
      </c>
      <c r="E39" s="13" t="s">
        <v>400</v>
      </c>
      <c r="F39" s="13" t="s">
        <v>400</v>
      </c>
      <c r="G39" s="13" t="s">
        <v>400</v>
      </c>
      <c r="H39" s="13">
        <v>2.5770434803415801E-2</v>
      </c>
      <c r="I39" s="13">
        <v>0</v>
      </c>
      <c r="J39" s="13">
        <v>0</v>
      </c>
    </row>
    <row r="41" spans="1:10" ht="28.8">
      <c r="A41" s="11" t="s">
        <v>267</v>
      </c>
      <c r="B41" s="4" t="s">
        <v>268</v>
      </c>
      <c r="C41" s="4" t="s">
        <v>307</v>
      </c>
      <c r="D41" s="5" t="s">
        <v>269</v>
      </c>
      <c r="E41" s="5" t="s">
        <v>270</v>
      </c>
      <c r="F41" s="5" t="s">
        <v>308</v>
      </c>
      <c r="G41" s="5" t="s">
        <v>309</v>
      </c>
      <c r="H41" s="5" t="s">
        <v>271</v>
      </c>
      <c r="I41" s="5" t="s">
        <v>272</v>
      </c>
      <c r="J41" s="5" t="s">
        <v>273</v>
      </c>
    </row>
    <row r="42" spans="1:10">
      <c r="A42" s="6" t="s">
        <v>282</v>
      </c>
      <c r="B42" s="7" t="s">
        <v>283</v>
      </c>
      <c r="C42" s="7" t="s">
        <v>403</v>
      </c>
      <c r="D42" s="13">
        <v>3.2878384668542498E-4</v>
      </c>
      <c r="E42" s="13" t="s">
        <v>400</v>
      </c>
      <c r="F42" s="13" t="s">
        <v>400</v>
      </c>
      <c r="G42" s="13" t="s">
        <v>400</v>
      </c>
      <c r="H42" s="13">
        <v>3.2878384668542498E-4</v>
      </c>
      <c r="I42" s="13">
        <v>0</v>
      </c>
      <c r="J42" s="13">
        <v>0</v>
      </c>
    </row>
    <row r="43" spans="1:10">
      <c r="A43" s="6" t="s">
        <v>284</v>
      </c>
      <c r="B43" s="7" t="s">
        <v>283</v>
      </c>
      <c r="C43" s="7" t="s">
        <v>403</v>
      </c>
      <c r="D43" s="13">
        <v>0</v>
      </c>
      <c r="E43" s="13" t="s">
        <v>400</v>
      </c>
      <c r="F43" s="13" t="s">
        <v>400</v>
      </c>
      <c r="G43" s="13" t="s">
        <v>400</v>
      </c>
      <c r="H43" s="13">
        <v>0</v>
      </c>
      <c r="I43" s="13">
        <v>0</v>
      </c>
      <c r="J43" s="13">
        <v>0</v>
      </c>
    </row>
    <row r="44" spans="1:10">
      <c r="A44" s="6" t="s">
        <v>285</v>
      </c>
      <c r="B44" s="7" t="s">
        <v>283</v>
      </c>
      <c r="C44" s="7" t="s">
        <v>403</v>
      </c>
      <c r="D44" s="13">
        <v>0</v>
      </c>
      <c r="E44" s="13" t="s">
        <v>400</v>
      </c>
      <c r="F44" s="13" t="s">
        <v>400</v>
      </c>
      <c r="G44" s="13" t="s">
        <v>400</v>
      </c>
      <c r="H44" s="13">
        <v>0</v>
      </c>
      <c r="I44" s="13">
        <v>0</v>
      </c>
      <c r="J44" s="13">
        <v>0</v>
      </c>
    </row>
    <row r="45" spans="1:10">
      <c r="A45" s="6" t="s">
        <v>286</v>
      </c>
      <c r="B45" s="7" t="s">
        <v>283</v>
      </c>
      <c r="C45" s="7" t="s">
        <v>403</v>
      </c>
      <c r="D45" s="13">
        <v>0</v>
      </c>
      <c r="E45" s="13" t="s">
        <v>400</v>
      </c>
      <c r="F45" s="13" t="s">
        <v>400</v>
      </c>
      <c r="G45" s="13" t="s">
        <v>400</v>
      </c>
      <c r="H45" s="13">
        <v>0</v>
      </c>
      <c r="I45" s="13">
        <v>0</v>
      </c>
      <c r="J45" s="13">
        <v>0</v>
      </c>
    </row>
    <row r="46" spans="1:10">
      <c r="A46" s="6" t="s">
        <v>287</v>
      </c>
      <c r="B46" s="7" t="s">
        <v>283</v>
      </c>
      <c r="C46" s="7" t="s">
        <v>403</v>
      </c>
      <c r="D46" s="13">
        <v>0</v>
      </c>
      <c r="E46" s="13" t="s">
        <v>400</v>
      </c>
      <c r="F46" s="13" t="s">
        <v>400</v>
      </c>
      <c r="G46" s="13" t="s">
        <v>400</v>
      </c>
      <c r="H46" s="13">
        <v>0</v>
      </c>
      <c r="I46" s="13">
        <v>0</v>
      </c>
      <c r="J46" s="13">
        <v>0</v>
      </c>
    </row>
    <row r="47" spans="1:10">
      <c r="A47" s="6" t="s">
        <v>288</v>
      </c>
      <c r="B47" s="7" t="s">
        <v>283</v>
      </c>
      <c r="C47" s="7" t="s">
        <v>403</v>
      </c>
      <c r="D47" s="13">
        <v>0</v>
      </c>
      <c r="E47" s="13" t="s">
        <v>400</v>
      </c>
      <c r="F47" s="13" t="s">
        <v>400</v>
      </c>
      <c r="G47" s="13" t="s">
        <v>400</v>
      </c>
      <c r="H47" s="13">
        <v>0</v>
      </c>
      <c r="I47" s="13">
        <v>0</v>
      </c>
      <c r="J47" s="13">
        <v>0</v>
      </c>
    </row>
    <row r="48" spans="1:10">
      <c r="A48" s="6" t="s">
        <v>289</v>
      </c>
      <c r="B48" s="7" t="s">
        <v>283</v>
      </c>
      <c r="C48" s="7" t="s">
        <v>403</v>
      </c>
      <c r="D48" s="13">
        <v>4.9760277828106601E-3</v>
      </c>
      <c r="E48" s="13" t="s">
        <v>400</v>
      </c>
      <c r="F48" s="13" t="s">
        <v>400</v>
      </c>
      <c r="G48" s="13" t="s">
        <v>400</v>
      </c>
      <c r="H48" s="13">
        <v>4.9760277828106601E-3</v>
      </c>
      <c r="I48" s="13">
        <v>0</v>
      </c>
      <c r="J48" s="13">
        <v>0</v>
      </c>
    </row>
    <row r="49" spans="1:10">
      <c r="A49" s="6" t="s">
        <v>290</v>
      </c>
      <c r="B49" s="7" t="s">
        <v>283</v>
      </c>
      <c r="C49" s="7" t="s">
        <v>403</v>
      </c>
      <c r="D49" s="13">
        <v>1.41791389890467E-4</v>
      </c>
      <c r="E49" s="13" t="s">
        <v>400</v>
      </c>
      <c r="F49" s="13" t="s">
        <v>400</v>
      </c>
      <c r="G49" s="13" t="s">
        <v>400</v>
      </c>
      <c r="H49" s="13">
        <v>1.41791389890467E-4</v>
      </c>
      <c r="I49" s="13">
        <v>0</v>
      </c>
      <c r="J49" s="13">
        <v>0</v>
      </c>
    </row>
    <row r="50" spans="1:10">
      <c r="A50" s="6" t="s">
        <v>291</v>
      </c>
      <c r="B50" s="7" t="s">
        <v>283</v>
      </c>
      <c r="C50" s="7" t="s">
        <v>403</v>
      </c>
      <c r="D50" s="13">
        <v>1.1345583292417701E-3</v>
      </c>
      <c r="E50" s="13" t="s">
        <v>400</v>
      </c>
      <c r="F50" s="13" t="s">
        <v>400</v>
      </c>
      <c r="G50" s="13" t="s">
        <v>400</v>
      </c>
      <c r="H50" s="13">
        <v>1.1345583292417701E-3</v>
      </c>
      <c r="I50" s="13">
        <v>0</v>
      </c>
      <c r="J50" s="13">
        <v>0</v>
      </c>
    </row>
    <row r="51" spans="1:10">
      <c r="A51" s="6" t="s">
        <v>292</v>
      </c>
      <c r="B51" s="7" t="s">
        <v>283</v>
      </c>
      <c r="C51" s="7" t="s">
        <v>403</v>
      </c>
      <c r="D51" s="13">
        <v>0</v>
      </c>
      <c r="E51" s="13" t="s">
        <v>400</v>
      </c>
      <c r="F51" s="13" t="s">
        <v>400</v>
      </c>
      <c r="G51" s="13" t="s">
        <v>400</v>
      </c>
      <c r="H51" s="13">
        <v>0</v>
      </c>
      <c r="I51" s="13">
        <v>0</v>
      </c>
      <c r="J51" s="13">
        <v>0</v>
      </c>
    </row>
    <row r="52" spans="1:10">
      <c r="A52" s="6" t="s">
        <v>293</v>
      </c>
      <c r="B52" s="7" t="s">
        <v>283</v>
      </c>
      <c r="C52" s="7" t="s">
        <v>403</v>
      </c>
      <c r="D52" s="13">
        <v>0</v>
      </c>
      <c r="E52" s="13" t="s">
        <v>400</v>
      </c>
      <c r="F52" s="13" t="s">
        <v>400</v>
      </c>
      <c r="G52" s="13" t="s">
        <v>400</v>
      </c>
      <c r="H52" s="13">
        <v>0</v>
      </c>
      <c r="I52" s="13">
        <v>0</v>
      </c>
      <c r="J52" s="13">
        <v>0</v>
      </c>
    </row>
    <row r="53" spans="1:10">
      <c r="A53" s="6" t="s">
        <v>294</v>
      </c>
      <c r="B53" s="7" t="s">
        <v>283</v>
      </c>
      <c r="C53" s="7" t="s">
        <v>403</v>
      </c>
      <c r="D53" s="13">
        <v>0</v>
      </c>
      <c r="E53" s="13" t="s">
        <v>400</v>
      </c>
      <c r="F53" s="13" t="s">
        <v>400</v>
      </c>
      <c r="G53" s="13" t="s">
        <v>400</v>
      </c>
      <c r="H53" s="13">
        <v>0</v>
      </c>
      <c r="I53" s="13">
        <v>0</v>
      </c>
      <c r="J53" s="13">
        <v>0</v>
      </c>
    </row>
    <row r="54" spans="1:10">
      <c r="A54" s="6" t="s">
        <v>295</v>
      </c>
      <c r="B54" s="7" t="s">
        <v>283</v>
      </c>
      <c r="C54" s="7" t="s">
        <v>403</v>
      </c>
      <c r="D54" s="13">
        <v>0</v>
      </c>
      <c r="E54" s="13" t="s">
        <v>400</v>
      </c>
      <c r="F54" s="13" t="s">
        <v>400</v>
      </c>
      <c r="G54" s="13" t="s">
        <v>400</v>
      </c>
      <c r="H54" s="13">
        <v>0</v>
      </c>
      <c r="I54" s="13">
        <v>0</v>
      </c>
      <c r="J54" s="13">
        <v>0</v>
      </c>
    </row>
    <row r="55" spans="1:10">
      <c r="A55" s="6" t="s">
        <v>296</v>
      </c>
      <c r="B55" s="7" t="s">
        <v>283</v>
      </c>
      <c r="C55" s="7" t="s">
        <v>403</v>
      </c>
      <c r="D55" s="13">
        <v>0</v>
      </c>
      <c r="E55" s="13" t="s">
        <v>400</v>
      </c>
      <c r="F55" s="13" t="s">
        <v>400</v>
      </c>
      <c r="G55" s="13" t="s">
        <v>400</v>
      </c>
      <c r="H55" s="13">
        <v>0</v>
      </c>
      <c r="I55" s="13">
        <v>0</v>
      </c>
      <c r="J55" s="13">
        <v>0</v>
      </c>
    </row>
    <row r="56" spans="1:10">
      <c r="A56" s="6" t="s">
        <v>297</v>
      </c>
      <c r="B56" s="7" t="s">
        <v>283</v>
      </c>
      <c r="C56" s="7" t="s">
        <v>403</v>
      </c>
      <c r="D56" s="13">
        <v>0</v>
      </c>
      <c r="E56" s="13" t="s">
        <v>400</v>
      </c>
      <c r="F56" s="13" t="s">
        <v>400</v>
      </c>
      <c r="G56" s="13" t="s">
        <v>400</v>
      </c>
      <c r="H56" s="13">
        <v>0</v>
      </c>
      <c r="I56" s="13">
        <v>0</v>
      </c>
      <c r="J56" s="13">
        <v>0</v>
      </c>
    </row>
    <row r="57" spans="1:10">
      <c r="A57" s="6" t="s">
        <v>298</v>
      </c>
      <c r="B57" s="7" t="s">
        <v>283</v>
      </c>
      <c r="C57" s="7" t="s">
        <v>403</v>
      </c>
      <c r="D57" s="13">
        <v>0</v>
      </c>
      <c r="E57" s="13" t="s">
        <v>400</v>
      </c>
      <c r="F57" s="13" t="s">
        <v>400</v>
      </c>
      <c r="G57" s="13" t="s">
        <v>400</v>
      </c>
      <c r="H57" s="13">
        <v>0</v>
      </c>
      <c r="I57" s="13">
        <v>0</v>
      </c>
      <c r="J57" s="13">
        <v>0</v>
      </c>
    </row>
    <row r="58" spans="1:10">
      <c r="A58" s="6" t="s">
        <v>299</v>
      </c>
      <c r="B58" s="7" t="s">
        <v>283</v>
      </c>
      <c r="C58" s="7" t="s">
        <v>403</v>
      </c>
      <c r="D58" s="13">
        <v>0</v>
      </c>
      <c r="E58" s="13" t="s">
        <v>400</v>
      </c>
      <c r="F58" s="13" t="s">
        <v>400</v>
      </c>
      <c r="G58" s="13" t="s">
        <v>400</v>
      </c>
      <c r="H58" s="13">
        <v>0</v>
      </c>
      <c r="I58" s="13">
        <v>0</v>
      </c>
      <c r="J58" s="13">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6AAB3-37D4-40C4-AD32-87DEB55DC747}">
  <sheetPr codeName="Sheet17"/>
  <dimension ref="A1:AH244"/>
  <sheetViews>
    <sheetView zoomScaleNormal="100" workbookViewId="0">
      <selection sqref="A1:G1"/>
    </sheetView>
  </sheetViews>
  <sheetFormatPr defaultColWidth="8.77734375" defaultRowHeight="13.2"/>
  <cols>
    <col min="1" max="1" width="17.77734375" style="154" customWidth="1"/>
    <col min="2" max="2" width="19" style="154" customWidth="1"/>
    <col min="3" max="3" width="23.21875" style="154" customWidth="1"/>
    <col min="4" max="4" width="21.44140625" style="154" bestFit="1" customWidth="1"/>
    <col min="5" max="5" width="21.21875" style="154" customWidth="1"/>
    <col min="6" max="6" width="13.44140625" style="154" customWidth="1"/>
    <col min="7" max="7" width="19.77734375" style="154" customWidth="1"/>
    <col min="8" max="8" width="54.5546875" style="154" customWidth="1"/>
    <col min="9" max="9" width="9.77734375" style="154" customWidth="1"/>
    <col min="10" max="10" width="13.21875" style="154" customWidth="1"/>
    <col min="11" max="11" width="24" style="154" customWidth="1"/>
    <col min="12" max="12" width="10.5546875" style="154" customWidth="1"/>
    <col min="13" max="13" width="11.44140625" style="154" customWidth="1"/>
    <col min="14" max="14" width="10.5546875" style="154" customWidth="1"/>
    <col min="15" max="15" width="13.21875" style="154" customWidth="1"/>
    <col min="16" max="16" width="9.77734375" style="154" customWidth="1"/>
    <col min="17" max="17" width="9.44140625" style="154" customWidth="1"/>
    <col min="18" max="18" width="12.77734375" style="154" customWidth="1"/>
    <col min="19" max="19" width="14.77734375" style="154" customWidth="1"/>
    <col min="20" max="20" width="20.77734375" style="154" customWidth="1"/>
    <col min="21" max="21" width="19.77734375" style="154" customWidth="1"/>
    <col min="22" max="27" width="8.77734375" style="154"/>
    <col min="28" max="28" width="13.77734375" style="154" bestFit="1" customWidth="1"/>
    <col min="29" max="16384" width="8.77734375" style="154"/>
  </cols>
  <sheetData>
    <row r="1" spans="1:9" ht="25.8" customHeight="1">
      <c r="A1" s="784" t="s">
        <v>404</v>
      </c>
      <c r="B1" s="731"/>
      <c r="C1" s="731"/>
      <c r="D1" s="731"/>
      <c r="E1" s="731"/>
      <c r="F1" s="731"/>
      <c r="G1" s="731"/>
    </row>
    <row r="2" spans="1:9" ht="43.2" customHeight="1">
      <c r="A2" s="269" t="s">
        <v>5</v>
      </c>
      <c r="B2" s="269" t="s">
        <v>405</v>
      </c>
      <c r="C2" s="269" t="s">
        <v>406</v>
      </c>
      <c r="D2" s="547" t="s">
        <v>407</v>
      </c>
      <c r="E2" s="547" t="s">
        <v>408</v>
      </c>
      <c r="F2" s="269" t="s">
        <v>409</v>
      </c>
      <c r="G2" s="269" t="s">
        <v>171</v>
      </c>
      <c r="H2" s="270" t="s">
        <v>410</v>
      </c>
    </row>
    <row r="3" spans="1:9" ht="27.6" customHeight="1">
      <c r="A3" s="785" t="s">
        <v>411</v>
      </c>
      <c r="B3" s="177" t="s">
        <v>412</v>
      </c>
      <c r="C3" s="178" t="s">
        <v>413</v>
      </c>
      <c r="D3" s="191">
        <v>0.6</v>
      </c>
      <c r="E3" s="214" t="s">
        <v>67</v>
      </c>
      <c r="F3" s="253" t="s">
        <v>414</v>
      </c>
      <c r="G3" s="191" t="s">
        <v>415</v>
      </c>
    </row>
    <row r="4" spans="1:9" ht="20.55" customHeight="1">
      <c r="A4" s="785"/>
      <c r="B4" s="785" t="s">
        <v>416</v>
      </c>
      <c r="C4" s="178" t="s">
        <v>417</v>
      </c>
      <c r="D4" s="178">
        <v>0.6</v>
      </c>
      <c r="E4" s="507">
        <v>0.2</v>
      </c>
      <c r="F4" s="698" t="s">
        <v>414</v>
      </c>
      <c r="G4" s="783" t="s">
        <v>418</v>
      </c>
      <c r="H4" s="157" t="s">
        <v>419</v>
      </c>
    </row>
    <row r="5" spans="1:9" ht="19.95" customHeight="1">
      <c r="A5" s="785"/>
      <c r="B5" s="785"/>
      <c r="C5" s="177" t="s">
        <v>420</v>
      </c>
      <c r="D5" s="178">
        <v>0.75</v>
      </c>
      <c r="E5" s="507">
        <v>0.3</v>
      </c>
      <c r="F5" s="698"/>
      <c r="G5" s="783"/>
      <c r="H5" s="157" t="s">
        <v>421</v>
      </c>
    </row>
    <row r="6" spans="1:9" ht="19.95" customHeight="1">
      <c r="A6" s="785"/>
      <c r="B6" s="785"/>
      <c r="C6" s="177" t="s">
        <v>70</v>
      </c>
      <c r="D6" s="178">
        <v>0.4</v>
      </c>
      <c r="E6" s="507">
        <v>0.25</v>
      </c>
      <c r="F6" s="698"/>
      <c r="G6" s="783"/>
      <c r="H6" s="157" t="s">
        <v>421</v>
      </c>
    </row>
    <row r="7" spans="1:9" ht="19.95" customHeight="1">
      <c r="A7" s="785"/>
      <c r="B7" s="785"/>
      <c r="C7" s="177" t="s">
        <v>422</v>
      </c>
      <c r="D7" s="178">
        <v>0.4</v>
      </c>
      <c r="E7" s="507">
        <v>0.2</v>
      </c>
      <c r="F7" s="698"/>
      <c r="G7" s="783"/>
      <c r="H7" s="157" t="s">
        <v>423</v>
      </c>
    </row>
    <row r="8" spans="1:9" ht="19.95" customHeight="1">
      <c r="A8" s="785"/>
      <c r="B8" s="785"/>
      <c r="C8" s="177" t="s">
        <v>424</v>
      </c>
      <c r="D8" s="178">
        <v>0.7</v>
      </c>
      <c r="E8" s="507">
        <v>0.3</v>
      </c>
      <c r="F8" s="698"/>
      <c r="G8" s="783"/>
      <c r="H8" s="157" t="s">
        <v>419</v>
      </c>
    </row>
    <row r="9" spans="1:9" ht="19.95" customHeight="1">
      <c r="A9" s="785"/>
      <c r="B9" s="785"/>
      <c r="C9" s="177" t="s">
        <v>425</v>
      </c>
      <c r="D9" s="178">
        <v>0.5</v>
      </c>
      <c r="E9" s="507"/>
      <c r="F9" s="698"/>
      <c r="G9" s="783"/>
      <c r="H9" s="157"/>
    </row>
    <row r="10" spans="1:9" ht="19.95" customHeight="1">
      <c r="A10" s="785"/>
      <c r="B10" s="785"/>
      <c r="C10" s="177" t="s">
        <v>426</v>
      </c>
      <c r="D10" s="178">
        <v>0.6</v>
      </c>
      <c r="E10" s="507">
        <v>0.35</v>
      </c>
      <c r="F10" s="698"/>
      <c r="G10" s="783"/>
      <c r="H10" s="157" t="s">
        <v>421</v>
      </c>
    </row>
    <row r="11" spans="1:9" ht="19.95" customHeight="1">
      <c r="A11" s="785"/>
      <c r="B11" s="785"/>
      <c r="C11" s="177" t="s">
        <v>65</v>
      </c>
      <c r="D11" s="178">
        <v>0.4</v>
      </c>
      <c r="E11" s="507"/>
      <c r="F11" s="698"/>
      <c r="G11" s="783"/>
      <c r="H11" s="216"/>
    </row>
    <row r="12" spans="1:9" ht="31.2" customHeight="1">
      <c r="A12" s="786" t="s">
        <v>427</v>
      </c>
      <c r="B12" s="177" t="s">
        <v>412</v>
      </c>
      <c r="C12" s="178" t="s">
        <v>413</v>
      </c>
      <c r="D12" s="191">
        <v>0.8</v>
      </c>
      <c r="E12" s="507"/>
      <c r="F12" s="254" t="s">
        <v>428</v>
      </c>
      <c r="G12" s="255" t="s">
        <v>429</v>
      </c>
      <c r="H12" s="397"/>
      <c r="I12" s="397"/>
    </row>
    <row r="13" spans="1:9" ht="19.95" customHeight="1">
      <c r="A13" s="787"/>
      <c r="B13" s="785" t="s">
        <v>416</v>
      </c>
      <c r="C13" s="178" t="s">
        <v>417</v>
      </c>
      <c r="D13" s="178">
        <v>0.75</v>
      </c>
      <c r="E13" s="507"/>
      <c r="F13" s="783" t="s">
        <v>430</v>
      </c>
      <c r="G13" s="783" t="s">
        <v>431</v>
      </c>
      <c r="H13" s="397"/>
      <c r="I13" s="397"/>
    </row>
    <row r="14" spans="1:9" ht="19.95" customHeight="1">
      <c r="A14" s="787"/>
      <c r="B14" s="785"/>
      <c r="C14" s="177" t="s">
        <v>420</v>
      </c>
      <c r="D14" s="178">
        <v>1.4</v>
      </c>
      <c r="E14" s="507"/>
      <c r="F14" s="783"/>
      <c r="G14" s="783"/>
      <c r="H14" s="397"/>
      <c r="I14" s="397"/>
    </row>
    <row r="15" spans="1:9" ht="19.95" customHeight="1">
      <c r="A15" s="787"/>
      <c r="B15" s="785"/>
      <c r="C15" s="177" t="s">
        <v>70</v>
      </c>
      <c r="D15" s="178">
        <v>0.6</v>
      </c>
      <c r="E15" s="507"/>
      <c r="F15" s="783"/>
      <c r="G15" s="783"/>
      <c r="H15" s="397"/>
      <c r="I15" s="397"/>
    </row>
    <row r="16" spans="1:9" ht="19.95" customHeight="1">
      <c r="A16" s="787"/>
      <c r="B16" s="785"/>
      <c r="C16" s="177" t="s">
        <v>422</v>
      </c>
      <c r="D16" s="178">
        <v>0.7</v>
      </c>
      <c r="E16" s="507">
        <v>0.5</v>
      </c>
      <c r="F16" s="783"/>
      <c r="G16" s="783"/>
    </row>
    <row r="17" spans="1:9" ht="19.95" customHeight="1">
      <c r="A17" s="787"/>
      <c r="B17" s="785"/>
      <c r="C17" s="177" t="s">
        <v>424</v>
      </c>
      <c r="D17" s="178">
        <v>1.5</v>
      </c>
      <c r="E17" s="507">
        <v>0.5</v>
      </c>
      <c r="F17" s="783"/>
      <c r="G17" s="783"/>
    </row>
    <row r="18" spans="1:9" ht="19.95" customHeight="1">
      <c r="A18" s="787"/>
      <c r="B18" s="785"/>
      <c r="C18" s="199" t="s">
        <v>68</v>
      </c>
      <c r="D18" s="178">
        <v>0.6</v>
      </c>
      <c r="E18" s="508"/>
      <c r="F18" s="783"/>
      <c r="G18" s="783"/>
    </row>
    <row r="19" spans="1:9" ht="25.2" customHeight="1">
      <c r="A19" s="787"/>
      <c r="B19" s="785"/>
      <c r="C19" s="675" t="s">
        <v>426</v>
      </c>
      <c r="D19" s="178">
        <v>0.6</v>
      </c>
      <c r="E19" s="217"/>
      <c r="F19" s="783"/>
      <c r="G19" s="783"/>
      <c r="H19" s="791"/>
      <c r="I19" s="791"/>
    </row>
    <row r="20" spans="1:9" ht="19.95" customHeight="1">
      <c r="A20" s="788"/>
      <c r="B20" s="785"/>
      <c r="C20" s="199" t="s">
        <v>65</v>
      </c>
      <c r="D20" s="218">
        <v>0.6</v>
      </c>
      <c r="E20" s="236"/>
      <c r="F20" s="783"/>
      <c r="G20" s="783"/>
    </row>
    <row r="21" spans="1:9" ht="13.2" customHeight="1">
      <c r="B21" s="202"/>
      <c r="C21" s="202"/>
      <c r="D21" s="202"/>
    </row>
    <row r="22" spans="1:9" ht="13.2" customHeight="1">
      <c r="A22" s="154" t="s">
        <v>432</v>
      </c>
      <c r="B22" s="202"/>
      <c r="C22" s="202"/>
      <c r="D22" s="202"/>
    </row>
    <row r="23" spans="1:9" ht="21" customHeight="1">
      <c r="A23" s="256" t="s">
        <v>433</v>
      </c>
      <c r="B23" s="219"/>
      <c r="C23" s="219"/>
      <c r="D23" s="219"/>
      <c r="E23" s="257"/>
      <c r="F23" s="257"/>
      <c r="G23" s="257"/>
    </row>
    <row r="24" spans="1:9" ht="13.2" customHeight="1">
      <c r="B24" s="202"/>
      <c r="C24" s="202"/>
      <c r="D24" s="202"/>
    </row>
    <row r="25" spans="1:9" ht="13.2" customHeight="1">
      <c r="B25" s="202"/>
      <c r="C25" s="202"/>
      <c r="D25" s="202"/>
    </row>
    <row r="26" spans="1:9" ht="13.2" customHeight="1">
      <c r="B26" s="202"/>
      <c r="C26" s="202"/>
      <c r="D26" s="202"/>
    </row>
    <row r="27" spans="1:9" ht="13.2" customHeight="1">
      <c r="B27" s="202"/>
      <c r="C27" s="202"/>
      <c r="D27" s="202"/>
    </row>
    <row r="28" spans="1:9" ht="13.2" customHeight="1">
      <c r="B28" s="202"/>
      <c r="C28" s="202"/>
      <c r="D28" s="202"/>
    </row>
    <row r="29" spans="1:9" ht="13.2" customHeight="1">
      <c r="B29" s="202"/>
      <c r="C29" s="202"/>
      <c r="D29" s="202"/>
    </row>
    <row r="30" spans="1:9" ht="13.2" customHeight="1">
      <c r="B30" s="202"/>
      <c r="C30" s="202"/>
      <c r="D30" s="202"/>
    </row>
    <row r="31" spans="1:9" ht="13.2" hidden="1" customHeight="1">
      <c r="B31" s="202"/>
      <c r="C31" s="202"/>
      <c r="D31" s="202"/>
    </row>
    <row r="32" spans="1:9" s="207" customFormat="1" hidden="1">
      <c r="A32" s="207" t="s">
        <v>76</v>
      </c>
      <c r="E32" s="208"/>
      <c r="F32" s="209"/>
      <c r="G32" s="210"/>
    </row>
    <row r="33" spans="1:7" s="156" customFormat="1" hidden="1">
      <c r="E33" s="258"/>
      <c r="F33" s="259"/>
      <c r="G33" s="260"/>
    </row>
    <row r="34" spans="1:7" ht="13.2" hidden="1" customHeight="1">
      <c r="A34" s="792" t="s">
        <v>434</v>
      </c>
      <c r="B34" s="792"/>
      <c r="C34" s="792"/>
      <c r="D34" s="793"/>
    </row>
    <row r="35" spans="1:7" ht="42" hidden="1" customHeight="1">
      <c r="A35" s="252" t="s">
        <v>435</v>
      </c>
      <c r="B35" s="218" t="s">
        <v>436</v>
      </c>
      <c r="C35" s="218" t="s">
        <v>437</v>
      </c>
      <c r="D35" s="218" t="s">
        <v>438</v>
      </c>
      <c r="E35" s="218" t="s">
        <v>99</v>
      </c>
    </row>
    <row r="36" spans="1:7" ht="13.2" hidden="1" customHeight="1">
      <c r="A36" s="218">
        <v>2025</v>
      </c>
      <c r="B36" s="218">
        <v>0.6</v>
      </c>
      <c r="C36" s="218" t="s">
        <v>439</v>
      </c>
      <c r="D36" s="218" t="s">
        <v>440</v>
      </c>
      <c r="E36" s="234"/>
    </row>
    <row r="37" spans="1:7" ht="13.2" hidden="1" customHeight="1">
      <c r="A37" s="218">
        <v>2022</v>
      </c>
      <c r="B37" s="218">
        <v>0.6</v>
      </c>
      <c r="C37" s="218" t="s">
        <v>439</v>
      </c>
      <c r="D37" s="218"/>
      <c r="E37" s="234"/>
    </row>
    <row r="38" spans="1:7" ht="13.2" hidden="1" customHeight="1">
      <c r="A38" s="218">
        <v>2019</v>
      </c>
      <c r="B38" s="218">
        <v>0.65</v>
      </c>
      <c r="C38" s="218"/>
      <c r="D38" s="218"/>
      <c r="E38" s="234"/>
    </row>
    <row r="39" spans="1:7" ht="13.2" hidden="1" customHeight="1">
      <c r="A39" s="218">
        <v>2016</v>
      </c>
      <c r="B39" s="218">
        <v>0.8</v>
      </c>
      <c r="C39" s="218"/>
      <c r="D39" s="218"/>
      <c r="E39" s="234"/>
    </row>
    <row r="40" spans="1:7" ht="13.2" hidden="1" customHeight="1">
      <c r="A40" s="218">
        <v>2013</v>
      </c>
      <c r="B40" s="218">
        <v>0.8</v>
      </c>
      <c r="C40" s="218">
        <v>0.75</v>
      </c>
      <c r="D40" s="218"/>
      <c r="E40" s="234"/>
    </row>
    <row r="41" spans="1:7" ht="13.2" hidden="1" customHeight="1">
      <c r="A41" s="218">
        <v>2010</v>
      </c>
      <c r="B41" s="218">
        <v>0.85</v>
      </c>
      <c r="C41" s="218"/>
      <c r="D41" s="218"/>
      <c r="E41" s="234"/>
    </row>
    <row r="42" spans="1:7" ht="13.2" hidden="1" customHeight="1">
      <c r="A42" s="218">
        <v>2008</v>
      </c>
      <c r="B42" s="218">
        <v>8.5000000000000006E-2</v>
      </c>
      <c r="C42" s="218">
        <v>0.9</v>
      </c>
      <c r="D42" s="218" t="s">
        <v>441</v>
      </c>
      <c r="E42" s="234"/>
    </row>
    <row r="43" spans="1:7" ht="13.2" hidden="1" customHeight="1">
      <c r="A43" s="202">
        <v>2005</v>
      </c>
      <c r="B43" s="202"/>
      <c r="C43" s="202">
        <v>1.2</v>
      </c>
      <c r="D43" s="202"/>
    </row>
    <row r="44" spans="1:7" ht="13.2" hidden="1" customHeight="1">
      <c r="A44" s="154" t="s">
        <v>442</v>
      </c>
    </row>
    <row r="45" spans="1:7" ht="13.2" hidden="1" customHeight="1"/>
    <row r="46" spans="1:7" ht="13.2" hidden="1" customHeight="1"/>
    <row r="47" spans="1:7" ht="13.2" hidden="1" customHeight="1">
      <c r="D47" s="202"/>
    </row>
    <row r="48" spans="1:7" s="156" customFormat="1" ht="39.6" hidden="1">
      <c r="A48" s="154"/>
      <c r="B48" s="202" t="s">
        <v>407</v>
      </c>
      <c r="C48" s="202" t="s">
        <v>408</v>
      </c>
      <c r="E48" s="154" t="s">
        <v>443</v>
      </c>
      <c r="F48" s="165" t="s">
        <v>444</v>
      </c>
      <c r="G48" s="260"/>
    </row>
    <row r="49" spans="1:12" ht="13.2" hidden="1" customHeight="1">
      <c r="A49" s="734" t="s">
        <v>445</v>
      </c>
      <c r="B49" s="161">
        <v>0.8</v>
      </c>
      <c r="C49" s="161"/>
      <c r="D49" s="202"/>
      <c r="E49" s="154" t="s">
        <v>446</v>
      </c>
      <c r="F49" s="165" t="s">
        <v>447</v>
      </c>
    </row>
    <row r="50" spans="1:12" ht="13.2" hidden="1" customHeight="1">
      <c r="A50" s="734"/>
      <c r="B50" s="220" t="s">
        <v>448</v>
      </c>
      <c r="C50" s="161"/>
      <c r="D50" s="202"/>
      <c r="E50" s="154" t="s">
        <v>449</v>
      </c>
      <c r="F50" s="165" t="s">
        <v>447</v>
      </c>
    </row>
    <row r="51" spans="1:12" ht="13.2" hidden="1" customHeight="1">
      <c r="A51" s="734"/>
      <c r="B51" s="161">
        <v>1.2</v>
      </c>
      <c r="C51" s="161"/>
      <c r="D51" s="202"/>
      <c r="E51" s="156"/>
      <c r="F51" s="156"/>
      <c r="G51" s="156"/>
    </row>
    <row r="52" spans="1:12" ht="13.2" hidden="1" customHeight="1">
      <c r="A52" s="734"/>
      <c r="B52" s="203">
        <v>0.6</v>
      </c>
      <c r="C52" s="161"/>
      <c r="D52" s="202"/>
    </row>
    <row r="53" spans="1:12" ht="13.2" hidden="1" customHeight="1">
      <c r="A53" s="734"/>
      <c r="B53" s="161">
        <v>0.55000000000000004</v>
      </c>
      <c r="C53" s="161"/>
      <c r="D53" s="202"/>
    </row>
    <row r="54" spans="1:12" ht="13.2" hidden="1" customHeight="1">
      <c r="A54" s="734"/>
      <c r="B54" s="261">
        <v>0.95</v>
      </c>
      <c r="C54" s="221">
        <v>0.5</v>
      </c>
      <c r="D54" s="202"/>
    </row>
    <row r="55" spans="1:12" ht="13.2" hidden="1" customHeight="1">
      <c r="A55" s="734"/>
      <c r="B55" s="161">
        <v>0.9</v>
      </c>
      <c r="C55" s="221">
        <v>0.5</v>
      </c>
      <c r="D55" s="202"/>
    </row>
    <row r="56" spans="1:12" ht="13.2" hidden="1" customHeight="1">
      <c r="A56" s="734"/>
      <c r="B56" s="161">
        <v>0.6</v>
      </c>
      <c r="C56" s="161"/>
      <c r="D56" s="202"/>
    </row>
    <row r="57" spans="1:12" ht="13.2" hidden="1" customHeight="1">
      <c r="A57" s="734"/>
      <c r="B57" s="161">
        <v>0.6</v>
      </c>
      <c r="C57" s="161"/>
      <c r="D57" s="202"/>
    </row>
    <row r="58" spans="1:12" ht="13.2" hidden="1" customHeight="1">
      <c r="A58" s="734"/>
      <c r="B58" s="161">
        <v>0.6</v>
      </c>
      <c r="C58" s="161"/>
      <c r="D58" s="202"/>
    </row>
    <row r="59" spans="1:12" ht="13.2" hidden="1" customHeight="1">
      <c r="A59" s="771" t="s">
        <v>450</v>
      </c>
      <c r="B59" s="771"/>
      <c r="C59" s="771"/>
      <c r="D59" s="771"/>
      <c r="E59" s="771"/>
      <c r="F59" s="771"/>
      <c r="G59" s="771"/>
      <c r="H59" s="771"/>
    </row>
    <row r="60" spans="1:12" ht="13.2" hidden="1" customHeight="1">
      <c r="A60" s="222" t="s">
        <v>451</v>
      </c>
      <c r="B60" s="223" t="s">
        <v>452</v>
      </c>
      <c r="C60" s="223" t="s">
        <v>53</v>
      </c>
      <c r="D60" s="224" t="s">
        <v>453</v>
      </c>
      <c r="E60" s="223" t="s">
        <v>96</v>
      </c>
      <c r="F60" s="225" t="s">
        <v>454</v>
      </c>
      <c r="G60" s="225" t="s">
        <v>455</v>
      </c>
      <c r="H60" s="225" t="s">
        <v>456</v>
      </c>
      <c r="K60" s="154" t="s">
        <v>457</v>
      </c>
      <c r="L60" s="154">
        <f>52*5-L63</f>
        <v>249</v>
      </c>
    </row>
    <row r="61" spans="1:12" ht="13.2" hidden="1" customHeight="1">
      <c r="A61" s="775" t="s">
        <v>458</v>
      </c>
      <c r="B61" s="776">
        <v>45474</v>
      </c>
      <c r="C61" s="226" t="s">
        <v>459</v>
      </c>
      <c r="D61" s="227">
        <v>6.7005816899999999</v>
      </c>
      <c r="E61" s="225" t="s">
        <v>460</v>
      </c>
      <c r="F61" s="228">
        <f>F109*L60+G109*L61+H109*(L62+L63)</f>
        <v>2238.1</v>
      </c>
      <c r="G61" s="228">
        <f t="shared" ref="G61:G63" si="0">D61*F61</f>
        <v>14996.571880388999</v>
      </c>
      <c r="H61" s="779">
        <f>145.94/(929.25/2-145.94)</f>
        <v>0.45794436512543735</v>
      </c>
      <c r="K61" s="154" t="s">
        <v>461</v>
      </c>
      <c r="L61" s="154">
        <v>52</v>
      </c>
    </row>
    <row r="62" spans="1:12" ht="13.2" hidden="1" customHeight="1">
      <c r="A62" s="775"/>
      <c r="B62" s="777"/>
      <c r="C62" s="225" t="s">
        <v>462</v>
      </c>
      <c r="D62" s="227">
        <v>13.460512400000001</v>
      </c>
      <c r="E62" s="225" t="s">
        <v>460</v>
      </c>
      <c r="F62" s="228">
        <f>F109*L60+G109*L61+H109*(L62+L63)</f>
        <v>2238.1</v>
      </c>
      <c r="G62" s="228">
        <f t="shared" si="0"/>
        <v>30125.972802439999</v>
      </c>
      <c r="H62" s="779"/>
      <c r="K62" s="154" t="s">
        <v>463</v>
      </c>
      <c r="L62" s="154">
        <v>52</v>
      </c>
    </row>
    <row r="63" spans="1:12" ht="13.2" hidden="1" customHeight="1">
      <c r="A63" s="229" t="s">
        <v>78</v>
      </c>
      <c r="B63" s="230">
        <v>45323</v>
      </c>
      <c r="C63" s="226" t="s">
        <v>464</v>
      </c>
      <c r="D63" s="231">
        <v>6.181254</v>
      </c>
      <c r="E63" s="225" t="s">
        <v>460</v>
      </c>
      <c r="F63" s="228">
        <f>J109*L60+K109*L61+L109*(L62+L63)</f>
        <v>2468.4140902560002</v>
      </c>
      <c r="G63" s="228">
        <f t="shared" si="0"/>
        <v>15257.894469051262</v>
      </c>
      <c r="H63" s="198">
        <f>149.66/(511.16-149.66)</f>
        <v>0.41399723374827108</v>
      </c>
      <c r="K63" s="154" t="s">
        <v>465</v>
      </c>
      <c r="L63" s="154">
        <v>11</v>
      </c>
    </row>
    <row r="64" spans="1:12" ht="13.2" hidden="1" customHeight="1">
      <c r="A64" s="232" t="s">
        <v>466</v>
      </c>
      <c r="B64" s="230">
        <v>45444</v>
      </c>
      <c r="C64" s="226" t="s">
        <v>464</v>
      </c>
      <c r="D64" s="231">
        <v>6.45834625</v>
      </c>
      <c r="E64" s="225" t="s">
        <v>460</v>
      </c>
      <c r="F64" s="228">
        <f>B109*L60+C109*L61+D109*(L62+L63)</f>
        <v>2238.1</v>
      </c>
      <c r="G64" s="228">
        <f>D64*F64</f>
        <v>14454.424742125</v>
      </c>
      <c r="H64" s="198">
        <f>149.66/(511.16-149.66)</f>
        <v>0.41399723374827108</v>
      </c>
    </row>
    <row r="65" spans="1:13" ht="13.2" hidden="1" customHeight="1">
      <c r="B65" s="202"/>
      <c r="C65" s="202"/>
      <c r="D65" s="202"/>
    </row>
    <row r="66" spans="1:13" ht="13.2" hidden="1" customHeight="1">
      <c r="B66" s="202"/>
      <c r="C66" s="202"/>
      <c r="D66" s="202"/>
    </row>
    <row r="67" spans="1:13" ht="21" hidden="1" customHeight="1">
      <c r="A67" s="778" t="s">
        <v>467</v>
      </c>
      <c r="B67" s="778"/>
      <c r="C67" s="778"/>
      <c r="D67" s="778"/>
      <c r="E67" s="778"/>
      <c r="F67" s="778"/>
      <c r="G67" s="778"/>
      <c r="H67" s="778"/>
      <c r="I67" s="778"/>
      <c r="J67" s="778"/>
      <c r="K67" s="778"/>
      <c r="L67" s="778"/>
      <c r="M67" s="778"/>
    </row>
    <row r="68" spans="1:13" ht="13.2" hidden="1" customHeight="1"/>
    <row r="69" spans="1:13" ht="13.2" hidden="1" customHeight="1"/>
    <row r="70" spans="1:13" ht="13.2" hidden="1" customHeight="1"/>
    <row r="71" spans="1:13" ht="13.2" hidden="1" customHeight="1"/>
    <row r="72" spans="1:13" ht="13.2" hidden="1" customHeight="1"/>
    <row r="73" spans="1:13" ht="13.2" hidden="1" customHeight="1"/>
    <row r="74" spans="1:13" ht="13.2" hidden="1" customHeight="1"/>
    <row r="75" spans="1:13" ht="13.2" hidden="1" customHeight="1"/>
    <row r="76" spans="1:13" ht="13.2" hidden="1" customHeight="1"/>
    <row r="77" spans="1:13" ht="13.2" hidden="1" customHeight="1"/>
    <row r="78" spans="1:13" ht="13.2" hidden="1" customHeight="1"/>
    <row r="79" spans="1:13" ht="13.2" hidden="1" customHeight="1"/>
    <row r="80" spans="1:13" ht="13.2" hidden="1" customHeight="1"/>
    <row r="81" spans="1:12" ht="13.2" hidden="1" customHeight="1"/>
    <row r="82" spans="1:12" ht="13.2" hidden="1" customHeight="1"/>
    <row r="83" spans="1:12" ht="13.2" hidden="1" customHeight="1">
      <c r="B83" s="768" t="s">
        <v>79</v>
      </c>
      <c r="C83" s="768"/>
      <c r="D83" s="768"/>
      <c r="F83" s="768" t="s">
        <v>80</v>
      </c>
      <c r="G83" s="768"/>
      <c r="H83" s="768"/>
      <c r="J83" s="768" t="s">
        <v>78</v>
      </c>
      <c r="K83" s="768"/>
      <c r="L83" s="768"/>
    </row>
    <row r="84" spans="1:12" ht="13.2" hidden="1" customHeight="1">
      <c r="A84" s="154" t="s">
        <v>468</v>
      </c>
      <c r="B84" s="154" t="s">
        <v>469</v>
      </c>
      <c r="C84" s="154" t="s">
        <v>470</v>
      </c>
      <c r="D84" s="154" t="s">
        <v>471</v>
      </c>
      <c r="F84" s="154" t="s">
        <v>472</v>
      </c>
      <c r="G84" s="154" t="s">
        <v>473</v>
      </c>
      <c r="H84" s="154" t="s">
        <v>474</v>
      </c>
      <c r="J84" s="154" t="s">
        <v>475</v>
      </c>
      <c r="K84" s="154" t="s">
        <v>476</v>
      </c>
      <c r="L84" s="154" t="s">
        <v>477</v>
      </c>
    </row>
    <row r="85" spans="1:12" ht="13.2" hidden="1" customHeight="1">
      <c r="A85" s="161">
        <v>1</v>
      </c>
      <c r="B85" s="154">
        <v>0.05</v>
      </c>
      <c r="C85" s="154">
        <v>0.05</v>
      </c>
      <c r="D85" s="154">
        <v>0.05</v>
      </c>
      <c r="F85" s="154">
        <v>0.05</v>
      </c>
      <c r="G85" s="154">
        <v>0.05</v>
      </c>
      <c r="H85" s="154">
        <v>0.05</v>
      </c>
      <c r="J85" s="154">
        <v>0.12093490599999999</v>
      </c>
      <c r="K85" s="154">
        <v>0.12093490599999999</v>
      </c>
      <c r="L85" s="154">
        <v>0.12093490599999999</v>
      </c>
    </row>
    <row r="86" spans="1:12" ht="13.2" hidden="1" customHeight="1">
      <c r="A86" s="161">
        <f>1+A85</f>
        <v>2</v>
      </c>
      <c r="B86" s="154">
        <v>0.05</v>
      </c>
      <c r="C86" s="154">
        <v>0.05</v>
      </c>
      <c r="D86" s="154">
        <v>0.05</v>
      </c>
      <c r="F86" s="154">
        <v>0.05</v>
      </c>
      <c r="G86" s="154">
        <v>0.05</v>
      </c>
      <c r="H86" s="154">
        <v>0.05</v>
      </c>
      <c r="J86" s="154">
        <v>0.12093490599999999</v>
      </c>
      <c r="K86" s="154">
        <v>0.12093490599999999</v>
      </c>
      <c r="L86" s="154">
        <v>0.12093490599999999</v>
      </c>
    </row>
    <row r="87" spans="1:12" ht="13.2" hidden="1" customHeight="1">
      <c r="A87" s="161">
        <f t="shared" ref="A87:A107" si="1">1+A86</f>
        <v>3</v>
      </c>
      <c r="B87" s="154">
        <v>0.05</v>
      </c>
      <c r="C87" s="154">
        <v>0.05</v>
      </c>
      <c r="D87" s="154">
        <v>0.05</v>
      </c>
      <c r="F87" s="154">
        <v>0.05</v>
      </c>
      <c r="G87" s="154">
        <v>0.05</v>
      </c>
      <c r="H87" s="154">
        <v>0.05</v>
      </c>
      <c r="J87" s="154">
        <v>0.12093490599999999</v>
      </c>
      <c r="K87" s="154">
        <v>0.12093490599999999</v>
      </c>
      <c r="L87" s="154">
        <v>0.12093490599999999</v>
      </c>
    </row>
    <row r="88" spans="1:12" ht="13.2" hidden="1" customHeight="1">
      <c r="A88" s="161">
        <f t="shared" si="1"/>
        <v>4</v>
      </c>
      <c r="B88" s="154">
        <v>0.05</v>
      </c>
      <c r="C88" s="154">
        <v>0.05</v>
      </c>
      <c r="D88" s="154">
        <v>0.05</v>
      </c>
      <c r="F88" s="154">
        <v>0.05</v>
      </c>
      <c r="G88" s="154">
        <v>0.05</v>
      </c>
      <c r="H88" s="154">
        <v>0.05</v>
      </c>
      <c r="J88" s="154">
        <v>0.12093490599999999</v>
      </c>
      <c r="K88" s="154">
        <v>0.12093490599999999</v>
      </c>
      <c r="L88" s="154">
        <v>0.12093490599999999</v>
      </c>
    </row>
    <row r="89" spans="1:12" ht="13.2" hidden="1" customHeight="1">
      <c r="A89" s="161">
        <f t="shared" si="1"/>
        <v>5</v>
      </c>
      <c r="B89" s="154">
        <v>0.05</v>
      </c>
      <c r="C89" s="154">
        <v>0.05</v>
      </c>
      <c r="D89" s="154">
        <v>0.05</v>
      </c>
      <c r="F89" s="154">
        <v>0.05</v>
      </c>
      <c r="G89" s="154">
        <v>0.05</v>
      </c>
      <c r="H89" s="154">
        <v>0.05</v>
      </c>
      <c r="J89" s="154">
        <v>0.12093490599999999</v>
      </c>
      <c r="K89" s="154">
        <v>0.12093490599999999</v>
      </c>
      <c r="L89" s="154">
        <v>0.12093490599999999</v>
      </c>
    </row>
    <row r="90" spans="1:12" ht="13.2" hidden="1" customHeight="1">
      <c r="A90" s="161">
        <f t="shared" si="1"/>
        <v>6</v>
      </c>
      <c r="B90" s="154">
        <v>0.1</v>
      </c>
      <c r="C90" s="154">
        <v>0.05</v>
      </c>
      <c r="D90" s="154">
        <v>0.05</v>
      </c>
      <c r="F90" s="154">
        <v>0.1</v>
      </c>
      <c r="G90" s="154">
        <v>0.05</v>
      </c>
      <c r="H90" s="154">
        <v>0.05</v>
      </c>
      <c r="J90" s="154">
        <v>0.15452683149999999</v>
      </c>
      <c r="K90" s="154">
        <v>0.12093490599999999</v>
      </c>
      <c r="L90" s="154">
        <v>0.12093490599999999</v>
      </c>
    </row>
    <row r="91" spans="1:12" ht="13.2" hidden="1" customHeight="1">
      <c r="A91" s="161">
        <f t="shared" si="1"/>
        <v>7</v>
      </c>
      <c r="B91" s="154">
        <v>0.1</v>
      </c>
      <c r="C91" s="154">
        <v>0.1</v>
      </c>
      <c r="D91" s="154">
        <v>0.05</v>
      </c>
      <c r="F91" s="154">
        <v>0.1</v>
      </c>
      <c r="G91" s="154">
        <v>0.1</v>
      </c>
      <c r="H91" s="154">
        <v>0.05</v>
      </c>
      <c r="J91" s="154">
        <v>0.15452683149999999</v>
      </c>
      <c r="K91" s="154">
        <v>0.12093490599999999</v>
      </c>
      <c r="L91" s="154">
        <v>0.12093490599999999</v>
      </c>
    </row>
    <row r="92" spans="1:12" ht="13.2" hidden="1" customHeight="1">
      <c r="A92" s="161">
        <f t="shared" si="1"/>
        <v>8</v>
      </c>
      <c r="B92" s="154">
        <v>0.3</v>
      </c>
      <c r="C92" s="154">
        <v>0.1</v>
      </c>
      <c r="D92" s="154">
        <v>0.05</v>
      </c>
      <c r="F92" s="154">
        <v>0.3</v>
      </c>
      <c r="G92" s="154">
        <v>0.1</v>
      </c>
      <c r="H92" s="154">
        <v>0.05</v>
      </c>
      <c r="J92" s="154">
        <v>0.60466459449999999</v>
      </c>
      <c r="K92" s="154">
        <v>0.12093490599999999</v>
      </c>
      <c r="L92" s="154">
        <v>0.12093490599999999</v>
      </c>
    </row>
    <row r="93" spans="1:12" ht="13.2" hidden="1" customHeight="1">
      <c r="A93" s="261">
        <f t="shared" si="1"/>
        <v>9</v>
      </c>
      <c r="B93" s="154">
        <v>0.65</v>
      </c>
      <c r="C93" s="154">
        <v>0.3</v>
      </c>
      <c r="D93" s="154">
        <v>0.05</v>
      </c>
      <c r="F93" s="154">
        <v>0.65</v>
      </c>
      <c r="G93" s="154">
        <v>0.3</v>
      </c>
      <c r="H93" s="154">
        <v>0.05</v>
      </c>
      <c r="J93" s="154">
        <v>0.60466459449999999</v>
      </c>
      <c r="K93" s="154">
        <v>0.12093490599999999</v>
      </c>
      <c r="L93" s="154">
        <v>0.12093490599999999</v>
      </c>
    </row>
    <row r="94" spans="1:12" ht="13.2" hidden="1" customHeight="1">
      <c r="A94" s="261">
        <f t="shared" si="1"/>
        <v>10</v>
      </c>
      <c r="B94" s="154">
        <v>0.65</v>
      </c>
      <c r="C94" s="154">
        <v>0.3</v>
      </c>
      <c r="D94" s="154">
        <v>0.05</v>
      </c>
      <c r="F94" s="154">
        <v>0.65</v>
      </c>
      <c r="G94" s="154">
        <v>0.3</v>
      </c>
      <c r="H94" s="154">
        <v>0.05</v>
      </c>
      <c r="J94" s="154">
        <v>0.60466459449999999</v>
      </c>
      <c r="K94" s="154">
        <v>0.12093490599999999</v>
      </c>
      <c r="L94" s="154">
        <v>0.12093490599999999</v>
      </c>
    </row>
    <row r="95" spans="1:12" ht="13.2" hidden="1" customHeight="1">
      <c r="A95" s="261">
        <f t="shared" si="1"/>
        <v>11</v>
      </c>
      <c r="B95" s="154">
        <v>0.65</v>
      </c>
      <c r="C95" s="154">
        <v>0.3</v>
      </c>
      <c r="D95" s="154">
        <v>0.05</v>
      </c>
      <c r="F95" s="154">
        <v>0.65</v>
      </c>
      <c r="G95" s="154">
        <v>0.3</v>
      </c>
      <c r="H95" s="154">
        <v>0.05</v>
      </c>
      <c r="J95" s="154">
        <v>0.60466459449999999</v>
      </c>
      <c r="K95" s="154">
        <v>0.12093490599999999</v>
      </c>
      <c r="L95" s="154">
        <v>0.12093490599999999</v>
      </c>
    </row>
    <row r="96" spans="1:12" ht="13.2" hidden="1" customHeight="1">
      <c r="A96" s="261">
        <f t="shared" si="1"/>
        <v>12</v>
      </c>
      <c r="B96" s="154">
        <v>0.65</v>
      </c>
      <c r="C96" s="154">
        <v>0.3</v>
      </c>
      <c r="D96" s="154">
        <v>0.05</v>
      </c>
      <c r="F96" s="154">
        <v>0.65</v>
      </c>
      <c r="G96" s="154">
        <v>0.3</v>
      </c>
      <c r="H96" s="154">
        <v>0.05</v>
      </c>
      <c r="J96" s="154">
        <v>0.60466459449999999</v>
      </c>
      <c r="K96" s="154">
        <v>0.12093490599999999</v>
      </c>
      <c r="L96" s="154">
        <v>0.12093490599999999</v>
      </c>
    </row>
    <row r="97" spans="1:12" ht="13.2" hidden="1" customHeight="1">
      <c r="A97" s="261">
        <f t="shared" si="1"/>
        <v>13</v>
      </c>
      <c r="B97" s="154">
        <v>0.65</v>
      </c>
      <c r="C97" s="154">
        <v>0.15</v>
      </c>
      <c r="D97" s="154">
        <v>0.05</v>
      </c>
      <c r="F97" s="154">
        <v>0.65</v>
      </c>
      <c r="G97" s="154">
        <v>0.15</v>
      </c>
      <c r="H97" s="154">
        <v>0.05</v>
      </c>
      <c r="J97" s="154">
        <v>0.53748074349999997</v>
      </c>
      <c r="K97" s="154">
        <v>0.12093490599999999</v>
      </c>
      <c r="L97" s="154">
        <v>0.12093490599999999</v>
      </c>
    </row>
    <row r="98" spans="1:12" ht="13.2" hidden="1" customHeight="1">
      <c r="A98" s="261">
        <f t="shared" si="1"/>
        <v>14</v>
      </c>
      <c r="B98" s="154">
        <v>0.65</v>
      </c>
      <c r="C98" s="154">
        <v>0.15</v>
      </c>
      <c r="D98" s="154">
        <v>0.05</v>
      </c>
      <c r="F98" s="154">
        <v>0.65</v>
      </c>
      <c r="G98" s="154">
        <v>0.15</v>
      </c>
      <c r="H98" s="154">
        <v>0.05</v>
      </c>
      <c r="J98" s="154">
        <v>0.60466459449999999</v>
      </c>
      <c r="K98" s="154">
        <v>0.12093490599999999</v>
      </c>
      <c r="L98" s="154">
        <v>0.12093490599999999</v>
      </c>
    </row>
    <row r="99" spans="1:12" ht="13.2" hidden="1" customHeight="1">
      <c r="A99" s="261">
        <f t="shared" si="1"/>
        <v>15</v>
      </c>
      <c r="B99" s="154">
        <v>0.65</v>
      </c>
      <c r="C99" s="154">
        <v>0.15</v>
      </c>
      <c r="D99" s="154">
        <v>0.05</v>
      </c>
      <c r="F99" s="154">
        <v>0.65</v>
      </c>
      <c r="G99" s="154">
        <v>0.15</v>
      </c>
      <c r="H99" s="154">
        <v>0.05</v>
      </c>
      <c r="J99" s="154">
        <v>0.60466459449999999</v>
      </c>
      <c r="K99" s="154">
        <v>0.12093490599999999</v>
      </c>
      <c r="L99" s="154">
        <v>0.12093490599999999</v>
      </c>
    </row>
    <row r="100" spans="1:12" ht="13.2" hidden="1" customHeight="1">
      <c r="A100" s="261">
        <f t="shared" si="1"/>
        <v>16</v>
      </c>
      <c r="B100" s="154">
        <v>0.65</v>
      </c>
      <c r="C100" s="154">
        <v>0.15</v>
      </c>
      <c r="D100" s="154">
        <v>0.05</v>
      </c>
      <c r="F100" s="154">
        <v>0.65</v>
      </c>
      <c r="G100" s="154">
        <v>0.15</v>
      </c>
      <c r="H100" s="154">
        <v>0.05</v>
      </c>
      <c r="J100" s="154">
        <v>0.60466459449999999</v>
      </c>
      <c r="K100" s="154">
        <v>0.12093490599999999</v>
      </c>
      <c r="L100" s="154">
        <v>0.12093490599999999</v>
      </c>
    </row>
    <row r="101" spans="1:12" ht="13.2" hidden="1" customHeight="1">
      <c r="A101" s="261">
        <f t="shared" si="1"/>
        <v>17</v>
      </c>
      <c r="B101" s="154">
        <v>0.65</v>
      </c>
      <c r="C101" s="154">
        <v>0.15</v>
      </c>
      <c r="D101" s="154">
        <v>0.05</v>
      </c>
      <c r="F101" s="154">
        <v>0.65</v>
      </c>
      <c r="G101" s="154">
        <v>0.15</v>
      </c>
      <c r="H101" s="154">
        <v>0.05</v>
      </c>
      <c r="J101" s="154">
        <v>0.60466459449999999</v>
      </c>
      <c r="K101" s="154">
        <v>0.12093490599999999</v>
      </c>
      <c r="L101" s="154">
        <v>0.12093490599999999</v>
      </c>
    </row>
    <row r="102" spans="1:12" ht="13.2" hidden="1" customHeight="1">
      <c r="A102" s="161">
        <f t="shared" si="1"/>
        <v>18</v>
      </c>
      <c r="B102" s="154">
        <v>0.35</v>
      </c>
      <c r="C102" s="154">
        <v>0.05</v>
      </c>
      <c r="D102" s="154">
        <v>0.05</v>
      </c>
      <c r="F102" s="154">
        <v>0.35</v>
      </c>
      <c r="G102" s="154">
        <v>0.05</v>
      </c>
      <c r="H102" s="154">
        <v>0.05</v>
      </c>
      <c r="J102" s="154">
        <v>0.4098294395</v>
      </c>
      <c r="K102" s="154">
        <v>0.12093490599999999</v>
      </c>
      <c r="L102" s="154">
        <v>0.12093490599999999</v>
      </c>
    </row>
    <row r="103" spans="1:12" ht="13.2" hidden="1" customHeight="1">
      <c r="A103" s="161">
        <f t="shared" si="1"/>
        <v>19</v>
      </c>
      <c r="B103" s="154">
        <v>0.3</v>
      </c>
      <c r="C103" s="154">
        <v>0.05</v>
      </c>
      <c r="D103" s="154">
        <v>0.05</v>
      </c>
      <c r="F103" s="154">
        <v>0.3</v>
      </c>
      <c r="G103" s="154">
        <v>0.05</v>
      </c>
      <c r="H103" s="154">
        <v>0.05</v>
      </c>
      <c r="J103" s="154">
        <v>0.28217813549999998</v>
      </c>
      <c r="K103" s="154">
        <v>0.12093490599999999</v>
      </c>
      <c r="L103" s="154">
        <v>0.12093490599999999</v>
      </c>
    </row>
    <row r="104" spans="1:12" ht="13.2" hidden="1" customHeight="1">
      <c r="A104" s="161">
        <f t="shared" si="1"/>
        <v>20</v>
      </c>
      <c r="B104" s="154">
        <v>0.3</v>
      </c>
      <c r="C104" s="154">
        <v>0.05</v>
      </c>
      <c r="D104" s="154">
        <v>0.05</v>
      </c>
      <c r="F104" s="154">
        <v>0.3</v>
      </c>
      <c r="G104" s="154">
        <v>0.05</v>
      </c>
      <c r="H104" s="154">
        <v>0.05</v>
      </c>
      <c r="J104" s="154">
        <v>0.28217813549999998</v>
      </c>
      <c r="K104" s="154">
        <v>0.12093490599999999</v>
      </c>
      <c r="L104" s="154">
        <v>0.12093490599999999</v>
      </c>
    </row>
    <row r="105" spans="1:12" ht="13.2" hidden="1" customHeight="1">
      <c r="A105" s="161">
        <f t="shared" si="1"/>
        <v>21</v>
      </c>
      <c r="B105" s="154">
        <v>0.2</v>
      </c>
      <c r="C105" s="154">
        <v>0.05</v>
      </c>
      <c r="D105" s="154">
        <v>0.05</v>
      </c>
      <c r="F105" s="154">
        <v>0.2</v>
      </c>
      <c r="G105" s="154">
        <v>0.05</v>
      </c>
      <c r="H105" s="154">
        <v>0.05</v>
      </c>
      <c r="J105" s="154">
        <v>0.21499428449999999</v>
      </c>
      <c r="K105" s="154">
        <v>0.12093490599999999</v>
      </c>
      <c r="L105" s="154">
        <v>0.12093490599999999</v>
      </c>
    </row>
    <row r="106" spans="1:12" ht="13.2" hidden="1" customHeight="1">
      <c r="A106" s="161">
        <f t="shared" si="1"/>
        <v>22</v>
      </c>
      <c r="B106" s="154">
        <v>0.2</v>
      </c>
      <c r="C106" s="154">
        <v>0.05</v>
      </c>
      <c r="D106" s="154">
        <v>0.05</v>
      </c>
      <c r="F106" s="154">
        <v>0.2</v>
      </c>
      <c r="G106" s="154">
        <v>0.05</v>
      </c>
      <c r="H106" s="154">
        <v>0.05</v>
      </c>
      <c r="J106" s="154">
        <v>0.21499428449999999</v>
      </c>
      <c r="K106" s="154">
        <v>0.12093490599999999</v>
      </c>
      <c r="L106" s="154">
        <v>0.12093490599999999</v>
      </c>
    </row>
    <row r="107" spans="1:12" ht="13.2" hidden="1" customHeight="1">
      <c r="A107" s="161">
        <f t="shared" si="1"/>
        <v>23</v>
      </c>
      <c r="B107" s="154">
        <v>0.1</v>
      </c>
      <c r="C107" s="154">
        <v>0.05</v>
      </c>
      <c r="D107" s="154">
        <v>0.05</v>
      </c>
      <c r="F107" s="154">
        <v>0.1</v>
      </c>
      <c r="G107" s="154">
        <v>0.05</v>
      </c>
      <c r="H107" s="154">
        <v>0.05</v>
      </c>
      <c r="J107" s="154">
        <v>0.15452683149999999</v>
      </c>
      <c r="K107" s="154">
        <v>0.12093490599999999</v>
      </c>
      <c r="L107" s="154">
        <v>0.12093490599999999</v>
      </c>
    </row>
    <row r="108" spans="1:12" ht="13.2" hidden="1" customHeight="1">
      <c r="A108" s="161">
        <f>1+A107</f>
        <v>24</v>
      </c>
      <c r="B108" s="154">
        <v>0.05</v>
      </c>
      <c r="C108" s="154">
        <v>0.05</v>
      </c>
      <c r="D108" s="154">
        <v>0.05</v>
      </c>
      <c r="F108" s="154">
        <v>0.05</v>
      </c>
      <c r="G108" s="154">
        <v>0.05</v>
      </c>
      <c r="H108" s="154">
        <v>0.05</v>
      </c>
      <c r="J108" s="154">
        <v>0.12093490599999999</v>
      </c>
      <c r="K108" s="154">
        <v>0.12093490599999999</v>
      </c>
      <c r="L108" s="154">
        <v>0.12093490599999999</v>
      </c>
    </row>
    <row r="109" spans="1:12" ht="13.2" hidden="1" customHeight="1">
      <c r="A109" s="166" t="s">
        <v>478</v>
      </c>
      <c r="B109" s="154">
        <f>SUM(B85:B108)</f>
        <v>8.1000000000000014</v>
      </c>
      <c r="C109" s="154">
        <f>SUM(C85:C108)</f>
        <v>2.7999999999999985</v>
      </c>
      <c r="D109" s="154">
        <f>SUM(D85:D108)</f>
        <v>1.2000000000000004</v>
      </c>
      <c r="F109" s="154">
        <f>SUM(F85:F108)</f>
        <v>8.1000000000000014</v>
      </c>
      <c r="G109" s="154">
        <f>SUM(G85:G108)</f>
        <v>2.7999999999999985</v>
      </c>
      <c r="H109" s="154">
        <f>SUM(H85:H108)</f>
        <v>1.2000000000000004</v>
      </c>
      <c r="J109" s="154">
        <f>SUM(J85:J108)</f>
        <v>8.5728263039999995</v>
      </c>
      <c r="K109" s="154">
        <f>SUM(K85:K108)</f>
        <v>2.9024377439999998</v>
      </c>
      <c r="L109" s="154">
        <f>SUM(L85:L108)</f>
        <v>2.9024377439999998</v>
      </c>
    </row>
    <row r="110" spans="1:12" ht="13.2" hidden="1" customHeight="1">
      <c r="B110" s="202"/>
      <c r="C110" s="202"/>
      <c r="D110" s="202"/>
    </row>
    <row r="111" spans="1:12" ht="13.2" hidden="1" customHeight="1">
      <c r="B111" s="202"/>
      <c r="C111" s="202"/>
      <c r="D111" s="202"/>
    </row>
    <row r="112" spans="1:12" ht="13.2" hidden="1" customHeight="1">
      <c r="B112" s="202"/>
      <c r="C112" s="202"/>
      <c r="D112" s="202"/>
    </row>
    <row r="113" spans="1:21" s="156" customFormat="1" ht="26.4" hidden="1">
      <c r="E113" s="258"/>
      <c r="F113" s="259"/>
      <c r="G113" s="260"/>
      <c r="I113" s="233" t="s">
        <v>479</v>
      </c>
      <c r="J113" s="233" t="s">
        <v>480</v>
      </c>
      <c r="K113" s="233" t="s">
        <v>481</v>
      </c>
      <c r="L113" s="233" t="s">
        <v>482</v>
      </c>
      <c r="M113" s="233" t="s">
        <v>483</v>
      </c>
    </row>
    <row r="114" spans="1:21" s="156" customFormat="1" hidden="1">
      <c r="A114" s="773" t="s">
        <v>484</v>
      </c>
      <c r="B114" s="772" t="s">
        <v>485</v>
      </c>
      <c r="C114" s="772"/>
      <c r="D114" s="772"/>
      <c r="E114" s="772"/>
      <c r="F114" s="772"/>
      <c r="G114" s="154"/>
      <c r="H114" s="234" t="s">
        <v>486</v>
      </c>
      <c r="I114" s="234">
        <v>130</v>
      </c>
      <c r="J114" s="234">
        <v>20</v>
      </c>
      <c r="K114" s="234">
        <v>110</v>
      </c>
      <c r="L114" s="234">
        <v>70</v>
      </c>
      <c r="M114" s="234">
        <v>15</v>
      </c>
      <c r="N114" s="154"/>
    </row>
    <row r="115" spans="1:21" s="156" customFormat="1" ht="26.4" hidden="1">
      <c r="A115" s="774"/>
      <c r="B115" s="233" t="s">
        <v>479</v>
      </c>
      <c r="C115" s="233" t="s">
        <v>480</v>
      </c>
      <c r="D115" s="233" t="s">
        <v>481</v>
      </c>
      <c r="E115" s="233" t="s">
        <v>482</v>
      </c>
      <c r="F115" s="233" t="s">
        <v>483</v>
      </c>
      <c r="G115" s="166"/>
      <c r="H115" s="234" t="s">
        <v>487</v>
      </c>
      <c r="I115" s="234">
        <f>$K$114/I114*$K$115</f>
        <v>0.50769230769230766</v>
      </c>
      <c r="J115" s="234">
        <f>$K$114/J114*$K$115</f>
        <v>3.3</v>
      </c>
      <c r="K115" s="234">
        <v>0.6</v>
      </c>
      <c r="L115" s="235">
        <f>$K$114/L114*$K$115</f>
        <v>0.94285714285714284</v>
      </c>
      <c r="M115" s="234">
        <f>$K$114/M114*$K$115</f>
        <v>4.3999999999999995</v>
      </c>
      <c r="N115" s="166"/>
    </row>
    <row r="116" spans="1:21" s="156" customFormat="1" hidden="1">
      <c r="A116" s="236" t="s">
        <v>488</v>
      </c>
      <c r="B116" s="237">
        <v>9.4368904138583537E-2</v>
      </c>
      <c r="C116" s="237">
        <v>0.33987041451030492</v>
      </c>
      <c r="D116" s="237">
        <v>0.47057800276228245</v>
      </c>
      <c r="E116" s="238">
        <v>6.528288215800046E-2</v>
      </c>
      <c r="F116" s="238">
        <v>2.9899796430828532E-2</v>
      </c>
      <c r="G116" s="154"/>
      <c r="H116" s="179" t="s">
        <v>489</v>
      </c>
      <c r="I116" s="239">
        <f>I115*B116</f>
        <v>4.7910366716511638E-2</v>
      </c>
      <c r="J116" s="239">
        <f>J115*C116</f>
        <v>1.1215723678840062</v>
      </c>
      <c r="K116" s="239">
        <f>K115*D116</f>
        <v>0.28234680165736947</v>
      </c>
      <c r="L116" s="239">
        <f>L115*E116</f>
        <v>6.1552431748971861E-2</v>
      </c>
      <c r="M116" s="239">
        <f>M115*F116</f>
        <v>0.13155910429564552</v>
      </c>
      <c r="N116" s="262">
        <f>SUM(I116:M116)</f>
        <v>1.6449410723025049</v>
      </c>
    </row>
    <row r="117" spans="1:21" s="156" customFormat="1" hidden="1">
      <c r="A117" s="158"/>
      <c r="B117" s="263"/>
      <c r="C117" s="164"/>
      <c r="D117" s="264"/>
      <c r="E117" s="265"/>
      <c r="F117" s="154"/>
      <c r="G117" s="154"/>
    </row>
    <row r="118" spans="1:21" s="156" customFormat="1" hidden="1">
      <c r="A118" s="789" t="s">
        <v>490</v>
      </c>
      <c r="B118" s="742" t="s">
        <v>491</v>
      </c>
      <c r="C118" s="742"/>
      <c r="D118" s="742"/>
      <c r="E118" s="742"/>
      <c r="F118" s="742"/>
      <c r="G118" s="742"/>
      <c r="H118" s="742"/>
      <c r="I118" s="742"/>
      <c r="J118" s="742"/>
      <c r="K118" s="742"/>
      <c r="L118" s="742"/>
      <c r="M118" s="742"/>
      <c r="N118" s="742"/>
    </row>
    <row r="119" spans="1:21" s="156" customFormat="1" hidden="1">
      <c r="A119" s="790"/>
      <c r="B119" s="177" t="s">
        <v>360</v>
      </c>
      <c r="C119" s="240" t="s">
        <v>492</v>
      </c>
      <c r="D119" s="178" t="s">
        <v>493</v>
      </c>
      <c r="E119" s="177" t="s">
        <v>494</v>
      </c>
      <c r="F119" s="177" t="s">
        <v>495</v>
      </c>
      <c r="G119" s="177" t="s">
        <v>496</v>
      </c>
      <c r="H119" s="177" t="s">
        <v>497</v>
      </c>
      <c r="I119" s="177" t="s">
        <v>498</v>
      </c>
      <c r="J119" s="177" t="s">
        <v>499</v>
      </c>
      <c r="K119" s="177" t="s">
        <v>500</v>
      </c>
      <c r="L119" s="177" t="s">
        <v>501</v>
      </c>
      <c r="M119" s="177" t="s">
        <v>371</v>
      </c>
      <c r="N119" s="177" t="s">
        <v>264</v>
      </c>
    </row>
    <row r="120" spans="1:21" s="156" customFormat="1" hidden="1">
      <c r="A120" s="176" t="s">
        <v>502</v>
      </c>
      <c r="B120" s="241">
        <v>0.45383761241222154</v>
      </c>
      <c r="C120" s="241">
        <v>3.8976515353301017E-2</v>
      </c>
      <c r="D120" s="242">
        <v>2.567126811837233E-2</v>
      </c>
      <c r="E120" s="170">
        <v>3.8286350663751197E-2</v>
      </c>
      <c r="F120" s="170">
        <v>1.3033623546932245E-2</v>
      </c>
      <c r="G120" s="170">
        <v>3.9543773217890821E-2</v>
      </c>
      <c r="H120" s="170">
        <v>5.909116556847757E-3</v>
      </c>
      <c r="I120" s="241">
        <v>2.0201112832016588E-2</v>
      </c>
      <c r="J120" s="241">
        <v>4.4945760365706681E-2</v>
      </c>
      <c r="K120" s="241">
        <v>3.8347850579937774E-2</v>
      </c>
      <c r="L120" s="241">
        <v>5.1173090324612373E-3</v>
      </c>
      <c r="M120" s="241">
        <v>0.27302382207840953</v>
      </c>
      <c r="N120" s="170">
        <v>3.1058852421513598E-3</v>
      </c>
    </row>
    <row r="121" spans="1:21" s="156" customFormat="1" hidden="1">
      <c r="A121" s="158"/>
      <c r="B121" s="243"/>
      <c r="C121" s="243"/>
      <c r="D121" s="244"/>
      <c r="E121" s="243"/>
      <c r="F121" s="243"/>
      <c r="G121" s="243"/>
      <c r="H121" s="243"/>
      <c r="I121" s="243"/>
      <c r="J121" s="243"/>
      <c r="K121" s="243"/>
      <c r="L121" s="243"/>
      <c r="M121" s="243"/>
      <c r="N121" s="245"/>
    </row>
    <row r="122" spans="1:21" s="156" customFormat="1" hidden="1">
      <c r="A122" s="789" t="s">
        <v>490</v>
      </c>
      <c r="B122" s="780" t="s">
        <v>503</v>
      </c>
      <c r="C122" s="781"/>
      <c r="D122" s="781"/>
      <c r="E122" s="782"/>
      <c r="F122" s="246"/>
      <c r="G122" s="243"/>
      <c r="H122" s="243"/>
      <c r="I122" s="243"/>
      <c r="J122" s="243"/>
      <c r="K122" s="243"/>
      <c r="L122" s="243"/>
      <c r="M122" s="243"/>
      <c r="N122" s="245"/>
    </row>
    <row r="123" spans="1:21" s="156" customFormat="1" hidden="1">
      <c r="A123" s="790"/>
      <c r="B123" s="247" t="s">
        <v>504</v>
      </c>
      <c r="C123" s="247" t="s">
        <v>505</v>
      </c>
      <c r="D123" s="247" t="s">
        <v>506</v>
      </c>
      <c r="E123" s="247" t="s">
        <v>264</v>
      </c>
      <c r="F123" s="248"/>
      <c r="H123" s="243"/>
      <c r="I123" s="243"/>
      <c r="J123" s="243"/>
      <c r="K123" s="243"/>
      <c r="L123" s="243"/>
      <c r="M123" s="243"/>
      <c r="N123" s="245"/>
    </row>
    <row r="124" spans="1:21" s="156" customFormat="1" hidden="1">
      <c r="A124" s="176" t="s">
        <v>502</v>
      </c>
      <c r="B124" s="249">
        <v>0</v>
      </c>
      <c r="C124" s="249">
        <v>6.1717719548663175E-3</v>
      </c>
      <c r="D124" s="249">
        <v>0.7931543385133869</v>
      </c>
      <c r="E124" s="249">
        <v>0.20067388953174684</v>
      </c>
      <c r="F124" s="250" t="s">
        <v>507</v>
      </c>
      <c r="G124" s="251"/>
      <c r="H124" s="251"/>
      <c r="I124" s="243"/>
      <c r="J124" s="243"/>
      <c r="K124" s="243"/>
      <c r="L124" s="243"/>
      <c r="M124" s="243"/>
      <c r="N124" s="245"/>
    </row>
    <row r="125" spans="1:21" ht="13.2" hidden="1" customHeight="1">
      <c r="A125" s="266"/>
      <c r="B125" s="202"/>
      <c r="C125" s="202"/>
      <c r="D125" s="202"/>
      <c r="U125" s="156"/>
    </row>
    <row r="126" spans="1:21" ht="13.2" hidden="1" customHeight="1"/>
    <row r="127" spans="1:21" ht="13.2" hidden="1" customHeight="1"/>
    <row r="128" spans="1:21" ht="13.2" hidden="1" customHeight="1">
      <c r="A128" s="156"/>
    </row>
    <row r="129" spans="1:15" s="268" customFormat="1" hidden="1">
      <c r="A129" s="267" t="s">
        <v>508</v>
      </c>
    </row>
    <row r="130" spans="1:15" hidden="1"/>
    <row r="131" spans="1:15" hidden="1">
      <c r="A131" s="154" t="s">
        <v>509</v>
      </c>
      <c r="E131" s="154" t="s">
        <v>509</v>
      </c>
      <c r="J131" s="154" t="s">
        <v>509</v>
      </c>
    </row>
    <row r="132" spans="1:15" hidden="1">
      <c r="A132" s="154" t="s">
        <v>510</v>
      </c>
      <c r="E132" s="154" t="s">
        <v>511</v>
      </c>
      <c r="J132" s="154" t="s">
        <v>512</v>
      </c>
    </row>
    <row r="133" spans="1:15" hidden="1">
      <c r="A133" s="154" t="s">
        <v>513</v>
      </c>
      <c r="E133" s="154" t="s">
        <v>513</v>
      </c>
      <c r="J133" s="154" t="s">
        <v>513</v>
      </c>
      <c r="O133" s="154" t="s">
        <v>79</v>
      </c>
    </row>
    <row r="134" spans="1:15" hidden="1">
      <c r="A134" s="154" t="s">
        <v>514</v>
      </c>
      <c r="E134" s="154" t="s">
        <v>514</v>
      </c>
      <c r="J134" s="154" t="s">
        <v>514</v>
      </c>
      <c r="N134" s="154" t="s">
        <v>515</v>
      </c>
      <c r="O134" s="154" t="s">
        <v>516</v>
      </c>
    </row>
    <row r="135" spans="1:15" hidden="1">
      <c r="A135" s="154" t="s">
        <v>517</v>
      </c>
      <c r="E135" s="154" t="s">
        <v>517</v>
      </c>
      <c r="J135" s="154" t="s">
        <v>517</v>
      </c>
    </row>
    <row r="136" spans="1:15" hidden="1">
      <c r="A136" s="154" t="s">
        <v>518</v>
      </c>
      <c r="E136" s="154" t="s">
        <v>518</v>
      </c>
      <c r="J136" s="154" t="s">
        <v>518</v>
      </c>
    </row>
    <row r="137" spans="1:15" hidden="1">
      <c r="A137" s="154" t="s">
        <v>519</v>
      </c>
      <c r="E137" s="154" t="s">
        <v>519</v>
      </c>
      <c r="J137" s="154" t="s">
        <v>519</v>
      </c>
    </row>
    <row r="138" spans="1:15" hidden="1">
      <c r="A138" s="154" t="s">
        <v>520</v>
      </c>
      <c r="E138" s="154" t="s">
        <v>520</v>
      </c>
      <c r="J138" s="154" t="s">
        <v>520</v>
      </c>
    </row>
    <row r="139" spans="1:15" hidden="1">
      <c r="A139" s="154" t="s">
        <v>521</v>
      </c>
      <c r="E139" s="154" t="s">
        <v>521</v>
      </c>
      <c r="J139" s="154" t="s">
        <v>521</v>
      </c>
    </row>
    <row r="140" spans="1:15" hidden="1">
      <c r="A140" s="154" t="s">
        <v>522</v>
      </c>
      <c r="E140" s="154" t="s">
        <v>522</v>
      </c>
      <c r="J140" s="154" t="s">
        <v>522</v>
      </c>
    </row>
    <row r="141" spans="1:15" hidden="1">
      <c r="A141" s="154" t="s">
        <v>523</v>
      </c>
      <c r="E141" s="154" t="s">
        <v>523</v>
      </c>
      <c r="J141" s="154" t="s">
        <v>523</v>
      </c>
    </row>
    <row r="142" spans="1:15" hidden="1">
      <c r="A142" s="154" t="s">
        <v>524</v>
      </c>
      <c r="E142" s="154" t="s">
        <v>524</v>
      </c>
      <c r="J142" s="154" t="s">
        <v>524</v>
      </c>
    </row>
    <row r="143" spans="1:15" hidden="1">
      <c r="A143" s="154" t="s">
        <v>525</v>
      </c>
      <c r="E143" s="154" t="s">
        <v>525</v>
      </c>
      <c r="J143" s="154" t="s">
        <v>525</v>
      </c>
    </row>
    <row r="144" spans="1:15" hidden="1">
      <c r="A144" s="154" t="s">
        <v>526</v>
      </c>
      <c r="E144" s="154" t="s">
        <v>526</v>
      </c>
      <c r="J144" s="154" t="s">
        <v>526</v>
      </c>
    </row>
    <row r="145" spans="1:10" hidden="1">
      <c r="A145" s="154" t="s">
        <v>527</v>
      </c>
      <c r="E145" s="154" t="s">
        <v>527</v>
      </c>
      <c r="J145" s="154" t="s">
        <v>527</v>
      </c>
    </row>
    <row r="146" spans="1:10" hidden="1">
      <c r="A146" s="154" t="s">
        <v>528</v>
      </c>
      <c r="E146" s="154" t="s">
        <v>529</v>
      </c>
      <c r="J146" s="154" t="s">
        <v>529</v>
      </c>
    </row>
    <row r="147" spans="1:10" hidden="1">
      <c r="A147" s="154" t="s">
        <v>530</v>
      </c>
      <c r="E147" s="154" t="s">
        <v>530</v>
      </c>
      <c r="J147" s="154" t="s">
        <v>530</v>
      </c>
    </row>
    <row r="148" spans="1:10" hidden="1">
      <c r="A148" s="154" t="s">
        <v>531</v>
      </c>
      <c r="E148" s="154" t="s">
        <v>532</v>
      </c>
      <c r="J148" s="154" t="s">
        <v>531</v>
      </c>
    </row>
    <row r="149" spans="1:10" hidden="1">
      <c r="A149" s="154" t="s">
        <v>533</v>
      </c>
      <c r="E149" s="154" t="s">
        <v>533</v>
      </c>
      <c r="J149" s="154" t="s">
        <v>533</v>
      </c>
    </row>
    <row r="150" spans="1:10" hidden="1">
      <c r="A150" s="154" t="s">
        <v>534</v>
      </c>
      <c r="E150" s="154" t="s">
        <v>535</v>
      </c>
      <c r="J150" s="154" t="s">
        <v>536</v>
      </c>
    </row>
    <row r="151" spans="1:10" hidden="1">
      <c r="A151" s="154" t="s">
        <v>537</v>
      </c>
      <c r="E151" s="154" t="s">
        <v>537</v>
      </c>
      <c r="J151" s="154" t="s">
        <v>537</v>
      </c>
    </row>
    <row r="152" spans="1:10" hidden="1">
      <c r="A152" s="154" t="s">
        <v>538</v>
      </c>
      <c r="E152" s="154" t="s">
        <v>539</v>
      </c>
      <c r="J152" s="154" t="s">
        <v>540</v>
      </c>
    </row>
    <row r="153" spans="1:10" hidden="1">
      <c r="A153" s="154" t="s">
        <v>541</v>
      </c>
      <c r="E153" s="154" t="s">
        <v>541</v>
      </c>
      <c r="J153" s="154" t="s">
        <v>541</v>
      </c>
    </row>
    <row r="154" spans="1:10" hidden="1">
      <c r="A154" s="154" t="s">
        <v>542</v>
      </c>
      <c r="E154" s="154" t="s">
        <v>543</v>
      </c>
      <c r="J154" s="154" t="s">
        <v>544</v>
      </c>
    </row>
    <row r="155" spans="1:10" hidden="1">
      <c r="A155" s="154" t="s">
        <v>545</v>
      </c>
      <c r="E155" s="154" t="s">
        <v>545</v>
      </c>
      <c r="J155" s="154" t="s">
        <v>545</v>
      </c>
    </row>
    <row r="156" spans="1:10" hidden="1">
      <c r="A156" s="154" t="s">
        <v>546</v>
      </c>
      <c r="E156" s="154" t="s">
        <v>547</v>
      </c>
      <c r="J156" s="154" t="s">
        <v>548</v>
      </c>
    </row>
    <row r="157" spans="1:10" hidden="1">
      <c r="A157" s="154" t="s">
        <v>549</v>
      </c>
      <c r="E157" s="154" t="s">
        <v>549</v>
      </c>
      <c r="J157" s="154" t="s">
        <v>549</v>
      </c>
    </row>
    <row r="158" spans="1:10" hidden="1">
      <c r="A158" s="154" t="s">
        <v>550</v>
      </c>
      <c r="E158" s="154" t="s">
        <v>551</v>
      </c>
      <c r="J158" s="154" t="s">
        <v>552</v>
      </c>
    </row>
    <row r="159" spans="1:10" hidden="1">
      <c r="A159" s="154" t="s">
        <v>553</v>
      </c>
      <c r="E159" s="154" t="s">
        <v>553</v>
      </c>
      <c r="J159" s="154" t="s">
        <v>553</v>
      </c>
    </row>
    <row r="160" spans="1:10" hidden="1">
      <c r="A160" s="154" t="s">
        <v>554</v>
      </c>
      <c r="E160" s="154" t="s">
        <v>555</v>
      </c>
      <c r="J160" s="154" t="s">
        <v>556</v>
      </c>
    </row>
    <row r="161" spans="1:10" hidden="1">
      <c r="A161" s="154" t="s">
        <v>557</v>
      </c>
      <c r="E161" s="154" t="s">
        <v>557</v>
      </c>
      <c r="J161" s="154" t="s">
        <v>557</v>
      </c>
    </row>
    <row r="162" spans="1:10" hidden="1">
      <c r="A162" s="154" t="s">
        <v>558</v>
      </c>
      <c r="E162" s="154" t="s">
        <v>559</v>
      </c>
      <c r="J162" s="154" t="s">
        <v>560</v>
      </c>
    </row>
    <row r="163" spans="1:10" hidden="1">
      <c r="A163" s="154" t="s">
        <v>561</v>
      </c>
      <c r="E163" s="154" t="s">
        <v>561</v>
      </c>
      <c r="J163" s="154" t="s">
        <v>561</v>
      </c>
    </row>
    <row r="164" spans="1:10" hidden="1">
      <c r="A164" s="154" t="s">
        <v>562</v>
      </c>
      <c r="E164" s="154" t="s">
        <v>563</v>
      </c>
      <c r="J164" s="154" t="s">
        <v>564</v>
      </c>
    </row>
    <row r="165" spans="1:10" hidden="1">
      <c r="A165" s="154" t="s">
        <v>565</v>
      </c>
      <c r="E165" s="154" t="s">
        <v>565</v>
      </c>
      <c r="J165" s="154" t="s">
        <v>565</v>
      </c>
    </row>
    <row r="166" spans="1:10" hidden="1">
      <c r="A166" s="154" t="s">
        <v>566</v>
      </c>
      <c r="E166" s="154" t="s">
        <v>567</v>
      </c>
      <c r="J166" s="154" t="s">
        <v>568</v>
      </c>
    </row>
    <row r="167" spans="1:10" hidden="1">
      <c r="A167" s="154" t="s">
        <v>569</v>
      </c>
      <c r="E167" s="154" t="s">
        <v>569</v>
      </c>
      <c r="J167" s="154" t="s">
        <v>569</v>
      </c>
    </row>
    <row r="168" spans="1:10" hidden="1">
      <c r="A168" s="154" t="s">
        <v>570</v>
      </c>
      <c r="E168" s="154" t="s">
        <v>571</v>
      </c>
      <c r="J168" s="154" t="s">
        <v>572</v>
      </c>
    </row>
    <row r="169" spans="1:10" hidden="1">
      <c r="A169" s="154" t="s">
        <v>573</v>
      </c>
      <c r="E169" s="154" t="s">
        <v>573</v>
      </c>
      <c r="J169" s="154" t="s">
        <v>573</v>
      </c>
    </row>
    <row r="170" spans="1:10" hidden="1">
      <c r="A170" s="154" t="s">
        <v>574</v>
      </c>
      <c r="E170" s="154" t="s">
        <v>575</v>
      </c>
      <c r="J170" s="154" t="s">
        <v>575</v>
      </c>
    </row>
    <row r="171" spans="1:10" hidden="1">
      <c r="A171" s="154" t="s">
        <v>576</v>
      </c>
      <c r="E171" s="154" t="s">
        <v>576</v>
      </c>
      <c r="J171" s="154" t="s">
        <v>576</v>
      </c>
    </row>
    <row r="172" spans="1:10" hidden="1">
      <c r="A172" s="154" t="s">
        <v>577</v>
      </c>
      <c r="E172" s="154" t="s">
        <v>578</v>
      </c>
      <c r="J172" s="154" t="s">
        <v>578</v>
      </c>
    </row>
    <row r="173" spans="1:10" hidden="1">
      <c r="A173" s="154" t="s">
        <v>579</v>
      </c>
      <c r="E173" s="154" t="s">
        <v>579</v>
      </c>
      <c r="J173" s="154" t="s">
        <v>579</v>
      </c>
    </row>
    <row r="174" spans="1:10" hidden="1">
      <c r="A174" s="154" t="s">
        <v>580</v>
      </c>
      <c r="E174" s="154" t="s">
        <v>581</v>
      </c>
      <c r="J174" s="154" t="s">
        <v>581</v>
      </c>
    </row>
    <row r="175" spans="1:10" hidden="1">
      <c r="A175" s="154" t="s">
        <v>582</v>
      </c>
      <c r="E175" s="154" t="s">
        <v>582</v>
      </c>
      <c r="J175" s="154" t="s">
        <v>582</v>
      </c>
    </row>
    <row r="176" spans="1:10" hidden="1">
      <c r="A176" s="154" t="s">
        <v>583</v>
      </c>
      <c r="E176" s="154" t="s">
        <v>584</v>
      </c>
      <c r="J176" s="154" t="s">
        <v>584</v>
      </c>
    </row>
    <row r="177" spans="1:10" hidden="1">
      <c r="A177" s="154" t="s">
        <v>585</v>
      </c>
      <c r="E177" s="154" t="s">
        <v>585</v>
      </c>
      <c r="J177" s="154" t="s">
        <v>585</v>
      </c>
    </row>
    <row r="178" spans="1:10" hidden="1">
      <c r="A178" s="154" t="s">
        <v>586</v>
      </c>
      <c r="E178" s="154" t="s">
        <v>587</v>
      </c>
      <c r="J178" s="154" t="s">
        <v>587</v>
      </c>
    </row>
    <row r="179" spans="1:10" hidden="1">
      <c r="A179" s="154" t="s">
        <v>588</v>
      </c>
      <c r="E179" s="154" t="s">
        <v>588</v>
      </c>
      <c r="J179" s="154" t="s">
        <v>588</v>
      </c>
    </row>
    <row r="180" spans="1:10" hidden="1">
      <c r="A180" s="154" t="s">
        <v>589</v>
      </c>
      <c r="E180" s="154" t="s">
        <v>590</v>
      </c>
      <c r="J180" s="154" t="s">
        <v>590</v>
      </c>
    </row>
    <row r="181" spans="1:10" hidden="1">
      <c r="A181" s="154" t="s">
        <v>591</v>
      </c>
      <c r="E181" s="154" t="s">
        <v>591</v>
      </c>
      <c r="J181" s="154" t="s">
        <v>591</v>
      </c>
    </row>
    <row r="182" spans="1:10" hidden="1">
      <c r="A182" s="154" t="s">
        <v>592</v>
      </c>
      <c r="E182" s="154" t="s">
        <v>592</v>
      </c>
      <c r="J182" s="154" t="s">
        <v>592</v>
      </c>
    </row>
    <row r="183" spans="1:10" hidden="1"/>
    <row r="184" spans="1:10" hidden="1"/>
    <row r="185" spans="1:10" hidden="1"/>
    <row r="186" spans="1:10" s="268" customFormat="1" hidden="1">
      <c r="A186" s="267" t="s">
        <v>593</v>
      </c>
    </row>
    <row r="187" spans="1:10" hidden="1"/>
    <row r="188" spans="1:10" hidden="1">
      <c r="A188" s="154" t="s">
        <v>594</v>
      </c>
    </row>
    <row r="189" spans="1:10" hidden="1">
      <c r="A189" s="154" t="s">
        <v>595</v>
      </c>
    </row>
    <row r="190" spans="1:10" hidden="1">
      <c r="A190" s="154" t="s">
        <v>513</v>
      </c>
    </row>
    <row r="191" spans="1:10" hidden="1">
      <c r="A191" s="154" t="s">
        <v>596</v>
      </c>
    </row>
    <row r="192" spans="1:10" hidden="1">
      <c r="A192" s="154" t="s">
        <v>597</v>
      </c>
    </row>
    <row r="193" spans="1:1" hidden="1">
      <c r="A193" s="154" t="s">
        <v>598</v>
      </c>
    </row>
    <row r="194" spans="1:1" hidden="1">
      <c r="A194" s="154" t="s">
        <v>599</v>
      </c>
    </row>
    <row r="195" spans="1:1" hidden="1">
      <c r="A195" s="154" t="s">
        <v>600</v>
      </c>
    </row>
    <row r="196" spans="1:1" hidden="1">
      <c r="A196" s="154" t="s">
        <v>601</v>
      </c>
    </row>
    <row r="197" spans="1:1" hidden="1">
      <c r="A197" s="154" t="s">
        <v>602</v>
      </c>
    </row>
    <row r="198" spans="1:1" hidden="1">
      <c r="A198" s="154" t="s">
        <v>603</v>
      </c>
    </row>
    <row r="199" spans="1:1" hidden="1">
      <c r="A199" s="154" t="s">
        <v>604</v>
      </c>
    </row>
    <row r="200" spans="1:1" hidden="1">
      <c r="A200" s="154" t="s">
        <v>605</v>
      </c>
    </row>
    <row r="201" spans="1:1" hidden="1">
      <c r="A201" s="154" t="s">
        <v>606</v>
      </c>
    </row>
    <row r="202" spans="1:1" hidden="1">
      <c r="A202" s="154" t="s">
        <v>607</v>
      </c>
    </row>
    <row r="203" spans="1:1" hidden="1">
      <c r="A203" s="154" t="s">
        <v>608</v>
      </c>
    </row>
    <row r="204" spans="1:1" hidden="1">
      <c r="A204" s="154" t="s">
        <v>609</v>
      </c>
    </row>
    <row r="205" spans="1:1" hidden="1">
      <c r="A205" s="154" t="s">
        <v>610</v>
      </c>
    </row>
    <row r="206" spans="1:1" hidden="1">
      <c r="A206" s="154" t="s">
        <v>611</v>
      </c>
    </row>
    <row r="207" spans="1:1" hidden="1">
      <c r="A207" s="154" t="s">
        <v>612</v>
      </c>
    </row>
    <row r="208" spans="1:1" hidden="1">
      <c r="A208" s="154" t="s">
        <v>613</v>
      </c>
    </row>
    <row r="209" spans="1:34" hidden="1">
      <c r="A209" s="154" t="s">
        <v>614</v>
      </c>
    </row>
    <row r="210" spans="1:34" hidden="1">
      <c r="A210" s="154" t="s">
        <v>615</v>
      </c>
    </row>
    <row r="211" spans="1:34" hidden="1">
      <c r="A211" s="154" t="s">
        <v>616</v>
      </c>
    </row>
    <row r="212" spans="1:34" hidden="1"/>
    <row r="213" spans="1:34" hidden="1"/>
    <row r="214" spans="1:34" hidden="1"/>
    <row r="215" spans="1:34" hidden="1"/>
    <row r="216" spans="1:34" s="268" customFormat="1" hidden="1">
      <c r="A216" s="267" t="s">
        <v>617</v>
      </c>
    </row>
    <row r="217" spans="1:34" hidden="1"/>
    <row r="218" spans="1:34" hidden="1">
      <c r="A218" s="154" t="s">
        <v>618</v>
      </c>
      <c r="E218" s="154" t="s">
        <v>618</v>
      </c>
      <c r="I218" s="154" t="s">
        <v>618</v>
      </c>
      <c r="M218" s="154" t="s">
        <v>618</v>
      </c>
      <c r="Q218" s="154" t="s">
        <v>618</v>
      </c>
      <c r="T218" s="154" t="s">
        <v>619</v>
      </c>
      <c r="V218" s="154" t="s">
        <v>618</v>
      </c>
      <c r="Z218" s="154" t="s">
        <v>620</v>
      </c>
      <c r="AD218" s="154" t="s">
        <v>618</v>
      </c>
      <c r="AH218" s="154" t="s">
        <v>618</v>
      </c>
    </row>
    <row r="219" spans="1:34" hidden="1">
      <c r="A219" s="154" t="s">
        <v>621</v>
      </c>
      <c r="E219" s="154" t="s">
        <v>622</v>
      </c>
      <c r="I219" s="154" t="s">
        <v>623</v>
      </c>
      <c r="M219" s="154" t="s">
        <v>624</v>
      </c>
      <c r="Q219" s="154" t="s">
        <v>625</v>
      </c>
      <c r="T219" s="154" t="s">
        <v>626</v>
      </c>
      <c r="V219" s="154" t="s">
        <v>627</v>
      </c>
      <c r="Z219" s="154" t="s">
        <v>628</v>
      </c>
      <c r="AD219" s="154" t="s">
        <v>629</v>
      </c>
      <c r="AH219" s="154" t="s">
        <v>630</v>
      </c>
    </row>
    <row r="220" spans="1:34" hidden="1">
      <c r="A220" s="154" t="s">
        <v>631</v>
      </c>
      <c r="E220" s="154" t="s">
        <v>631</v>
      </c>
      <c r="I220" s="154" t="s">
        <v>631</v>
      </c>
      <c r="M220" s="154" t="s">
        <v>631</v>
      </c>
      <c r="Q220" s="154" t="s">
        <v>631</v>
      </c>
      <c r="T220" s="154" t="s">
        <v>631</v>
      </c>
      <c r="V220" s="154" t="s">
        <v>631</v>
      </c>
      <c r="Z220" s="154" t="s">
        <v>631</v>
      </c>
      <c r="AD220" s="154" t="s">
        <v>631</v>
      </c>
      <c r="AH220" s="154" t="s">
        <v>631</v>
      </c>
    </row>
    <row r="221" spans="1:34" hidden="1">
      <c r="A221" s="154" t="s">
        <v>596</v>
      </c>
      <c r="E221" s="154" t="s">
        <v>596</v>
      </c>
      <c r="I221" s="154" t="s">
        <v>596</v>
      </c>
      <c r="M221" s="154" t="s">
        <v>596</v>
      </c>
      <c r="Q221" s="154" t="s">
        <v>596</v>
      </c>
      <c r="T221" s="154" t="s">
        <v>596</v>
      </c>
      <c r="V221" s="154" t="s">
        <v>596</v>
      </c>
      <c r="Z221" s="154" t="s">
        <v>596</v>
      </c>
      <c r="AD221" s="154" t="s">
        <v>596</v>
      </c>
      <c r="AH221" s="154" t="s">
        <v>596</v>
      </c>
    </row>
    <row r="222" spans="1:34" hidden="1">
      <c r="A222" s="154" t="s">
        <v>597</v>
      </c>
      <c r="E222" s="154" t="s">
        <v>597</v>
      </c>
      <c r="I222" s="154" t="s">
        <v>597</v>
      </c>
      <c r="M222" s="154" t="s">
        <v>597</v>
      </c>
      <c r="Q222" s="154" t="s">
        <v>597</v>
      </c>
      <c r="T222" s="154" t="s">
        <v>597</v>
      </c>
      <c r="V222" s="154" t="s">
        <v>597</v>
      </c>
      <c r="Z222" s="154" t="s">
        <v>597</v>
      </c>
      <c r="AD222" s="154" t="s">
        <v>597</v>
      </c>
      <c r="AH222" s="154" t="s">
        <v>597</v>
      </c>
    </row>
    <row r="223" spans="1:34" hidden="1">
      <c r="A223" s="154" t="s">
        <v>632</v>
      </c>
      <c r="E223" s="154" t="s">
        <v>632</v>
      </c>
      <c r="I223" s="154" t="s">
        <v>632</v>
      </c>
      <c r="M223" s="154" t="s">
        <v>632</v>
      </c>
      <c r="Q223" s="154" t="s">
        <v>632</v>
      </c>
      <c r="T223" s="154" t="s">
        <v>632</v>
      </c>
      <c r="V223" s="154" t="s">
        <v>632</v>
      </c>
      <c r="Z223" s="154" t="s">
        <v>632</v>
      </c>
      <c r="AD223" s="154" t="s">
        <v>632</v>
      </c>
      <c r="AH223" s="154" t="s">
        <v>632</v>
      </c>
    </row>
    <row r="224" spans="1:34" hidden="1">
      <c r="A224" s="154" t="s">
        <v>599</v>
      </c>
      <c r="E224" s="154" t="s">
        <v>599</v>
      </c>
      <c r="I224" s="154" t="s">
        <v>599</v>
      </c>
      <c r="M224" s="154" t="s">
        <v>599</v>
      </c>
      <c r="Q224" s="154" t="s">
        <v>599</v>
      </c>
      <c r="T224" s="154" t="s">
        <v>599</v>
      </c>
      <c r="V224" s="154" t="s">
        <v>599</v>
      </c>
      <c r="Z224" s="154" t="s">
        <v>599</v>
      </c>
      <c r="AD224" s="154" t="s">
        <v>599</v>
      </c>
      <c r="AH224" s="154" t="s">
        <v>599</v>
      </c>
    </row>
    <row r="225" spans="1:34" hidden="1">
      <c r="A225" s="154" t="s">
        <v>633</v>
      </c>
      <c r="E225" s="154" t="s">
        <v>633</v>
      </c>
      <c r="I225" s="154" t="s">
        <v>633</v>
      </c>
      <c r="M225" s="154" t="s">
        <v>633</v>
      </c>
      <c r="Q225" s="154" t="s">
        <v>633</v>
      </c>
      <c r="T225" s="154" t="s">
        <v>633</v>
      </c>
      <c r="V225" s="154" t="s">
        <v>633</v>
      </c>
      <c r="Z225" s="154" t="s">
        <v>633</v>
      </c>
      <c r="AD225" s="154" t="s">
        <v>633</v>
      </c>
      <c r="AH225" s="154" t="s">
        <v>633</v>
      </c>
    </row>
    <row r="226" spans="1:34" hidden="1">
      <c r="A226" s="154" t="s">
        <v>601</v>
      </c>
      <c r="E226" s="154" t="s">
        <v>601</v>
      </c>
      <c r="I226" s="154" t="s">
        <v>601</v>
      </c>
      <c r="M226" s="154" t="s">
        <v>601</v>
      </c>
      <c r="Q226" s="154" t="s">
        <v>601</v>
      </c>
      <c r="T226" s="154" t="s">
        <v>601</v>
      </c>
      <c r="V226" s="154" t="s">
        <v>601</v>
      </c>
      <c r="Z226" s="154" t="s">
        <v>601</v>
      </c>
      <c r="AD226" s="154" t="s">
        <v>601</v>
      </c>
      <c r="AH226" s="154" t="s">
        <v>601</v>
      </c>
    </row>
    <row r="227" spans="1:34" hidden="1">
      <c r="A227" s="154" t="s">
        <v>634</v>
      </c>
      <c r="E227" s="154" t="s">
        <v>634</v>
      </c>
      <c r="I227" s="154" t="s">
        <v>634</v>
      </c>
      <c r="M227" s="154" t="s">
        <v>634</v>
      </c>
      <c r="Q227" s="154" t="s">
        <v>634</v>
      </c>
      <c r="T227" s="154" t="s">
        <v>634</v>
      </c>
      <c r="V227" s="154" t="s">
        <v>634</v>
      </c>
      <c r="Z227" s="154" t="s">
        <v>634</v>
      </c>
      <c r="AD227" s="154" t="s">
        <v>634</v>
      </c>
      <c r="AH227" s="154" t="s">
        <v>634</v>
      </c>
    </row>
    <row r="228" spans="1:34" hidden="1">
      <c r="A228" s="154" t="s">
        <v>635</v>
      </c>
      <c r="E228" s="154" t="s">
        <v>635</v>
      </c>
      <c r="I228" s="154" t="s">
        <v>635</v>
      </c>
      <c r="M228" s="154" t="s">
        <v>635</v>
      </c>
      <c r="Q228" s="154" t="s">
        <v>635</v>
      </c>
      <c r="T228" s="154" t="s">
        <v>635</v>
      </c>
      <c r="V228" s="154" t="s">
        <v>635</v>
      </c>
      <c r="Z228" s="154" t="s">
        <v>635</v>
      </c>
      <c r="AD228" s="154" t="s">
        <v>635</v>
      </c>
      <c r="AH228" s="154" t="s">
        <v>635</v>
      </c>
    </row>
    <row r="229" spans="1:34" hidden="1">
      <c r="A229" s="154" t="s">
        <v>636</v>
      </c>
      <c r="E229" s="154" t="s">
        <v>636</v>
      </c>
      <c r="I229" s="154" t="s">
        <v>636</v>
      </c>
      <c r="M229" s="154" t="s">
        <v>636</v>
      </c>
      <c r="Q229" s="154" t="s">
        <v>636</v>
      </c>
      <c r="T229" s="154" t="s">
        <v>636</v>
      </c>
      <c r="V229" s="154" t="s">
        <v>636</v>
      </c>
      <c r="Z229" s="154" t="s">
        <v>636</v>
      </c>
      <c r="AD229" s="154" t="s">
        <v>636</v>
      </c>
      <c r="AH229" s="154" t="s">
        <v>636</v>
      </c>
    </row>
    <row r="230" spans="1:34" hidden="1">
      <c r="A230" s="154" t="s">
        <v>637</v>
      </c>
      <c r="E230" s="154" t="s">
        <v>637</v>
      </c>
      <c r="I230" s="154" t="s">
        <v>637</v>
      </c>
      <c r="M230" s="154" t="s">
        <v>637</v>
      </c>
      <c r="Q230" s="154" t="s">
        <v>637</v>
      </c>
      <c r="T230" s="154" t="s">
        <v>637</v>
      </c>
      <c r="V230" s="154" t="s">
        <v>637</v>
      </c>
      <c r="Z230" s="154" t="s">
        <v>637</v>
      </c>
      <c r="AD230" s="154" t="s">
        <v>637</v>
      </c>
      <c r="AH230" s="154" t="s">
        <v>637</v>
      </c>
    </row>
    <row r="231" spans="1:34" hidden="1">
      <c r="A231" s="154" t="s">
        <v>638</v>
      </c>
      <c r="E231" s="154" t="s">
        <v>638</v>
      </c>
      <c r="I231" s="154" t="s">
        <v>638</v>
      </c>
      <c r="M231" s="154" t="s">
        <v>638</v>
      </c>
      <c r="Q231" s="154" t="s">
        <v>638</v>
      </c>
      <c r="T231" s="154" t="s">
        <v>638</v>
      </c>
      <c r="V231" s="154" t="s">
        <v>638</v>
      </c>
      <c r="Z231" s="154" t="s">
        <v>638</v>
      </c>
      <c r="AD231" s="154" t="s">
        <v>638</v>
      </c>
      <c r="AH231" s="154" t="s">
        <v>638</v>
      </c>
    </row>
    <row r="232" spans="1:34" hidden="1">
      <c r="A232" s="154" t="s">
        <v>639</v>
      </c>
      <c r="E232" s="154" t="s">
        <v>639</v>
      </c>
      <c r="I232" s="154" t="s">
        <v>639</v>
      </c>
      <c r="M232" s="154" t="s">
        <v>639</v>
      </c>
      <c r="Q232" s="154" t="s">
        <v>639</v>
      </c>
      <c r="T232" s="154" t="s">
        <v>639</v>
      </c>
      <c r="V232" s="154" t="s">
        <v>639</v>
      </c>
      <c r="Z232" s="154" t="s">
        <v>639</v>
      </c>
      <c r="AD232" s="154" t="s">
        <v>639</v>
      </c>
      <c r="AH232" s="154" t="s">
        <v>639</v>
      </c>
    </row>
    <row r="233" spans="1:34" hidden="1">
      <c r="A233" s="154" t="s">
        <v>640</v>
      </c>
      <c r="E233" s="154" t="s">
        <v>640</v>
      </c>
      <c r="I233" s="154" t="s">
        <v>640</v>
      </c>
      <c r="M233" s="154" t="s">
        <v>640</v>
      </c>
      <c r="Q233" s="154" t="s">
        <v>640</v>
      </c>
      <c r="T233" s="154" t="s">
        <v>640</v>
      </c>
      <c r="V233" s="154" t="s">
        <v>640</v>
      </c>
      <c r="Z233" s="154" t="s">
        <v>640</v>
      </c>
      <c r="AD233" s="154" t="s">
        <v>640</v>
      </c>
      <c r="AH233" s="154" t="s">
        <v>640</v>
      </c>
    </row>
    <row r="234" spans="1:34" hidden="1">
      <c r="A234" s="154" t="s">
        <v>641</v>
      </c>
      <c r="E234" s="154" t="s">
        <v>641</v>
      </c>
      <c r="I234" s="154" t="s">
        <v>641</v>
      </c>
      <c r="M234" s="154" t="s">
        <v>641</v>
      </c>
      <c r="Q234" s="154" t="s">
        <v>641</v>
      </c>
      <c r="T234" s="154" t="s">
        <v>641</v>
      </c>
      <c r="V234" s="154" t="s">
        <v>641</v>
      </c>
      <c r="Z234" s="154" t="s">
        <v>641</v>
      </c>
      <c r="AD234" s="154" t="s">
        <v>641</v>
      </c>
      <c r="AH234" s="154" t="s">
        <v>641</v>
      </c>
    </row>
    <row r="235" spans="1:34" hidden="1">
      <c r="A235" s="154" t="s">
        <v>642</v>
      </c>
      <c r="E235" s="154" t="s">
        <v>642</v>
      </c>
      <c r="I235" s="154" t="s">
        <v>642</v>
      </c>
      <c r="M235" s="154" t="s">
        <v>642</v>
      </c>
      <c r="Q235" s="154" t="s">
        <v>642</v>
      </c>
      <c r="T235" s="154" t="s">
        <v>642</v>
      </c>
      <c r="V235" s="154" t="s">
        <v>642</v>
      </c>
      <c r="Z235" s="154" t="s">
        <v>642</v>
      </c>
      <c r="AD235" s="154" t="s">
        <v>642</v>
      </c>
      <c r="AH235" s="154" t="s">
        <v>642</v>
      </c>
    </row>
    <row r="236" spans="1:34" hidden="1">
      <c r="A236" s="154" t="s">
        <v>643</v>
      </c>
      <c r="E236" s="154" t="s">
        <v>643</v>
      </c>
      <c r="I236" s="154" t="s">
        <v>643</v>
      </c>
      <c r="M236" s="154" t="s">
        <v>643</v>
      </c>
      <c r="Q236" s="154" t="s">
        <v>643</v>
      </c>
      <c r="T236" s="154" t="s">
        <v>643</v>
      </c>
      <c r="V236" s="154" t="s">
        <v>643</v>
      </c>
      <c r="Z236" s="154" t="s">
        <v>643</v>
      </c>
      <c r="AD236" s="154" t="s">
        <v>643</v>
      </c>
      <c r="AH236" s="154" t="s">
        <v>643</v>
      </c>
    </row>
    <row r="237" spans="1:34" hidden="1">
      <c r="A237" s="154" t="s">
        <v>644</v>
      </c>
      <c r="E237" s="154" t="s">
        <v>644</v>
      </c>
      <c r="I237" s="154" t="s">
        <v>644</v>
      </c>
      <c r="M237" s="154" t="s">
        <v>644</v>
      </c>
      <c r="Q237" s="154" t="s">
        <v>644</v>
      </c>
      <c r="T237" s="154" t="s">
        <v>644</v>
      </c>
      <c r="V237" s="154" t="s">
        <v>644</v>
      </c>
      <c r="Z237" s="154" t="s">
        <v>644</v>
      </c>
      <c r="AD237" s="154" t="s">
        <v>644</v>
      </c>
      <c r="AH237" s="154" t="s">
        <v>644</v>
      </c>
    </row>
    <row r="238" spans="1:34" hidden="1">
      <c r="A238" s="154" t="s">
        <v>645</v>
      </c>
      <c r="E238" s="154" t="s">
        <v>645</v>
      </c>
      <c r="I238" s="154" t="s">
        <v>645</v>
      </c>
      <c r="M238" s="154" t="s">
        <v>645</v>
      </c>
      <c r="Q238" s="154" t="s">
        <v>645</v>
      </c>
      <c r="T238" s="154" t="s">
        <v>645</v>
      </c>
      <c r="V238" s="154" t="s">
        <v>645</v>
      </c>
      <c r="Z238" s="154" t="s">
        <v>645</v>
      </c>
      <c r="AD238" s="154" t="s">
        <v>645</v>
      </c>
      <c r="AH238" s="154" t="s">
        <v>645</v>
      </c>
    </row>
    <row r="239" spans="1:34" hidden="1">
      <c r="A239" s="154" t="s">
        <v>646</v>
      </c>
      <c r="E239" s="154" t="s">
        <v>646</v>
      </c>
      <c r="I239" s="154" t="s">
        <v>646</v>
      </c>
      <c r="M239" s="154" t="s">
        <v>646</v>
      </c>
      <c r="Q239" s="154" t="s">
        <v>646</v>
      </c>
      <c r="T239" s="154" t="s">
        <v>646</v>
      </c>
      <c r="V239" s="154" t="s">
        <v>646</v>
      </c>
      <c r="Z239" s="154" t="s">
        <v>646</v>
      </c>
      <c r="AD239" s="154" t="s">
        <v>646</v>
      </c>
      <c r="AH239" s="154" t="s">
        <v>646</v>
      </c>
    </row>
    <row r="240" spans="1:34" hidden="1">
      <c r="A240" s="154" t="s">
        <v>647</v>
      </c>
      <c r="E240" s="154" t="s">
        <v>647</v>
      </c>
      <c r="I240" s="154" t="s">
        <v>647</v>
      </c>
      <c r="M240" s="154" t="s">
        <v>647</v>
      </c>
      <c r="Q240" s="154" t="s">
        <v>647</v>
      </c>
      <c r="T240" s="154" t="s">
        <v>647</v>
      </c>
      <c r="V240" s="154" t="s">
        <v>647</v>
      </c>
      <c r="Z240" s="154" t="s">
        <v>647</v>
      </c>
      <c r="AD240" s="154" t="s">
        <v>647</v>
      </c>
      <c r="AH240" s="154" t="s">
        <v>647</v>
      </c>
    </row>
    <row r="241" spans="1:34" hidden="1">
      <c r="A241" s="154" t="s">
        <v>648</v>
      </c>
      <c r="E241" s="154" t="s">
        <v>648</v>
      </c>
      <c r="I241" s="154" t="s">
        <v>648</v>
      </c>
      <c r="M241" s="154" t="s">
        <v>648</v>
      </c>
      <c r="Q241" s="154" t="s">
        <v>648</v>
      </c>
      <c r="T241" s="154" t="s">
        <v>648</v>
      </c>
      <c r="V241" s="154" t="s">
        <v>648</v>
      </c>
      <c r="Z241" s="154" t="s">
        <v>648</v>
      </c>
      <c r="AD241" s="154" t="s">
        <v>648</v>
      </c>
      <c r="AH241" s="154" t="s">
        <v>648</v>
      </c>
    </row>
    <row r="242" spans="1:34" hidden="1">
      <c r="A242" s="154" t="s">
        <v>649</v>
      </c>
      <c r="E242" s="154" t="s">
        <v>649</v>
      </c>
      <c r="I242" s="154" t="s">
        <v>649</v>
      </c>
      <c r="M242" s="154" t="s">
        <v>649</v>
      </c>
      <c r="Q242" s="154" t="s">
        <v>649</v>
      </c>
      <c r="T242" s="154" t="s">
        <v>649</v>
      </c>
      <c r="V242" s="154" t="s">
        <v>649</v>
      </c>
      <c r="Z242" s="154" t="s">
        <v>649</v>
      </c>
      <c r="AD242" s="154" t="s">
        <v>649</v>
      </c>
      <c r="AH242" s="154" t="s">
        <v>649</v>
      </c>
    </row>
    <row r="243" spans="1:34" hidden="1">
      <c r="A243" s="154" t="s">
        <v>650</v>
      </c>
      <c r="E243" s="154" t="s">
        <v>650</v>
      </c>
      <c r="I243" s="154" t="s">
        <v>650</v>
      </c>
      <c r="M243" s="154" t="s">
        <v>650</v>
      </c>
      <c r="Q243" s="154" t="s">
        <v>650</v>
      </c>
      <c r="T243" s="154" t="s">
        <v>650</v>
      </c>
      <c r="V243" s="154" t="s">
        <v>650</v>
      </c>
      <c r="Z243" s="154" t="s">
        <v>650</v>
      </c>
      <c r="AD243" s="154" t="s">
        <v>650</v>
      </c>
      <c r="AH243" s="154" t="s">
        <v>650</v>
      </c>
    </row>
    <row r="244" spans="1:34" ht="17.55" hidden="1" customHeight="1"/>
  </sheetData>
  <mergeCells count="26">
    <mergeCell ref="B122:E122"/>
    <mergeCell ref="F13:F20"/>
    <mergeCell ref="A49:A58"/>
    <mergeCell ref="A1:G1"/>
    <mergeCell ref="F4:F11"/>
    <mergeCell ref="G4:G11"/>
    <mergeCell ref="A3:A11"/>
    <mergeCell ref="B4:B11"/>
    <mergeCell ref="B13:B20"/>
    <mergeCell ref="A12:A20"/>
    <mergeCell ref="A122:A123"/>
    <mergeCell ref="B118:N118"/>
    <mergeCell ref="A118:A119"/>
    <mergeCell ref="H19:I19"/>
    <mergeCell ref="G13:G20"/>
    <mergeCell ref="A34:D34"/>
    <mergeCell ref="A59:H59"/>
    <mergeCell ref="B114:F114"/>
    <mergeCell ref="A114:A115"/>
    <mergeCell ref="A61:A62"/>
    <mergeCell ref="B61:B62"/>
    <mergeCell ref="A67:M67"/>
    <mergeCell ref="F83:H83"/>
    <mergeCell ref="B83:D83"/>
    <mergeCell ref="J83:L83"/>
    <mergeCell ref="H61:H62"/>
  </mergeCells>
  <phoneticPr fontId="9" type="noConversion"/>
  <hyperlinks>
    <hyperlink ref="A34" r:id="rId1" xr:uid="{FEDBB14A-1404-4299-B4F2-1AA675950D8F}"/>
    <hyperlink ref="F50" r:id="rId2" xr:uid="{01D7992D-44E6-48CC-A1B9-F74017160D35}"/>
    <hyperlink ref="F49" r:id="rId3" xr:uid="{270A026A-E4AF-4B7A-8CD3-03EA7CE141D2}"/>
    <hyperlink ref="F48" r:id="rId4" xr:uid="{39763020-6A2D-4AB4-BEC0-FED08D2C3562}"/>
  </hyperlinks>
  <pageMargins left="0.7" right="0.7" top="0.75" bottom="0.75" header="0.3" footer="0.3"/>
  <drawing r:id="rId5"/>
  <legacyDrawing r:id="rId6"/>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98FA8-1D97-4D12-96EB-6911ACEC625A}">
  <sheetPr codeName="Sheet18"/>
  <dimension ref="A1:G57"/>
  <sheetViews>
    <sheetView zoomScaleNormal="100" workbookViewId="0">
      <selection sqref="A1:D1"/>
    </sheetView>
  </sheetViews>
  <sheetFormatPr defaultColWidth="8.77734375" defaultRowHeight="13.2"/>
  <cols>
    <col min="1" max="1" width="27.5546875" style="154" customWidth="1"/>
    <col min="2" max="2" width="23.77734375" style="154" customWidth="1"/>
    <col min="3" max="3" width="19.44140625" style="154" customWidth="1"/>
    <col min="4" max="4" width="19.21875" style="154" customWidth="1"/>
    <col min="5" max="5" width="8.77734375" style="154"/>
    <col min="6" max="6" width="17.109375" style="154" customWidth="1"/>
    <col min="7" max="7" width="17.5546875" style="154" customWidth="1"/>
    <col min="8" max="8" width="15.5546875" style="154" customWidth="1"/>
    <col min="9" max="9" width="13.21875" style="154" customWidth="1"/>
    <col min="10" max="16384" width="8.77734375" style="154"/>
  </cols>
  <sheetData>
    <row r="1" spans="1:4" ht="25.2" customHeight="1">
      <c r="A1" s="809" t="s">
        <v>651</v>
      </c>
      <c r="B1" s="809"/>
      <c r="C1" s="809"/>
      <c r="D1" s="809"/>
    </row>
    <row r="2" spans="1:4" ht="37.200000000000003" customHeight="1">
      <c r="A2" s="399" t="s">
        <v>652</v>
      </c>
      <c r="B2" s="399" t="s">
        <v>653</v>
      </c>
      <c r="C2" s="399" t="s">
        <v>654</v>
      </c>
      <c r="D2" s="399" t="s">
        <v>171</v>
      </c>
    </row>
    <row r="3" spans="1:4" ht="22.2" customHeight="1">
      <c r="A3" s="412">
        <v>382</v>
      </c>
      <c r="B3" s="412">
        <v>155</v>
      </c>
      <c r="C3" s="412">
        <v>537</v>
      </c>
      <c r="D3" s="177" t="s">
        <v>655</v>
      </c>
    </row>
    <row r="4" spans="1:4" ht="22.2" customHeight="1">
      <c r="A4" s="522"/>
      <c r="B4" s="522"/>
      <c r="C4" s="522"/>
    </row>
    <row r="5" spans="1:4" ht="15.6" customHeight="1">
      <c r="A5" s="811" t="s">
        <v>656</v>
      </c>
      <c r="B5" s="811"/>
      <c r="C5" s="811"/>
    </row>
    <row r="6" spans="1:4" ht="15.6" customHeight="1">
      <c r="A6" s="619" t="s">
        <v>657</v>
      </c>
      <c r="B6" s="548"/>
      <c r="C6" s="548"/>
    </row>
    <row r="7" spans="1:4" ht="15.6" customHeight="1">
      <c r="A7" s="810" t="s">
        <v>658</v>
      </c>
      <c r="B7" s="810"/>
      <c r="C7" s="810"/>
    </row>
    <row r="8" spans="1:4" ht="15.6" customHeight="1">
      <c r="A8" s="810" t="s">
        <v>659</v>
      </c>
      <c r="B8" s="810"/>
      <c r="C8" s="810"/>
    </row>
    <row r="9" spans="1:4" ht="15.6" customHeight="1">
      <c r="A9" s="810" t="s">
        <v>660</v>
      </c>
      <c r="B9" s="810"/>
      <c r="C9" s="810"/>
    </row>
    <row r="10" spans="1:4" ht="15.6" customHeight="1">
      <c r="A10" s="810" t="s">
        <v>661</v>
      </c>
      <c r="B10" s="810"/>
      <c r="C10" s="810"/>
    </row>
    <row r="11" spans="1:4" ht="15.6" customHeight="1">
      <c r="A11" s="810" t="s">
        <v>662</v>
      </c>
      <c r="B11" s="810"/>
      <c r="C11" s="810"/>
    </row>
    <row r="12" spans="1:4" ht="15.6" customHeight="1">
      <c r="A12" s="545" t="s">
        <v>663</v>
      </c>
      <c r="B12" s="546"/>
      <c r="C12" s="546"/>
    </row>
    <row r="13" spans="1:4" ht="12.75" customHeight="1">
      <c r="A13" s="810" t="s">
        <v>664</v>
      </c>
      <c r="B13" s="810"/>
      <c r="C13" s="810"/>
    </row>
    <row r="14" spans="1:4" ht="13.8" customHeight="1">
      <c r="A14" s="810" t="s">
        <v>665</v>
      </c>
      <c r="B14" s="810"/>
      <c r="C14" s="810"/>
    </row>
    <row r="15" spans="1:4">
      <c r="A15" s="154" t="s">
        <v>666</v>
      </c>
    </row>
    <row r="17" spans="1:7" s="207" customFormat="1" hidden="1">
      <c r="A17" s="207" t="s">
        <v>76</v>
      </c>
      <c r="E17" s="208"/>
      <c r="F17" s="209"/>
      <c r="G17" s="210"/>
    </row>
    <row r="18" spans="1:7" hidden="1"/>
    <row r="19" spans="1:7" hidden="1"/>
    <row r="20" spans="1:7" hidden="1"/>
    <row r="21" spans="1:7" ht="13.8" hidden="1" thickBot="1"/>
    <row r="22" spans="1:7" hidden="1">
      <c r="A22" s="800" t="s">
        <v>667</v>
      </c>
      <c r="B22" s="801"/>
      <c r="C22" s="801"/>
      <c r="D22" s="802"/>
    </row>
    <row r="23" spans="1:7" hidden="1">
      <c r="A23" s="803" t="s">
        <v>668</v>
      </c>
      <c r="B23" s="804"/>
      <c r="C23" s="804"/>
      <c r="D23" s="805"/>
    </row>
    <row r="24" spans="1:7" ht="26.4" hidden="1">
      <c r="A24" s="400" t="s">
        <v>435</v>
      </c>
      <c r="B24" s="218" t="s">
        <v>669</v>
      </c>
      <c r="C24" s="218" t="s">
        <v>670</v>
      </c>
      <c r="D24" s="401"/>
    </row>
    <row r="25" spans="1:7" hidden="1">
      <c r="A25" s="154">
        <v>2022</v>
      </c>
      <c r="B25" s="154">
        <v>0.1</v>
      </c>
      <c r="C25" s="154">
        <v>1</v>
      </c>
    </row>
    <row r="26" spans="1:7" hidden="1">
      <c r="A26" s="154">
        <v>2019</v>
      </c>
      <c r="B26" s="154">
        <v>0.1</v>
      </c>
      <c r="C26" s="154">
        <v>0.5</v>
      </c>
    </row>
    <row r="27" spans="1:7" hidden="1">
      <c r="A27" s="154">
        <v>2016</v>
      </c>
      <c r="B27" s="154">
        <v>0.14000000000000001</v>
      </c>
      <c r="C27" s="154">
        <v>0.6</v>
      </c>
    </row>
    <row r="28" spans="1:7" hidden="1">
      <c r="A28" s="154" t="s">
        <v>671</v>
      </c>
    </row>
    <row r="29" spans="1:7" hidden="1"/>
    <row r="30" spans="1:7" hidden="1"/>
    <row r="31" spans="1:7" hidden="1">
      <c r="A31" s="812" t="s">
        <v>672</v>
      </c>
      <c r="B31" s="812"/>
      <c r="C31" s="812"/>
    </row>
    <row r="32" spans="1:7" ht="26.4" hidden="1">
      <c r="A32" s="402" t="s">
        <v>5</v>
      </c>
      <c r="B32" s="402" t="s">
        <v>256</v>
      </c>
      <c r="C32" s="399" t="s">
        <v>673</v>
      </c>
    </row>
    <row r="33" spans="1:3" hidden="1">
      <c r="A33" s="806" t="s">
        <v>130</v>
      </c>
      <c r="B33" s="398">
        <v>1</v>
      </c>
      <c r="C33" s="403">
        <v>0.71923409293352769</v>
      </c>
    </row>
    <row r="34" spans="1:3" hidden="1">
      <c r="A34" s="807"/>
      <c r="B34" s="398">
        <v>2</v>
      </c>
      <c r="C34" s="403">
        <v>0.79760196190075294</v>
      </c>
    </row>
    <row r="35" spans="1:3" hidden="1">
      <c r="A35" s="807"/>
      <c r="B35" s="398">
        <v>3</v>
      </c>
      <c r="C35" s="403">
        <v>0.68666481503676391</v>
      </c>
    </row>
    <row r="36" spans="1:3" hidden="1">
      <c r="A36" s="807"/>
      <c r="B36" s="398">
        <v>4</v>
      </c>
      <c r="C36" s="403">
        <v>0.68665487639414202</v>
      </c>
    </row>
    <row r="37" spans="1:3" hidden="1">
      <c r="A37" s="807"/>
      <c r="B37" s="398">
        <v>5</v>
      </c>
      <c r="C37" s="403">
        <v>0.66513285354272256</v>
      </c>
    </row>
    <row r="38" spans="1:3" hidden="1">
      <c r="A38" s="807"/>
      <c r="B38" s="398">
        <v>6</v>
      </c>
      <c r="C38" s="403">
        <v>0.6136255195275272</v>
      </c>
    </row>
    <row r="39" spans="1:3" hidden="1">
      <c r="A39" s="807"/>
      <c r="B39" s="398">
        <v>7</v>
      </c>
      <c r="C39" s="403">
        <v>0.55425225437509362</v>
      </c>
    </row>
    <row r="40" spans="1:3" hidden="1">
      <c r="A40" s="807"/>
      <c r="B40" s="398">
        <v>8</v>
      </c>
      <c r="C40" s="403">
        <v>0.60372866390580082</v>
      </c>
    </row>
    <row r="41" spans="1:3" hidden="1">
      <c r="A41" s="807"/>
      <c r="B41" s="398">
        <v>9</v>
      </c>
      <c r="C41" s="403">
        <v>0.63197902117440896</v>
      </c>
    </row>
    <row r="42" spans="1:3" hidden="1">
      <c r="A42" s="807"/>
      <c r="B42" s="398">
        <v>10</v>
      </c>
      <c r="C42" s="403">
        <v>0.53255875148578224</v>
      </c>
    </row>
    <row r="43" spans="1:3" hidden="1">
      <c r="A43" s="807"/>
      <c r="B43" s="398">
        <v>11</v>
      </c>
      <c r="C43" s="403">
        <v>0.67978449692819543</v>
      </c>
    </row>
    <row r="44" spans="1:3" hidden="1">
      <c r="A44" s="807"/>
      <c r="B44" s="398">
        <v>12</v>
      </c>
      <c r="C44" s="403">
        <v>0.69865094552043139</v>
      </c>
    </row>
    <row r="45" spans="1:3" hidden="1">
      <c r="A45" s="807"/>
      <c r="B45" s="398">
        <v>13</v>
      </c>
      <c r="C45" s="403">
        <v>0.69516839674032949</v>
      </c>
    </row>
    <row r="46" spans="1:3" hidden="1">
      <c r="A46" s="807"/>
      <c r="B46" s="398">
        <v>14</v>
      </c>
      <c r="C46" s="403">
        <v>0.58743940416380225</v>
      </c>
    </row>
    <row r="47" spans="1:3" hidden="1">
      <c r="A47" s="807"/>
      <c r="B47" s="398">
        <v>15</v>
      </c>
      <c r="C47" s="403">
        <v>0.5151453561028615</v>
      </c>
    </row>
    <row r="48" spans="1:3" hidden="1">
      <c r="A48" s="808"/>
      <c r="B48" s="398">
        <v>16</v>
      </c>
      <c r="C48" s="403">
        <v>0.61771546377607522</v>
      </c>
    </row>
    <row r="49" spans="1:7" hidden="1"/>
    <row r="50" spans="1:7" hidden="1">
      <c r="A50" s="154" t="s">
        <v>674</v>
      </c>
    </row>
    <row r="51" spans="1:7" hidden="1"/>
    <row r="52" spans="1:7" ht="26.4" hidden="1">
      <c r="B52" s="404" t="s">
        <v>675</v>
      </c>
      <c r="C52" s="794" t="s">
        <v>676</v>
      </c>
      <c r="D52" s="795"/>
      <c r="E52" s="796"/>
      <c r="F52" s="404" t="s">
        <v>1143</v>
      </c>
    </row>
    <row r="53" spans="1:7" hidden="1">
      <c r="A53" s="179" t="s">
        <v>677</v>
      </c>
      <c r="B53" s="405" t="s">
        <v>281</v>
      </c>
      <c r="C53" s="253">
        <v>514.91999999999996</v>
      </c>
      <c r="D53" s="406">
        <v>144.07</v>
      </c>
      <c r="E53" s="406">
        <v>88.49</v>
      </c>
      <c r="F53" s="405" t="s">
        <v>281</v>
      </c>
    </row>
    <row r="54" spans="1:7" hidden="1">
      <c r="A54" s="797" t="s">
        <v>678</v>
      </c>
      <c r="B54" s="407"/>
      <c r="C54" s="406" t="s">
        <v>679</v>
      </c>
      <c r="D54" s="406" t="s">
        <v>679</v>
      </c>
      <c r="E54" s="406" t="s">
        <v>680</v>
      </c>
      <c r="F54" s="407"/>
    </row>
    <row r="55" spans="1:7" hidden="1">
      <c r="A55" s="798"/>
      <c r="B55" s="408"/>
      <c r="C55" s="409" t="s">
        <v>681</v>
      </c>
      <c r="D55" s="409" t="s">
        <v>682</v>
      </c>
      <c r="E55" s="409" t="s">
        <v>682</v>
      </c>
      <c r="F55" s="408"/>
    </row>
    <row r="56" spans="1:7" hidden="1">
      <c r="A56" s="799"/>
      <c r="B56" s="410"/>
      <c r="C56" s="411" t="s">
        <v>683</v>
      </c>
      <c r="D56" s="411"/>
      <c r="E56" s="411"/>
      <c r="F56" s="410"/>
    </row>
    <row r="57" spans="1:7" hidden="1">
      <c r="F57" s="660"/>
      <c r="G57" s="661"/>
    </row>
  </sheetData>
  <mergeCells count="15">
    <mergeCell ref="A1:D1"/>
    <mergeCell ref="A13:C13"/>
    <mergeCell ref="A14:C14"/>
    <mergeCell ref="A5:C5"/>
    <mergeCell ref="A31:C31"/>
    <mergeCell ref="A9:C9"/>
    <mergeCell ref="A7:C7"/>
    <mergeCell ref="A8:C8"/>
    <mergeCell ref="A10:C10"/>
    <mergeCell ref="A11:C11"/>
    <mergeCell ref="C52:E52"/>
    <mergeCell ref="A54:A56"/>
    <mergeCell ref="A22:D22"/>
    <mergeCell ref="A23:D23"/>
    <mergeCell ref="A33:A48"/>
  </mergeCells>
  <hyperlinks>
    <hyperlink ref="A23" r:id="rId1" display="Ref: Title 24, Part 6- Table 140.6-C (office area &gt;250nSF)" xr:uid="{25B27E79-6EE5-4341-8518-EEAB1CB5EF6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B237-3052-4CA4-8386-360A60E66E7C}">
  <sheetPr codeName="Sheet19"/>
  <dimension ref="A1:AZ256"/>
  <sheetViews>
    <sheetView topLeftCell="E1" zoomScale="85" zoomScaleNormal="85" workbookViewId="0">
      <selection activeCell="W23" sqref="W23"/>
    </sheetView>
  </sheetViews>
  <sheetFormatPr defaultColWidth="8.77734375" defaultRowHeight="14.4"/>
  <cols>
    <col min="1" max="1" width="18.77734375" customWidth="1"/>
    <col min="2" max="2" width="23.21875" customWidth="1"/>
    <col min="3" max="3" width="16.5546875" customWidth="1"/>
    <col min="4" max="4" width="18.77734375" customWidth="1"/>
    <col min="5" max="5" width="17.21875" customWidth="1"/>
    <col min="6" max="6" width="15.21875" customWidth="1"/>
    <col min="7" max="7" width="12.21875" customWidth="1"/>
    <col min="8" max="8" width="12.77734375" customWidth="1"/>
    <col min="9" max="9" width="11.77734375" customWidth="1"/>
    <col min="11" max="11" width="14.5546875" customWidth="1"/>
    <col min="13" max="13" width="12.21875" customWidth="1"/>
    <col min="14" max="14" width="11.21875" customWidth="1"/>
    <col min="15" max="15" width="13.21875" customWidth="1"/>
    <col min="16" max="16" width="10" customWidth="1"/>
    <col min="17" max="17" width="12.21875" customWidth="1"/>
    <col min="18" max="18" width="10.21875" customWidth="1"/>
    <col min="19" max="20" width="10.77734375" customWidth="1"/>
    <col min="21" max="21" width="11.77734375" customWidth="1"/>
    <col min="24" max="24" width="12.77734375" customWidth="1"/>
    <col min="25" max="25" width="14.44140625" customWidth="1"/>
  </cols>
  <sheetData>
    <row r="1" spans="1:6" ht="20.55" customHeight="1">
      <c r="A1" s="818" t="s">
        <v>684</v>
      </c>
      <c r="B1" s="819"/>
      <c r="C1" s="819"/>
      <c r="D1" s="819"/>
      <c r="E1" s="819"/>
      <c r="F1" s="819"/>
    </row>
    <row r="2" spans="1:6">
      <c r="A2" s="143" t="s">
        <v>685</v>
      </c>
      <c r="B2" s="143" t="s">
        <v>468</v>
      </c>
      <c r="C2" s="820" t="s">
        <v>686</v>
      </c>
      <c r="D2" s="820"/>
      <c r="E2" s="148" t="s">
        <v>461</v>
      </c>
      <c r="F2" s="149" t="s">
        <v>463</v>
      </c>
    </row>
    <row r="3" spans="1:6">
      <c r="A3" s="136" t="s">
        <v>687</v>
      </c>
      <c r="B3" s="136">
        <v>6</v>
      </c>
      <c r="C3" s="136"/>
      <c r="D3" s="136">
        <v>0</v>
      </c>
      <c r="E3" s="136"/>
      <c r="F3" s="94"/>
    </row>
    <row r="4" spans="1:6">
      <c r="A4" s="136" t="s">
        <v>688</v>
      </c>
      <c r="B4" s="136">
        <v>1</v>
      </c>
      <c r="C4" s="136" t="s">
        <v>689</v>
      </c>
      <c r="D4" s="136">
        <v>0.2</v>
      </c>
      <c r="E4" s="136"/>
      <c r="F4" s="94"/>
    </row>
    <row r="5" spans="1:6">
      <c r="A5" s="136" t="s">
        <v>690</v>
      </c>
      <c r="B5" s="136">
        <v>1</v>
      </c>
      <c r="C5" s="136" t="s">
        <v>691</v>
      </c>
      <c r="D5" s="136">
        <v>0.7</v>
      </c>
      <c r="E5" s="136"/>
      <c r="F5" s="94"/>
    </row>
    <row r="6" spans="1:6">
      <c r="A6" s="144" t="s">
        <v>692</v>
      </c>
      <c r="B6" s="136">
        <v>9</v>
      </c>
      <c r="C6" s="136" t="s">
        <v>693</v>
      </c>
      <c r="D6" s="136">
        <v>1</v>
      </c>
      <c r="E6" s="136"/>
      <c r="F6" s="94"/>
    </row>
    <row r="7" spans="1:6">
      <c r="A7" s="136" t="s">
        <v>694</v>
      </c>
      <c r="B7" s="136">
        <v>1</v>
      </c>
      <c r="C7" s="136" t="s">
        <v>691</v>
      </c>
      <c r="D7" s="136">
        <v>0.7</v>
      </c>
      <c r="E7" s="136"/>
      <c r="F7" s="94"/>
    </row>
    <row r="8" spans="1:6">
      <c r="A8" s="136" t="s">
        <v>695</v>
      </c>
      <c r="B8" s="136">
        <v>1</v>
      </c>
      <c r="C8" s="136" t="s">
        <v>696</v>
      </c>
      <c r="D8" s="136">
        <v>0.5</v>
      </c>
      <c r="E8" s="136"/>
      <c r="F8" s="94"/>
    </row>
    <row r="9" spans="1:6">
      <c r="A9" s="136" t="s">
        <v>697</v>
      </c>
      <c r="B9" s="136">
        <v>1</v>
      </c>
      <c r="C9" s="136" t="s">
        <v>689</v>
      </c>
      <c r="D9" s="136">
        <v>0.3</v>
      </c>
      <c r="E9" s="136"/>
      <c r="F9" s="94"/>
    </row>
    <row r="10" spans="1:6">
      <c r="A10" s="136" t="s">
        <v>698</v>
      </c>
      <c r="B10" s="136">
        <v>2</v>
      </c>
      <c r="C10" s="136" t="s">
        <v>689</v>
      </c>
      <c r="D10" s="136">
        <v>0.2</v>
      </c>
      <c r="E10" s="136"/>
      <c r="F10" s="94"/>
    </row>
    <row r="11" spans="1:6">
      <c r="A11" s="136" t="s">
        <v>699</v>
      </c>
      <c r="B11" s="136">
        <v>2</v>
      </c>
      <c r="C11" s="136"/>
      <c r="D11" s="136">
        <v>0</v>
      </c>
      <c r="E11" s="136"/>
      <c r="F11" s="145"/>
    </row>
    <row r="12" spans="1:6">
      <c r="A12" s="94"/>
      <c r="B12" s="94"/>
      <c r="C12" s="94"/>
      <c r="D12" s="70">
        <f>SUMPRODUCT(D4:D10,B4:B10)</f>
        <v>11.8</v>
      </c>
      <c r="E12" s="150">
        <f>(E35-D12*249)/(52*2+11)</f>
        <v>3.0267019900374774</v>
      </c>
      <c r="F12" s="151">
        <v>0</v>
      </c>
    </row>
    <row r="13" spans="1:6">
      <c r="A13" s="94"/>
      <c r="B13" s="94"/>
      <c r="C13" s="94"/>
      <c r="D13" s="94"/>
      <c r="E13" s="94"/>
      <c r="F13" s="145"/>
    </row>
    <row r="14" spans="1:6">
      <c r="A14" s="94"/>
      <c r="B14" s="94"/>
      <c r="C14" s="94"/>
      <c r="D14" s="94"/>
      <c r="E14" s="94"/>
      <c r="F14" s="145"/>
    </row>
    <row r="15" spans="1:6">
      <c r="A15" s="94"/>
      <c r="B15" s="94"/>
      <c r="C15" s="94"/>
      <c r="D15" s="94"/>
      <c r="E15" s="94"/>
      <c r="F15" s="145"/>
    </row>
    <row r="16" spans="1:6">
      <c r="A16" s="94"/>
      <c r="B16" s="94"/>
      <c r="C16" s="94"/>
      <c r="D16" s="94"/>
      <c r="E16" s="94"/>
      <c r="F16" s="145"/>
    </row>
    <row r="17" spans="1:7">
      <c r="A17" s="94"/>
      <c r="B17" s="94"/>
      <c r="C17" s="94"/>
      <c r="D17" s="94"/>
      <c r="E17" s="94"/>
      <c r="F17" s="145"/>
    </row>
    <row r="19" spans="1:7" ht="18">
      <c r="D19" s="146"/>
      <c r="E19" s="147"/>
    </row>
    <row r="20" spans="1:7" ht="18">
      <c r="D20" s="146"/>
      <c r="E20" s="147"/>
    </row>
    <row r="21" spans="1:7" ht="18">
      <c r="D21" s="146"/>
      <c r="E21" s="147"/>
    </row>
    <row r="22" spans="1:7" ht="18">
      <c r="D22" s="146"/>
      <c r="E22" s="147"/>
    </row>
    <row r="23" spans="1:7" ht="18">
      <c r="D23" s="146"/>
      <c r="E23" s="147"/>
    </row>
    <row r="24" spans="1:7" ht="18">
      <c r="D24" s="146"/>
      <c r="E24" s="147"/>
    </row>
    <row r="25" spans="1:7" ht="18">
      <c r="D25" s="146"/>
      <c r="E25" s="147"/>
    </row>
    <row r="26" spans="1:7" ht="18">
      <c r="D26" s="146"/>
      <c r="E26" s="147"/>
    </row>
    <row r="27" spans="1:7" ht="18">
      <c r="D27" s="146"/>
      <c r="E27" s="147"/>
    </row>
    <row r="28" spans="1:7" ht="18">
      <c r="D28" s="146"/>
      <c r="E28" s="147"/>
    </row>
    <row r="29" spans="1:7" ht="18">
      <c r="D29" s="146"/>
      <c r="E29" s="147"/>
    </row>
    <row r="30" spans="1:7" s="137" customFormat="1" ht="18">
      <c r="A30" s="137" t="s">
        <v>76</v>
      </c>
      <c r="E30" s="140"/>
      <c r="F30" s="141"/>
      <c r="G30" s="142"/>
    </row>
    <row r="31" spans="1:7" ht="18">
      <c r="E31" s="146"/>
      <c r="F31" s="147"/>
    </row>
    <row r="32" spans="1:7" ht="18">
      <c r="E32" s="146"/>
      <c r="F32" s="147"/>
    </row>
    <row r="33" spans="1:24" ht="27" customHeight="1">
      <c r="A33" s="821" t="s">
        <v>700</v>
      </c>
      <c r="B33" s="821"/>
      <c r="C33" s="821"/>
      <c r="D33" s="821"/>
      <c r="E33" s="821"/>
      <c r="F33" s="821"/>
      <c r="G33" s="821"/>
      <c r="H33" s="821"/>
      <c r="I33" s="821"/>
      <c r="J33" s="821"/>
      <c r="K33" s="821"/>
      <c r="L33" s="821"/>
      <c r="M33" s="821"/>
      <c r="N33" s="130"/>
      <c r="O33" s="130"/>
      <c r="P33" s="130"/>
      <c r="Q33" s="130"/>
      <c r="R33" s="130"/>
      <c r="S33" s="130"/>
      <c r="T33" s="130"/>
      <c r="U33" s="130"/>
      <c r="V33" s="130"/>
      <c r="W33" s="130"/>
    </row>
    <row r="34" spans="1:24" ht="18.600000000000001" customHeight="1">
      <c r="A34" s="131"/>
      <c r="B34" s="131"/>
      <c r="C34" s="131"/>
      <c r="D34" s="131"/>
      <c r="E34" s="131"/>
      <c r="F34" s="131"/>
      <c r="G34" s="131"/>
      <c r="H34" s="131"/>
      <c r="I34" s="131"/>
      <c r="J34" s="131"/>
      <c r="K34" s="131"/>
      <c r="L34" s="131"/>
      <c r="M34" s="131"/>
      <c r="N34" s="3"/>
      <c r="O34" s="3"/>
      <c r="P34" s="3"/>
      <c r="Q34" s="3"/>
      <c r="R34" s="3"/>
      <c r="S34" s="3"/>
      <c r="T34" s="3"/>
      <c r="U34" s="3"/>
      <c r="V34" s="3"/>
      <c r="W34" s="3"/>
    </row>
    <row r="35" spans="1:24" ht="18">
      <c r="A35" s="813" t="s">
        <v>701</v>
      </c>
      <c r="B35" s="813"/>
      <c r="C35" s="813"/>
      <c r="D35" s="92" t="s">
        <v>283</v>
      </c>
      <c r="E35" s="102">
        <v>3286.2707288543102</v>
      </c>
      <c r="F35" s="97"/>
      <c r="G35" t="s">
        <v>702</v>
      </c>
      <c r="H35">
        <f>52*5-11</f>
        <v>249</v>
      </c>
      <c r="I35" s="97"/>
      <c r="J35" s="97"/>
      <c r="K35" s="97"/>
      <c r="L35" s="97"/>
      <c r="M35" s="97"/>
    </row>
    <row r="36" spans="1:24" ht="18">
      <c r="A36" s="813" t="s">
        <v>703</v>
      </c>
      <c r="B36" s="813"/>
      <c r="C36" s="813"/>
      <c r="D36" s="92" t="s">
        <v>283</v>
      </c>
      <c r="E36" s="103">
        <v>9.0034814489159292</v>
      </c>
      <c r="F36" s="97"/>
      <c r="G36" s="97"/>
      <c r="H36" s="97"/>
      <c r="I36" s="97"/>
      <c r="J36" s="97"/>
      <c r="K36" s="97"/>
      <c r="L36" s="97"/>
      <c r="M36" s="97"/>
    </row>
    <row r="37" spans="1:24" ht="30" customHeight="1">
      <c r="A37" s="822" t="s">
        <v>704</v>
      </c>
      <c r="B37" s="822"/>
      <c r="C37" s="822"/>
      <c r="D37" s="134" t="s">
        <v>283</v>
      </c>
      <c r="E37" s="133">
        <f>E35/H35</f>
        <v>13.197874413069519</v>
      </c>
      <c r="F37" s="135"/>
      <c r="G37" s="135"/>
      <c r="H37" s="97"/>
      <c r="I37" s="97"/>
      <c r="J37" s="97"/>
      <c r="K37" s="97"/>
      <c r="L37" s="97"/>
      <c r="M37" s="97"/>
    </row>
    <row r="38" spans="1:24" ht="18">
      <c r="A38" s="90"/>
      <c r="B38" s="90"/>
      <c r="C38" s="90"/>
      <c r="D38" s="91"/>
      <c r="E38" s="132"/>
      <c r="F38" s="97"/>
      <c r="G38" s="97"/>
      <c r="H38" s="97"/>
      <c r="I38" s="97"/>
      <c r="J38" s="97"/>
      <c r="K38" s="97"/>
      <c r="L38" s="97"/>
      <c r="M38" s="97"/>
    </row>
    <row r="40" spans="1:24" ht="15.6">
      <c r="A40" s="113" t="s">
        <v>705</v>
      </c>
      <c r="B40" s="104"/>
      <c r="C40" s="104"/>
      <c r="D40" s="104"/>
      <c r="E40" s="104"/>
      <c r="F40" s="104"/>
      <c r="G40" s="104"/>
      <c r="H40" s="104"/>
      <c r="I40" s="104"/>
      <c r="J40" s="104"/>
      <c r="K40" s="104"/>
      <c r="L40" s="104"/>
    </row>
    <row r="41" spans="1:24" ht="27.6">
      <c r="A41" s="118" t="s">
        <v>359</v>
      </c>
      <c r="B41" s="118" t="s">
        <v>332</v>
      </c>
      <c r="C41" s="119" t="s">
        <v>25</v>
      </c>
      <c r="D41" s="120" t="s">
        <v>706</v>
      </c>
      <c r="E41" s="120" t="s">
        <v>707</v>
      </c>
      <c r="F41" s="120" t="s">
        <v>708</v>
      </c>
      <c r="G41" s="120" t="s">
        <v>709</v>
      </c>
      <c r="H41" s="120" t="s">
        <v>710</v>
      </c>
      <c r="I41" s="120" t="s">
        <v>711</v>
      </c>
      <c r="J41" s="120" t="s">
        <v>712</v>
      </c>
      <c r="K41" s="120" t="s">
        <v>264</v>
      </c>
      <c r="L41" s="120" t="s">
        <v>82</v>
      </c>
      <c r="M41" s="105" t="s">
        <v>713</v>
      </c>
    </row>
    <row r="42" spans="1:24">
      <c r="A42" s="114" t="s">
        <v>714</v>
      </c>
      <c r="B42" s="115" t="s">
        <v>282</v>
      </c>
      <c r="C42" s="116" t="s">
        <v>283</v>
      </c>
      <c r="D42" s="117">
        <v>9.2199272562384325E-3</v>
      </c>
      <c r="E42" s="122">
        <v>0.3704176112589761</v>
      </c>
      <c r="F42" s="122">
        <v>0.52762779289229078</v>
      </c>
      <c r="G42" s="117">
        <v>5.0098236618718602E-2</v>
      </c>
      <c r="H42" s="117">
        <v>1.1767081866806783E-2</v>
      </c>
      <c r="I42" s="117">
        <v>5.6645949132663256E-3</v>
      </c>
      <c r="J42" s="117">
        <v>6.7988415461615378E-3</v>
      </c>
      <c r="K42" s="117">
        <v>1.8405913647544257E-2</v>
      </c>
      <c r="L42" s="117">
        <v>1.0000000000000007</v>
      </c>
      <c r="M42" s="106"/>
    </row>
    <row r="43" spans="1:24">
      <c r="A43" s="111"/>
      <c r="B43" s="111"/>
      <c r="C43" s="111"/>
      <c r="D43" s="112"/>
      <c r="E43" s="112"/>
      <c r="F43" s="112"/>
      <c r="G43" s="112"/>
      <c r="H43" s="112"/>
      <c r="I43" s="112"/>
      <c r="J43" s="112"/>
      <c r="K43" s="112"/>
      <c r="L43" s="112"/>
    </row>
    <row r="44" spans="1:24">
      <c r="A44" s="113" t="s">
        <v>715</v>
      </c>
    </row>
    <row r="45" spans="1:24" ht="20.399999999999999">
      <c r="A45" s="125" t="s">
        <v>359</v>
      </c>
      <c r="B45" s="125" t="s">
        <v>332</v>
      </c>
      <c r="C45" s="126" t="s">
        <v>25</v>
      </c>
      <c r="D45" s="127" t="s">
        <v>716</v>
      </c>
      <c r="E45" s="127" t="s">
        <v>717</v>
      </c>
      <c r="F45" s="127" t="s">
        <v>718</v>
      </c>
      <c r="G45" s="127" t="s">
        <v>719</v>
      </c>
      <c r="H45" s="127" t="s">
        <v>720</v>
      </c>
      <c r="I45" s="127" t="s">
        <v>721</v>
      </c>
      <c r="J45" s="127" t="s">
        <v>722</v>
      </c>
      <c r="K45" s="127" t="s">
        <v>723</v>
      </c>
      <c r="L45" s="127" t="s">
        <v>724</v>
      </c>
      <c r="M45" s="127" t="s">
        <v>725</v>
      </c>
      <c r="N45" s="127" t="s">
        <v>726</v>
      </c>
      <c r="O45" s="127" t="s">
        <v>727</v>
      </c>
      <c r="P45" s="127" t="s">
        <v>728</v>
      </c>
      <c r="Q45" s="127" t="s">
        <v>729</v>
      </c>
      <c r="R45" s="127" t="s">
        <v>730</v>
      </c>
      <c r="S45" s="127" t="s">
        <v>731</v>
      </c>
      <c r="T45" s="127" t="s">
        <v>732</v>
      </c>
      <c r="U45" s="127" t="s">
        <v>733</v>
      </c>
      <c r="V45" s="127" t="s">
        <v>734</v>
      </c>
      <c r="W45" s="128" t="s">
        <v>82</v>
      </c>
      <c r="X45" s="105" t="s">
        <v>735</v>
      </c>
    </row>
    <row r="46" spans="1:24">
      <c r="A46" s="99" t="s">
        <v>714</v>
      </c>
      <c r="B46" s="99" t="s">
        <v>282</v>
      </c>
      <c r="C46" s="99" t="s">
        <v>283</v>
      </c>
      <c r="D46" s="121">
        <v>6.2650871625672202E-4</v>
      </c>
      <c r="E46" s="121">
        <v>3.0686645429828228E-3</v>
      </c>
      <c r="F46" s="121">
        <v>1.5742559501458413E-2</v>
      </c>
      <c r="G46" s="122">
        <v>7.1774338935779822E-2</v>
      </c>
      <c r="H46" s="123">
        <v>0.5363752827612488</v>
      </c>
      <c r="I46" s="124">
        <v>0.19274235306630758</v>
      </c>
      <c r="J46" s="122">
        <v>8.7378482422057049E-2</v>
      </c>
      <c r="K46" s="121">
        <v>2.4838127253031455E-2</v>
      </c>
      <c r="L46" s="121">
        <v>1.9926606377181764E-2</v>
      </c>
      <c r="M46" s="121">
        <v>6.3344986240465653E-3</v>
      </c>
      <c r="N46" s="121">
        <v>5.8534528117841636E-3</v>
      </c>
      <c r="O46" s="121">
        <v>5.3988043496900791E-3</v>
      </c>
      <c r="P46" s="121">
        <v>2.1390822506302141E-3</v>
      </c>
      <c r="Q46" s="121">
        <v>2.5964831938382503E-3</v>
      </c>
      <c r="R46" s="121">
        <v>5.0745005735573491E-5</v>
      </c>
      <c r="S46" s="121">
        <v>0</v>
      </c>
      <c r="T46" s="121">
        <v>3.7350006082068505E-4</v>
      </c>
      <c r="U46" s="121">
        <v>3.45688594189628E-3</v>
      </c>
      <c r="V46" s="121">
        <v>2.1323624185253184E-2</v>
      </c>
      <c r="W46" s="121">
        <v>0.99999999999999944</v>
      </c>
    </row>
    <row r="50" spans="1:23" ht="25.2" customHeight="1">
      <c r="A50" s="816" t="s">
        <v>736</v>
      </c>
      <c r="B50" s="816"/>
      <c r="C50" s="816"/>
      <c r="D50" s="816"/>
      <c r="E50" s="816"/>
      <c r="F50" s="816"/>
      <c r="G50" s="816"/>
      <c r="H50" s="816"/>
      <c r="I50" s="816"/>
      <c r="J50" s="816"/>
      <c r="K50" s="816"/>
      <c r="L50" s="816"/>
      <c r="M50" s="816"/>
      <c r="N50" s="129"/>
      <c r="O50" s="129"/>
      <c r="P50" s="129"/>
      <c r="Q50" s="129"/>
      <c r="R50" s="129"/>
      <c r="S50" s="129"/>
      <c r="T50" s="129"/>
      <c r="U50" s="129"/>
      <c r="V50" s="129"/>
      <c r="W50" s="129"/>
    </row>
    <row r="51" spans="1:23" ht="18" customHeight="1">
      <c r="A51" s="139"/>
      <c r="B51" s="139"/>
      <c r="C51" s="139"/>
      <c r="D51" s="139"/>
      <c r="E51" s="139"/>
      <c r="F51" s="139"/>
      <c r="G51" s="139"/>
      <c r="H51" s="139"/>
      <c r="I51" s="139"/>
      <c r="J51" s="139"/>
      <c r="K51" s="139"/>
      <c r="L51" s="139"/>
      <c r="M51" s="139"/>
    </row>
    <row r="52" spans="1:23" ht="18" customHeight="1">
      <c r="A52" s="139"/>
      <c r="B52" s="139"/>
      <c r="C52" s="139"/>
      <c r="D52" s="139"/>
      <c r="E52" s="139"/>
      <c r="F52" s="139"/>
      <c r="G52" s="139"/>
      <c r="H52" s="139"/>
      <c r="I52" s="139"/>
      <c r="J52" s="139"/>
      <c r="K52" s="139"/>
      <c r="L52" s="139"/>
      <c r="M52" s="139"/>
    </row>
    <row r="53" spans="1:23" ht="18" customHeight="1">
      <c r="A53" s="139"/>
      <c r="B53" s="139"/>
      <c r="C53" s="139"/>
      <c r="D53" s="139"/>
      <c r="E53" s="139"/>
      <c r="F53" s="139"/>
      <c r="G53" s="139"/>
      <c r="H53" s="139"/>
      <c r="I53" s="139"/>
      <c r="J53" s="139"/>
      <c r="K53" s="139"/>
      <c r="L53" s="139"/>
      <c r="M53" s="139"/>
    </row>
    <row r="54" spans="1:23" ht="18" customHeight="1">
      <c r="A54" s="139"/>
      <c r="B54" s="139"/>
      <c r="C54" s="139"/>
      <c r="D54" s="139"/>
      <c r="E54" s="139"/>
      <c r="F54" s="139"/>
      <c r="G54" s="139"/>
      <c r="H54" s="139"/>
      <c r="I54" s="139"/>
      <c r="J54" s="139"/>
      <c r="K54" s="139"/>
      <c r="L54" s="139"/>
      <c r="M54" s="139"/>
    </row>
    <row r="55" spans="1:23" ht="18" customHeight="1">
      <c r="A55" s="139"/>
      <c r="B55" s="139"/>
      <c r="C55" s="139"/>
      <c r="D55" s="139"/>
      <c r="E55" s="139"/>
      <c r="F55" s="139"/>
      <c r="G55" s="139"/>
      <c r="H55" s="139"/>
      <c r="I55" s="139"/>
      <c r="J55" s="139"/>
      <c r="K55" s="139"/>
      <c r="L55" s="139"/>
      <c r="M55" s="139"/>
    </row>
    <row r="56" spans="1:23" ht="18" customHeight="1">
      <c r="A56" s="139"/>
      <c r="B56" s="139"/>
      <c r="C56" s="139"/>
      <c r="D56" s="139"/>
      <c r="E56" s="139"/>
      <c r="F56" s="139"/>
      <c r="G56" s="139"/>
      <c r="H56" s="139"/>
      <c r="I56" s="139"/>
      <c r="J56" s="139"/>
      <c r="K56" s="139"/>
      <c r="L56" s="139"/>
      <c r="M56" s="139"/>
    </row>
    <row r="57" spans="1:23" ht="18" customHeight="1">
      <c r="A57" s="139"/>
      <c r="B57" s="139"/>
      <c r="C57" s="139"/>
      <c r="D57" s="139"/>
      <c r="E57" s="139"/>
      <c r="F57" s="139"/>
      <c r="G57" s="139"/>
      <c r="H57" s="139"/>
      <c r="I57" s="139"/>
      <c r="J57" s="139"/>
      <c r="K57" s="139"/>
      <c r="L57" s="139"/>
      <c r="M57" s="139"/>
    </row>
    <row r="58" spans="1:23" ht="36" customHeight="1">
      <c r="A58" s="139"/>
      <c r="B58" s="139"/>
      <c r="C58" s="139"/>
      <c r="D58" s="139"/>
      <c r="E58" s="139"/>
      <c r="F58" s="139"/>
      <c r="G58" s="139"/>
      <c r="H58" s="139"/>
      <c r="I58" s="139"/>
      <c r="J58" s="139"/>
      <c r="K58" s="139"/>
      <c r="L58" s="139"/>
      <c r="M58" s="139"/>
    </row>
    <row r="59" spans="1:23" ht="18" customHeight="1">
      <c r="A59" s="139"/>
      <c r="B59" s="139"/>
      <c r="C59" s="139"/>
      <c r="D59" s="139"/>
      <c r="E59" s="139"/>
      <c r="F59" s="139"/>
      <c r="G59" s="139"/>
      <c r="H59" s="139"/>
      <c r="I59" s="139"/>
      <c r="J59" s="139"/>
      <c r="K59" s="139"/>
      <c r="L59" s="139"/>
      <c r="M59" s="139"/>
    </row>
    <row r="60" spans="1:23" ht="18" customHeight="1">
      <c r="A60" s="139"/>
      <c r="B60" s="139"/>
      <c r="C60" s="139"/>
      <c r="D60" s="139"/>
      <c r="E60" s="139"/>
      <c r="F60" s="139"/>
      <c r="G60" s="139"/>
      <c r="H60" s="139"/>
      <c r="I60" s="139"/>
      <c r="J60" s="139"/>
      <c r="K60" s="139"/>
      <c r="L60" s="139"/>
      <c r="M60" s="139"/>
    </row>
    <row r="61" spans="1:23" ht="18" customHeight="1">
      <c r="A61" s="139"/>
      <c r="B61" s="139"/>
      <c r="C61" s="139"/>
      <c r="D61" s="139"/>
      <c r="E61" s="139"/>
      <c r="F61" s="139"/>
      <c r="G61" s="139"/>
      <c r="H61" s="139"/>
      <c r="I61" s="139"/>
      <c r="J61" s="139"/>
      <c r="K61" s="139"/>
      <c r="L61" s="139"/>
      <c r="M61" s="139"/>
    </row>
    <row r="62" spans="1:23" ht="18" customHeight="1">
      <c r="A62" s="139"/>
      <c r="B62" s="139"/>
      <c r="C62" s="139"/>
      <c r="D62" s="139"/>
      <c r="E62" s="139"/>
      <c r="F62" s="139"/>
      <c r="G62" s="139"/>
      <c r="H62" s="139"/>
      <c r="I62" s="139"/>
      <c r="J62" s="139"/>
      <c r="K62" s="139"/>
      <c r="L62" s="139"/>
      <c r="M62" s="139"/>
    </row>
    <row r="63" spans="1:23" ht="18" customHeight="1">
      <c r="A63" s="139"/>
      <c r="B63" s="139"/>
      <c r="C63" s="139"/>
      <c r="D63" s="139"/>
      <c r="E63" s="139"/>
      <c r="F63" s="139"/>
      <c r="G63" s="139"/>
      <c r="H63" s="139"/>
      <c r="I63" s="139"/>
      <c r="J63" s="139"/>
      <c r="K63" s="139"/>
      <c r="L63" s="139"/>
      <c r="M63" s="139"/>
    </row>
    <row r="64" spans="1:23" ht="18" customHeight="1">
      <c r="A64" s="139"/>
      <c r="B64" s="139"/>
      <c r="C64" s="139"/>
      <c r="D64" s="139"/>
      <c r="E64" s="139"/>
      <c r="F64" s="139"/>
      <c r="G64" s="139"/>
      <c r="H64" s="139"/>
      <c r="I64" s="139"/>
      <c r="J64" s="139"/>
      <c r="K64" s="139"/>
      <c r="L64" s="139"/>
      <c r="M64" s="139"/>
    </row>
    <row r="65" spans="1:26" ht="18" customHeight="1">
      <c r="A65" s="139"/>
      <c r="B65" s="139"/>
      <c r="C65" s="139"/>
      <c r="D65" s="139"/>
      <c r="E65" s="139"/>
      <c r="F65" s="139"/>
      <c r="G65" s="139"/>
      <c r="H65" s="139"/>
      <c r="I65" s="139"/>
      <c r="J65" s="139"/>
      <c r="K65" s="139"/>
      <c r="L65" s="139"/>
      <c r="M65" s="139"/>
      <c r="O65" s="111"/>
      <c r="P65" s="111"/>
      <c r="Q65" s="111"/>
      <c r="R65" s="112"/>
      <c r="S65" s="112"/>
      <c r="T65" s="112"/>
      <c r="U65" s="112"/>
      <c r="V65" s="112"/>
      <c r="W65" s="112"/>
      <c r="X65" s="112"/>
      <c r="Y65" s="112"/>
      <c r="Z65" s="112"/>
    </row>
    <row r="66" spans="1:26" ht="15" customHeight="1">
      <c r="B66" s="815" t="s">
        <v>78</v>
      </c>
      <c r="C66" s="815"/>
      <c r="E66" s="815" t="s">
        <v>80</v>
      </c>
      <c r="F66" s="815"/>
      <c r="G66" s="815"/>
      <c r="J66" s="815" t="s">
        <v>79</v>
      </c>
      <c r="K66" s="815"/>
      <c r="L66" s="815"/>
      <c r="N66" s="111"/>
      <c r="O66" s="111"/>
      <c r="P66" s="111"/>
      <c r="Q66" s="112"/>
      <c r="R66" s="112"/>
      <c r="S66" s="112"/>
      <c r="T66" s="112"/>
      <c r="U66" s="112"/>
      <c r="V66" s="112"/>
      <c r="W66" s="112"/>
      <c r="X66" s="112"/>
      <c r="Y66" s="112"/>
    </row>
    <row r="67" spans="1:26" ht="15" customHeight="1">
      <c r="A67" t="s">
        <v>468</v>
      </c>
      <c r="B67" t="s">
        <v>737</v>
      </c>
      <c r="C67">
        <v>18.580625999999999</v>
      </c>
      <c r="F67" s="19" t="s">
        <v>738</v>
      </c>
      <c r="G67" s="107">
        <f>1/0.0538</f>
        <v>18.587360594795538</v>
      </c>
      <c r="J67" s="817" t="s">
        <v>739</v>
      </c>
      <c r="K67" s="817"/>
      <c r="L67" s="2">
        <f>1/ 0.0538195521</f>
        <v>18.580607994320339</v>
      </c>
      <c r="N67" s="111"/>
      <c r="O67" s="111"/>
      <c r="P67" s="111"/>
      <c r="Q67" s="112"/>
      <c r="R67" s="112"/>
      <c r="S67" s="112"/>
      <c r="T67" s="112"/>
      <c r="U67" s="112"/>
      <c r="V67" s="112"/>
      <c r="W67" s="112"/>
      <c r="X67" s="112"/>
      <c r="Y67" s="112"/>
    </row>
    <row r="68" spans="1:26" ht="15" customHeight="1">
      <c r="B68" t="s">
        <v>740</v>
      </c>
      <c r="C68" t="s">
        <v>741</v>
      </c>
      <c r="E68" t="s">
        <v>742</v>
      </c>
      <c r="F68" t="s">
        <v>743</v>
      </c>
      <c r="G68" t="s">
        <v>744</v>
      </c>
      <c r="J68" t="s">
        <v>745</v>
      </c>
      <c r="K68" t="s">
        <v>746</v>
      </c>
      <c r="L68" t="s">
        <v>747</v>
      </c>
      <c r="N68" s="111"/>
      <c r="O68" s="111"/>
      <c r="P68" s="111"/>
      <c r="Q68" s="112"/>
      <c r="R68" s="112"/>
      <c r="S68" s="112"/>
      <c r="T68" s="112"/>
      <c r="U68" s="112"/>
      <c r="V68" s="112"/>
      <c r="W68" s="112"/>
      <c r="X68" s="112"/>
      <c r="Y68" s="112"/>
    </row>
    <row r="69" spans="1:26" ht="15" customHeight="1">
      <c r="A69">
        <v>1</v>
      </c>
      <c r="B69">
        <v>0</v>
      </c>
      <c r="C69">
        <v>0</v>
      </c>
      <c r="E69">
        <v>0</v>
      </c>
      <c r="F69">
        <v>0</v>
      </c>
      <c r="G69">
        <v>0</v>
      </c>
      <c r="J69">
        <v>0</v>
      </c>
      <c r="K69">
        <v>0</v>
      </c>
      <c r="L69">
        <v>0</v>
      </c>
      <c r="N69" s="111"/>
      <c r="O69" s="111"/>
      <c r="P69" s="111"/>
      <c r="Q69" s="112"/>
      <c r="R69" s="112"/>
      <c r="S69" s="112"/>
      <c r="T69" s="112"/>
      <c r="U69" s="112"/>
      <c r="V69" s="112"/>
      <c r="W69" s="112"/>
      <c r="X69" s="112"/>
      <c r="Y69" s="112"/>
    </row>
    <row r="70" spans="1:26" ht="15" customHeight="1">
      <c r="A70">
        <f t="shared" ref="A70:A92" si="0">A69+1</f>
        <v>2</v>
      </c>
      <c r="B70">
        <v>0</v>
      </c>
      <c r="C70">
        <v>0</v>
      </c>
      <c r="E70">
        <v>0</v>
      </c>
      <c r="F70">
        <v>0</v>
      </c>
      <c r="G70">
        <v>0</v>
      </c>
      <c r="J70">
        <v>0</v>
      </c>
      <c r="K70">
        <v>0</v>
      </c>
      <c r="L70">
        <v>0</v>
      </c>
      <c r="N70" s="111"/>
      <c r="O70" s="111"/>
      <c r="P70" s="111"/>
      <c r="Q70" s="112"/>
      <c r="R70" s="112"/>
      <c r="S70" s="112"/>
      <c r="T70" s="112"/>
      <c r="U70" s="112"/>
      <c r="V70" s="112"/>
      <c r="W70" s="112"/>
      <c r="X70" s="112"/>
      <c r="Y70" s="112"/>
    </row>
    <row r="71" spans="1:26" ht="15" customHeight="1">
      <c r="A71">
        <f t="shared" si="0"/>
        <v>3</v>
      </c>
      <c r="B71">
        <v>0</v>
      </c>
      <c r="C71">
        <v>0</v>
      </c>
      <c r="E71">
        <v>0</v>
      </c>
      <c r="F71">
        <v>0</v>
      </c>
      <c r="G71">
        <v>0</v>
      </c>
      <c r="J71">
        <v>0</v>
      </c>
      <c r="K71">
        <v>0</v>
      </c>
      <c r="L71">
        <v>0</v>
      </c>
      <c r="N71" s="111"/>
      <c r="O71" s="111"/>
      <c r="P71" s="111"/>
      <c r="Q71" s="112"/>
      <c r="R71" s="112"/>
      <c r="S71" s="112"/>
      <c r="T71" s="112"/>
      <c r="U71" s="112"/>
      <c r="V71" s="112"/>
      <c r="W71" s="112"/>
      <c r="X71" s="112"/>
      <c r="Y71" s="112"/>
    </row>
    <row r="72" spans="1:26" ht="15" customHeight="1">
      <c r="A72">
        <f t="shared" si="0"/>
        <v>4</v>
      </c>
      <c r="B72">
        <v>0</v>
      </c>
      <c r="C72">
        <v>0</v>
      </c>
      <c r="E72">
        <v>0</v>
      </c>
      <c r="F72">
        <v>0</v>
      </c>
      <c r="G72">
        <v>0</v>
      </c>
      <c r="J72">
        <v>0</v>
      </c>
      <c r="K72">
        <v>0</v>
      </c>
      <c r="L72">
        <v>0</v>
      </c>
    </row>
    <row r="73" spans="1:26" ht="15" customHeight="1">
      <c r="A73">
        <f t="shared" si="0"/>
        <v>5</v>
      </c>
      <c r="B73">
        <v>0</v>
      </c>
      <c r="C73">
        <v>0</v>
      </c>
      <c r="E73">
        <v>0</v>
      </c>
      <c r="F73">
        <v>0</v>
      </c>
      <c r="G73">
        <v>0</v>
      </c>
      <c r="J73">
        <v>0</v>
      </c>
      <c r="K73">
        <v>0</v>
      </c>
      <c r="L73">
        <v>0</v>
      </c>
    </row>
    <row r="74" spans="1:26" ht="23.55" customHeight="1">
      <c r="A74">
        <f t="shared" si="0"/>
        <v>6</v>
      </c>
      <c r="B74">
        <v>0</v>
      </c>
      <c r="C74">
        <v>0</v>
      </c>
      <c r="E74">
        <v>0</v>
      </c>
      <c r="F74">
        <v>0</v>
      </c>
      <c r="G74">
        <v>0</v>
      </c>
      <c r="J74">
        <v>0</v>
      </c>
      <c r="K74">
        <v>0</v>
      </c>
      <c r="L74">
        <v>0</v>
      </c>
    </row>
    <row r="75" spans="1:26" ht="15" customHeight="1">
      <c r="A75">
        <f t="shared" si="0"/>
        <v>7</v>
      </c>
      <c r="B75">
        <v>0.11</v>
      </c>
      <c r="C75">
        <v>0.11</v>
      </c>
      <c r="E75">
        <v>0.1</v>
      </c>
      <c r="F75">
        <v>0.1</v>
      </c>
      <c r="G75">
        <v>0.05</v>
      </c>
      <c r="J75">
        <v>0.1</v>
      </c>
      <c r="K75">
        <v>0.1</v>
      </c>
      <c r="L75">
        <v>0.05</v>
      </c>
    </row>
    <row r="76" spans="1:26" ht="15" customHeight="1">
      <c r="A76">
        <f t="shared" si="0"/>
        <v>8</v>
      </c>
      <c r="B76">
        <v>0.21</v>
      </c>
      <c r="C76">
        <v>0.21</v>
      </c>
      <c r="E76">
        <v>0.2</v>
      </c>
      <c r="F76">
        <v>0.1</v>
      </c>
      <c r="G76">
        <v>0.05</v>
      </c>
      <c r="J76">
        <v>0.2</v>
      </c>
      <c r="K76">
        <v>0.1</v>
      </c>
      <c r="L76">
        <v>0.05</v>
      </c>
    </row>
    <row r="77" spans="1:26" ht="15" customHeight="1">
      <c r="A77">
        <f t="shared" si="0"/>
        <v>9</v>
      </c>
      <c r="B77">
        <v>1</v>
      </c>
      <c r="C77">
        <v>1</v>
      </c>
      <c r="E77">
        <v>0.95</v>
      </c>
      <c r="F77">
        <v>0.3</v>
      </c>
      <c r="G77">
        <v>0.05</v>
      </c>
      <c r="J77">
        <v>0.95</v>
      </c>
      <c r="K77">
        <v>0.3</v>
      </c>
      <c r="L77">
        <v>0.05</v>
      </c>
    </row>
    <row r="78" spans="1:26" ht="15" customHeight="1">
      <c r="A78">
        <f t="shared" si="0"/>
        <v>10</v>
      </c>
      <c r="B78">
        <v>1</v>
      </c>
      <c r="C78">
        <v>1</v>
      </c>
      <c r="E78">
        <v>0.95</v>
      </c>
      <c r="F78">
        <v>0.3</v>
      </c>
      <c r="G78">
        <v>0.05</v>
      </c>
      <c r="J78">
        <v>0.95</v>
      </c>
      <c r="K78">
        <v>0.3</v>
      </c>
      <c r="L78">
        <v>0.05</v>
      </c>
    </row>
    <row r="79" spans="1:26" ht="15" customHeight="1">
      <c r="A79">
        <f t="shared" si="0"/>
        <v>11</v>
      </c>
      <c r="B79">
        <v>1</v>
      </c>
      <c r="C79">
        <v>0</v>
      </c>
      <c r="E79">
        <v>0.95</v>
      </c>
      <c r="F79">
        <v>0.3</v>
      </c>
      <c r="G79">
        <v>0.05</v>
      </c>
      <c r="J79">
        <v>0.95</v>
      </c>
      <c r="K79">
        <v>0.3</v>
      </c>
      <c r="L79">
        <v>0.05</v>
      </c>
    </row>
    <row r="80" spans="1:26" ht="15" customHeight="1">
      <c r="A80">
        <f t="shared" si="0"/>
        <v>12</v>
      </c>
      <c r="B80">
        <v>1</v>
      </c>
      <c r="C80">
        <v>1</v>
      </c>
      <c r="E80">
        <v>0.95</v>
      </c>
      <c r="F80">
        <v>0.3</v>
      </c>
      <c r="G80">
        <v>0.05</v>
      </c>
      <c r="J80">
        <v>0.95</v>
      </c>
      <c r="K80">
        <v>0.3</v>
      </c>
      <c r="L80">
        <v>0.05</v>
      </c>
    </row>
    <row r="81" spans="1:13" ht="15" customHeight="1">
      <c r="A81">
        <f t="shared" si="0"/>
        <v>13</v>
      </c>
      <c r="B81">
        <v>1</v>
      </c>
      <c r="C81">
        <v>0</v>
      </c>
      <c r="E81">
        <v>0.5</v>
      </c>
      <c r="F81">
        <v>0.1</v>
      </c>
      <c r="G81">
        <v>0.05</v>
      </c>
      <c r="J81">
        <v>0.5</v>
      </c>
      <c r="K81">
        <v>0.1</v>
      </c>
      <c r="L81">
        <v>0.05</v>
      </c>
    </row>
    <row r="82" spans="1:13" ht="15" customHeight="1">
      <c r="A82">
        <f t="shared" si="0"/>
        <v>14</v>
      </c>
      <c r="B82">
        <v>0.61</v>
      </c>
      <c r="C82">
        <v>1</v>
      </c>
      <c r="E82">
        <v>0.95</v>
      </c>
      <c r="F82">
        <v>0.1</v>
      </c>
      <c r="G82">
        <v>0.05</v>
      </c>
      <c r="J82">
        <v>0.95</v>
      </c>
      <c r="K82">
        <v>0.1</v>
      </c>
      <c r="L82">
        <v>0.05</v>
      </c>
    </row>
    <row r="83" spans="1:13" ht="15" customHeight="1">
      <c r="A83">
        <f t="shared" si="0"/>
        <v>15</v>
      </c>
      <c r="B83">
        <v>1</v>
      </c>
      <c r="C83">
        <v>0</v>
      </c>
      <c r="E83">
        <v>0.95</v>
      </c>
      <c r="F83">
        <v>0.1</v>
      </c>
      <c r="G83">
        <v>0.05</v>
      </c>
      <c r="J83">
        <v>0.95</v>
      </c>
      <c r="K83">
        <v>0.1</v>
      </c>
      <c r="L83">
        <v>0.05</v>
      </c>
    </row>
    <row r="84" spans="1:13" ht="15" customHeight="1">
      <c r="A84">
        <f t="shared" si="0"/>
        <v>16</v>
      </c>
      <c r="B84">
        <v>1</v>
      </c>
      <c r="C84">
        <v>1</v>
      </c>
      <c r="E84">
        <v>0.95</v>
      </c>
      <c r="F84">
        <v>0.1</v>
      </c>
      <c r="G84">
        <v>0.05</v>
      </c>
      <c r="J84">
        <v>0.95</v>
      </c>
      <c r="K84">
        <v>0.1</v>
      </c>
      <c r="L84">
        <v>0.05</v>
      </c>
    </row>
    <row r="85" spans="1:13" ht="15" customHeight="1">
      <c r="A85">
        <f t="shared" si="0"/>
        <v>17</v>
      </c>
      <c r="B85">
        <v>1</v>
      </c>
      <c r="C85">
        <v>1</v>
      </c>
      <c r="E85">
        <v>0.95</v>
      </c>
      <c r="F85">
        <v>0.1</v>
      </c>
      <c r="G85">
        <v>0.05</v>
      </c>
      <c r="J85">
        <v>0.95</v>
      </c>
      <c r="K85">
        <v>0.1</v>
      </c>
      <c r="L85">
        <v>0.05</v>
      </c>
    </row>
    <row r="86" spans="1:13" ht="15" customHeight="1">
      <c r="A86">
        <f t="shared" si="0"/>
        <v>18</v>
      </c>
      <c r="B86">
        <v>1</v>
      </c>
      <c r="C86">
        <v>0.32</v>
      </c>
      <c r="E86">
        <v>0.3</v>
      </c>
      <c r="F86">
        <v>0.05</v>
      </c>
      <c r="G86">
        <v>0.05</v>
      </c>
      <c r="J86">
        <v>0.3</v>
      </c>
      <c r="K86">
        <v>0.05</v>
      </c>
      <c r="L86">
        <v>0.05</v>
      </c>
    </row>
    <row r="87" spans="1:13" ht="15" customHeight="1">
      <c r="A87">
        <f t="shared" si="0"/>
        <v>19</v>
      </c>
      <c r="B87">
        <v>0.32</v>
      </c>
      <c r="C87">
        <v>0.11</v>
      </c>
      <c r="E87">
        <v>0.1</v>
      </c>
      <c r="F87">
        <v>0.05</v>
      </c>
      <c r="G87">
        <v>0</v>
      </c>
      <c r="J87">
        <v>0.1</v>
      </c>
      <c r="K87">
        <v>0.05</v>
      </c>
      <c r="L87">
        <v>0</v>
      </c>
    </row>
    <row r="88" spans="1:13" ht="15" customHeight="1">
      <c r="A88">
        <f t="shared" si="0"/>
        <v>20</v>
      </c>
      <c r="B88">
        <v>0.11</v>
      </c>
      <c r="C88">
        <v>0.11</v>
      </c>
      <c r="E88">
        <v>0.1</v>
      </c>
      <c r="F88">
        <v>0</v>
      </c>
      <c r="G88">
        <v>0</v>
      </c>
      <c r="J88">
        <v>0.1</v>
      </c>
      <c r="K88">
        <v>0</v>
      </c>
      <c r="L88">
        <v>0</v>
      </c>
    </row>
    <row r="89" spans="1:13" ht="15" customHeight="1">
      <c r="A89">
        <f t="shared" si="0"/>
        <v>21</v>
      </c>
      <c r="B89">
        <v>0.11</v>
      </c>
      <c r="C89">
        <v>0.11</v>
      </c>
      <c r="E89">
        <v>0.1</v>
      </c>
      <c r="F89">
        <v>0</v>
      </c>
      <c r="G89">
        <v>0</v>
      </c>
      <c r="J89">
        <v>0.1</v>
      </c>
      <c r="K89">
        <v>0</v>
      </c>
      <c r="L89">
        <v>0</v>
      </c>
    </row>
    <row r="90" spans="1:13" ht="15" customHeight="1">
      <c r="A90">
        <f t="shared" si="0"/>
        <v>22</v>
      </c>
      <c r="B90">
        <v>0.11</v>
      </c>
      <c r="C90">
        <v>0.11</v>
      </c>
      <c r="E90">
        <v>0.1</v>
      </c>
      <c r="F90">
        <v>0</v>
      </c>
      <c r="G90">
        <v>0</v>
      </c>
      <c r="J90">
        <v>0.1</v>
      </c>
      <c r="K90">
        <v>0</v>
      </c>
      <c r="L90">
        <v>0</v>
      </c>
    </row>
    <row r="91" spans="1:13" ht="15" customHeight="1">
      <c r="A91">
        <f t="shared" si="0"/>
        <v>23</v>
      </c>
      <c r="B91">
        <v>0.05</v>
      </c>
      <c r="C91">
        <v>0.05</v>
      </c>
      <c r="E91">
        <v>0.05</v>
      </c>
      <c r="F91">
        <v>0</v>
      </c>
      <c r="G91">
        <v>0</v>
      </c>
      <c r="J91">
        <v>0.05</v>
      </c>
      <c r="K91">
        <v>0</v>
      </c>
      <c r="L91">
        <v>0</v>
      </c>
    </row>
    <row r="92" spans="1:13" ht="15" customHeight="1">
      <c r="A92">
        <f t="shared" si="0"/>
        <v>24</v>
      </c>
      <c r="B92">
        <v>0</v>
      </c>
      <c r="C92">
        <v>0</v>
      </c>
      <c r="E92">
        <v>0.05</v>
      </c>
      <c r="F92">
        <v>0</v>
      </c>
      <c r="G92">
        <v>0</v>
      </c>
      <c r="J92">
        <v>0</v>
      </c>
      <c r="K92">
        <v>0</v>
      </c>
      <c r="L92">
        <v>0</v>
      </c>
    </row>
    <row r="93" spans="1:13" ht="15" customHeight="1">
      <c r="B93">
        <f t="shared" ref="B93:C93" si="1">SUM(B69:B92)</f>
        <v>10.629999999999999</v>
      </c>
      <c r="C93">
        <f t="shared" si="1"/>
        <v>7.1300000000000017</v>
      </c>
      <c r="E93">
        <f>SUM(E69:E92)</f>
        <v>9.2000000000000011</v>
      </c>
      <c r="F93">
        <f>SUM(F69:F92)</f>
        <v>2.0000000000000004</v>
      </c>
      <c r="G93">
        <f>SUM(G69:G92)</f>
        <v>0.6</v>
      </c>
      <c r="J93">
        <f>SUM(J69:J92)</f>
        <v>9.15</v>
      </c>
      <c r="K93">
        <f>SUM(K69:K92)</f>
        <v>2.0000000000000004</v>
      </c>
      <c r="L93">
        <f>SUM(L69:L92)</f>
        <v>0.6</v>
      </c>
    </row>
    <row r="94" spans="1:13" ht="15" customHeight="1">
      <c r="B94" t="s">
        <v>748</v>
      </c>
      <c r="C94">
        <v>17</v>
      </c>
      <c r="E94" t="s">
        <v>749</v>
      </c>
      <c r="F94">
        <f>13</f>
        <v>13</v>
      </c>
      <c r="G94" t="s">
        <v>749</v>
      </c>
      <c r="J94" s="139"/>
      <c r="K94" s="139"/>
      <c r="L94" s="139"/>
      <c r="M94" s="139"/>
    </row>
    <row r="95" spans="1:13" ht="15" customHeight="1">
      <c r="J95" s="139"/>
      <c r="K95" s="139"/>
      <c r="L95" s="139"/>
      <c r="M95" s="139"/>
    </row>
    <row r="96" spans="1:13" ht="15" customHeight="1">
      <c r="J96" s="139"/>
      <c r="K96" s="139"/>
      <c r="L96" s="139"/>
      <c r="M96" s="139"/>
    </row>
    <row r="97" spans="1:52" ht="15" customHeight="1">
      <c r="J97" s="139"/>
      <c r="K97" s="139"/>
      <c r="L97" s="139"/>
      <c r="M97" s="139"/>
    </row>
    <row r="99" spans="1:52" s="96" customFormat="1" ht="23.4">
      <c r="A99" s="95" t="s">
        <v>617</v>
      </c>
    </row>
    <row r="100" spans="1:52" s="101" customFormat="1" ht="23.4">
      <c r="A100" s="100"/>
    </row>
    <row r="101" spans="1:52">
      <c r="B101" s="89" t="s">
        <v>750</v>
      </c>
      <c r="C101" s="89"/>
    </row>
    <row r="102" spans="1:52">
      <c r="B102" t="s">
        <v>618</v>
      </c>
      <c r="E102" t="s">
        <v>618</v>
      </c>
      <c r="K102" t="s">
        <v>618</v>
      </c>
      <c r="Q102" t="s">
        <v>618</v>
      </c>
      <c r="W102" t="s">
        <v>618</v>
      </c>
      <c r="AC102" t="s">
        <v>618</v>
      </c>
      <c r="AH102" t="s">
        <v>618</v>
      </c>
      <c r="AN102" t="s">
        <v>618</v>
      </c>
      <c r="AT102" t="s">
        <v>618</v>
      </c>
      <c r="AZ102" t="s">
        <v>618</v>
      </c>
    </row>
    <row r="103" spans="1:52">
      <c r="B103" s="108" t="s">
        <v>751</v>
      </c>
      <c r="E103" s="108" t="s">
        <v>752</v>
      </c>
      <c r="K103" t="s">
        <v>753</v>
      </c>
      <c r="Q103" t="s">
        <v>754</v>
      </c>
      <c r="W103" t="s">
        <v>755</v>
      </c>
      <c r="AC103" t="s">
        <v>756</v>
      </c>
      <c r="AH103" t="s">
        <v>757</v>
      </c>
      <c r="AN103" t="s">
        <v>758</v>
      </c>
      <c r="AT103" t="s">
        <v>759</v>
      </c>
      <c r="AZ103" t="s">
        <v>760</v>
      </c>
    </row>
    <row r="104" spans="1:52">
      <c r="B104" t="s">
        <v>631</v>
      </c>
      <c r="E104" t="s">
        <v>631</v>
      </c>
      <c r="K104" t="s">
        <v>631</v>
      </c>
      <c r="Q104" t="s">
        <v>631</v>
      </c>
      <c r="W104" t="s">
        <v>631</v>
      </c>
      <c r="AC104" t="s">
        <v>631</v>
      </c>
      <c r="AH104" t="s">
        <v>631</v>
      </c>
      <c r="AN104" t="s">
        <v>631</v>
      </c>
      <c r="AT104" t="s">
        <v>631</v>
      </c>
      <c r="AZ104" t="s">
        <v>631</v>
      </c>
    </row>
    <row r="105" spans="1:52">
      <c r="B105" t="s">
        <v>596</v>
      </c>
      <c r="E105" t="s">
        <v>596</v>
      </c>
      <c r="K105" t="s">
        <v>596</v>
      </c>
      <c r="Q105" t="s">
        <v>596</v>
      </c>
      <c r="W105" t="s">
        <v>596</v>
      </c>
      <c r="AC105" t="s">
        <v>596</v>
      </c>
      <c r="AH105" t="s">
        <v>596</v>
      </c>
      <c r="AN105" t="s">
        <v>596</v>
      </c>
      <c r="AT105" t="s">
        <v>596</v>
      </c>
      <c r="AZ105" t="s">
        <v>596</v>
      </c>
    </row>
    <row r="106" spans="1:52">
      <c r="B106" t="s">
        <v>597</v>
      </c>
      <c r="E106" t="s">
        <v>597</v>
      </c>
      <c r="K106" t="s">
        <v>597</v>
      </c>
      <c r="Q106" t="s">
        <v>597</v>
      </c>
      <c r="W106" t="s">
        <v>597</v>
      </c>
      <c r="AC106" t="s">
        <v>597</v>
      </c>
      <c r="AH106" t="s">
        <v>597</v>
      </c>
      <c r="AN106" t="s">
        <v>597</v>
      </c>
      <c r="AT106" t="s">
        <v>597</v>
      </c>
      <c r="AZ106" t="s">
        <v>597</v>
      </c>
    </row>
    <row r="107" spans="1:52">
      <c r="B107" t="s">
        <v>632</v>
      </c>
      <c r="E107" t="s">
        <v>632</v>
      </c>
      <c r="K107" t="s">
        <v>632</v>
      </c>
      <c r="N107">
        <v>0</v>
      </c>
      <c r="O107">
        <v>0</v>
      </c>
      <c r="Q107" t="s">
        <v>632</v>
      </c>
      <c r="W107" t="s">
        <v>632</v>
      </c>
      <c r="AC107" t="s">
        <v>632</v>
      </c>
      <c r="AH107" t="s">
        <v>632</v>
      </c>
      <c r="AN107" t="s">
        <v>632</v>
      </c>
      <c r="AT107" t="s">
        <v>632</v>
      </c>
      <c r="AZ107" t="s">
        <v>632</v>
      </c>
    </row>
    <row r="108" spans="1:52">
      <c r="B108" t="s">
        <v>599</v>
      </c>
      <c r="E108" t="s">
        <v>599</v>
      </c>
      <c r="K108" t="s">
        <v>599</v>
      </c>
      <c r="N108">
        <v>0</v>
      </c>
      <c r="O108">
        <v>0</v>
      </c>
      <c r="Q108" t="s">
        <v>599</v>
      </c>
      <c r="W108" t="s">
        <v>599</v>
      </c>
      <c r="AC108" t="s">
        <v>599</v>
      </c>
      <c r="AH108" t="s">
        <v>599</v>
      </c>
      <c r="AN108" t="s">
        <v>599</v>
      </c>
      <c r="AT108" t="s">
        <v>599</v>
      </c>
      <c r="AZ108" t="s">
        <v>599</v>
      </c>
    </row>
    <row r="109" spans="1:52">
      <c r="B109" t="s">
        <v>633</v>
      </c>
      <c r="E109" t="s">
        <v>633</v>
      </c>
      <c r="K109" t="s">
        <v>633</v>
      </c>
      <c r="N109">
        <v>0</v>
      </c>
      <c r="O109">
        <v>0</v>
      </c>
      <c r="Q109" t="s">
        <v>633</v>
      </c>
      <c r="W109" t="s">
        <v>633</v>
      </c>
      <c r="AC109" t="s">
        <v>633</v>
      </c>
      <c r="AH109" t="s">
        <v>633</v>
      </c>
      <c r="AN109" t="s">
        <v>633</v>
      </c>
      <c r="AT109" t="s">
        <v>633</v>
      </c>
      <c r="AZ109" t="s">
        <v>633</v>
      </c>
    </row>
    <row r="110" spans="1:52">
      <c r="B110" t="s">
        <v>601</v>
      </c>
      <c r="E110" t="s">
        <v>601</v>
      </c>
      <c r="K110" t="s">
        <v>601</v>
      </c>
      <c r="N110">
        <v>0</v>
      </c>
      <c r="O110">
        <v>0</v>
      </c>
      <c r="Q110" t="s">
        <v>601</v>
      </c>
      <c r="W110" t="s">
        <v>601</v>
      </c>
      <c r="AC110" t="s">
        <v>601</v>
      </c>
      <c r="AH110" t="s">
        <v>601</v>
      </c>
      <c r="AN110" t="s">
        <v>601</v>
      </c>
      <c r="AT110" t="s">
        <v>601</v>
      </c>
      <c r="AZ110" t="s">
        <v>601</v>
      </c>
    </row>
    <row r="111" spans="1:52">
      <c r="B111" t="s">
        <v>761</v>
      </c>
      <c r="E111" t="s">
        <v>761</v>
      </c>
      <c r="K111" t="s">
        <v>761</v>
      </c>
      <c r="N111">
        <v>0</v>
      </c>
      <c r="O111">
        <v>0</v>
      </c>
      <c r="Q111" t="s">
        <v>761</v>
      </c>
      <c r="W111" t="s">
        <v>761</v>
      </c>
      <c r="AC111" t="s">
        <v>761</v>
      </c>
      <c r="AH111" t="s">
        <v>761</v>
      </c>
      <c r="AN111" t="s">
        <v>761</v>
      </c>
      <c r="AT111" t="s">
        <v>761</v>
      </c>
      <c r="AZ111" t="s">
        <v>761</v>
      </c>
    </row>
    <row r="112" spans="1:52">
      <c r="B112" t="s">
        <v>635</v>
      </c>
      <c r="E112" t="s">
        <v>635</v>
      </c>
      <c r="K112" t="s">
        <v>635</v>
      </c>
      <c r="N112">
        <v>0</v>
      </c>
      <c r="O112">
        <v>0</v>
      </c>
      <c r="Q112" t="s">
        <v>635</v>
      </c>
      <c r="W112" t="s">
        <v>635</v>
      </c>
      <c r="AC112" t="s">
        <v>635</v>
      </c>
      <c r="AH112" t="s">
        <v>635</v>
      </c>
      <c r="AN112" t="s">
        <v>635</v>
      </c>
      <c r="AT112" t="s">
        <v>635</v>
      </c>
      <c r="AZ112" t="s">
        <v>635</v>
      </c>
    </row>
    <row r="113" spans="2:52">
      <c r="B113" t="s">
        <v>762</v>
      </c>
      <c r="E113" t="s">
        <v>762</v>
      </c>
      <c r="K113" t="s">
        <v>762</v>
      </c>
      <c r="N113">
        <v>0.1</v>
      </c>
      <c r="O113">
        <v>0.1</v>
      </c>
      <c r="Q113" t="s">
        <v>762</v>
      </c>
      <c r="W113" t="s">
        <v>762</v>
      </c>
      <c r="AC113" t="s">
        <v>762</v>
      </c>
      <c r="AH113" t="s">
        <v>762</v>
      </c>
      <c r="AN113" t="s">
        <v>762</v>
      </c>
      <c r="AT113" t="s">
        <v>762</v>
      </c>
      <c r="AZ113" t="s">
        <v>762</v>
      </c>
    </row>
    <row r="114" spans="2:52">
      <c r="B114" t="s">
        <v>763</v>
      </c>
      <c r="E114" t="s">
        <v>763</v>
      </c>
      <c r="K114" t="s">
        <v>763</v>
      </c>
      <c r="N114">
        <v>0.2</v>
      </c>
      <c r="O114">
        <v>0.1</v>
      </c>
      <c r="Q114" t="s">
        <v>763</v>
      </c>
      <c r="W114" t="s">
        <v>763</v>
      </c>
      <c r="AC114" t="s">
        <v>763</v>
      </c>
      <c r="AH114" t="s">
        <v>763</v>
      </c>
      <c r="AN114" t="s">
        <v>763</v>
      </c>
      <c r="AT114" t="s">
        <v>763</v>
      </c>
      <c r="AZ114" t="s">
        <v>763</v>
      </c>
    </row>
    <row r="115" spans="2:52">
      <c r="B115" t="s">
        <v>764</v>
      </c>
      <c r="E115" t="s">
        <v>764</v>
      </c>
      <c r="K115" t="s">
        <v>764</v>
      </c>
      <c r="N115">
        <v>0.95</v>
      </c>
      <c r="O115">
        <v>0.3</v>
      </c>
      <c r="Q115" t="s">
        <v>764</v>
      </c>
      <c r="W115" t="s">
        <v>764</v>
      </c>
      <c r="AC115" t="s">
        <v>764</v>
      </c>
      <c r="AH115" t="s">
        <v>764</v>
      </c>
      <c r="AN115" t="s">
        <v>764</v>
      </c>
      <c r="AT115" t="s">
        <v>764</v>
      </c>
      <c r="AZ115" t="s">
        <v>764</v>
      </c>
    </row>
    <row r="116" spans="2:52">
      <c r="B116" t="s">
        <v>765</v>
      </c>
      <c r="E116" t="s">
        <v>765</v>
      </c>
      <c r="K116" t="s">
        <v>765</v>
      </c>
      <c r="N116">
        <v>0.95</v>
      </c>
      <c r="O116">
        <v>0.3</v>
      </c>
      <c r="Q116" t="s">
        <v>765</v>
      </c>
      <c r="W116" t="s">
        <v>765</v>
      </c>
      <c r="AC116" t="s">
        <v>765</v>
      </c>
      <c r="AH116" t="s">
        <v>765</v>
      </c>
      <c r="AN116" t="s">
        <v>765</v>
      </c>
      <c r="AT116" t="s">
        <v>765</v>
      </c>
      <c r="AZ116" t="s">
        <v>765</v>
      </c>
    </row>
    <row r="117" spans="2:52">
      <c r="B117" t="s">
        <v>766</v>
      </c>
      <c r="E117" t="s">
        <v>766</v>
      </c>
      <c r="K117" t="s">
        <v>766</v>
      </c>
      <c r="N117">
        <v>0.95</v>
      </c>
      <c r="O117">
        <v>0.3</v>
      </c>
      <c r="Q117" t="s">
        <v>766</v>
      </c>
      <c r="W117" t="s">
        <v>766</v>
      </c>
      <c r="AC117" t="s">
        <v>766</v>
      </c>
      <c r="AH117" t="s">
        <v>766</v>
      </c>
      <c r="AN117" t="s">
        <v>766</v>
      </c>
      <c r="AT117" t="s">
        <v>766</v>
      </c>
      <c r="AZ117" t="s">
        <v>766</v>
      </c>
    </row>
    <row r="118" spans="2:52">
      <c r="B118" t="s">
        <v>767</v>
      </c>
      <c r="E118" t="s">
        <v>767</v>
      </c>
      <c r="K118" t="s">
        <v>767</v>
      </c>
      <c r="N118">
        <v>0.95</v>
      </c>
      <c r="O118">
        <v>0.3</v>
      </c>
      <c r="Q118" t="s">
        <v>767</v>
      </c>
      <c r="W118" t="s">
        <v>767</v>
      </c>
      <c r="AC118" t="s">
        <v>767</v>
      </c>
      <c r="AH118" t="s">
        <v>767</v>
      </c>
      <c r="AN118" t="s">
        <v>767</v>
      </c>
      <c r="AT118" t="s">
        <v>767</v>
      </c>
      <c r="AZ118" t="s">
        <v>767</v>
      </c>
    </row>
    <row r="119" spans="2:52">
      <c r="B119" t="s">
        <v>642</v>
      </c>
      <c r="E119" t="s">
        <v>642</v>
      </c>
      <c r="K119" t="s">
        <v>642</v>
      </c>
      <c r="N119">
        <v>0.5</v>
      </c>
      <c r="O119">
        <v>0.1</v>
      </c>
      <c r="Q119" t="s">
        <v>642</v>
      </c>
      <c r="W119" t="s">
        <v>642</v>
      </c>
      <c r="AC119" t="s">
        <v>642</v>
      </c>
      <c r="AH119" t="s">
        <v>642</v>
      </c>
      <c r="AN119" t="s">
        <v>642</v>
      </c>
      <c r="AT119" t="s">
        <v>642</v>
      </c>
      <c r="AZ119" t="s">
        <v>642</v>
      </c>
    </row>
    <row r="120" spans="2:52">
      <c r="B120" t="s">
        <v>643</v>
      </c>
      <c r="E120" t="s">
        <v>643</v>
      </c>
      <c r="K120" t="s">
        <v>643</v>
      </c>
      <c r="N120">
        <v>0.95</v>
      </c>
      <c r="O120">
        <v>0.1</v>
      </c>
      <c r="Q120" t="s">
        <v>643</v>
      </c>
      <c r="W120" t="s">
        <v>643</v>
      </c>
      <c r="AC120" t="s">
        <v>643</v>
      </c>
      <c r="AH120" t="s">
        <v>643</v>
      </c>
      <c r="AN120" t="s">
        <v>643</v>
      </c>
      <c r="AT120" t="s">
        <v>643</v>
      </c>
      <c r="AZ120" t="s">
        <v>643</v>
      </c>
    </row>
    <row r="121" spans="2:52">
      <c r="B121" t="s">
        <v>768</v>
      </c>
      <c r="E121" t="s">
        <v>768</v>
      </c>
      <c r="K121" t="s">
        <v>768</v>
      </c>
      <c r="N121">
        <v>0.95</v>
      </c>
      <c r="O121">
        <v>0.1</v>
      </c>
      <c r="Q121" t="s">
        <v>768</v>
      </c>
      <c r="W121" t="s">
        <v>768</v>
      </c>
      <c r="AC121" t="s">
        <v>768</v>
      </c>
      <c r="AH121" t="s">
        <v>768</v>
      </c>
      <c r="AN121" t="s">
        <v>768</v>
      </c>
      <c r="AT121" t="s">
        <v>768</v>
      </c>
      <c r="AZ121" t="s">
        <v>768</v>
      </c>
    </row>
    <row r="122" spans="2:52">
      <c r="B122" t="s">
        <v>645</v>
      </c>
      <c r="E122" t="s">
        <v>645</v>
      </c>
      <c r="K122" t="s">
        <v>645</v>
      </c>
      <c r="N122">
        <v>0.95</v>
      </c>
      <c r="O122">
        <v>0.1</v>
      </c>
      <c r="Q122" t="s">
        <v>645</v>
      </c>
      <c r="W122" t="s">
        <v>645</v>
      </c>
      <c r="AC122" t="s">
        <v>645</v>
      </c>
      <c r="AH122" t="s">
        <v>645</v>
      </c>
      <c r="AN122" t="s">
        <v>645</v>
      </c>
      <c r="AT122" t="s">
        <v>645</v>
      </c>
      <c r="AZ122" t="s">
        <v>645</v>
      </c>
    </row>
    <row r="123" spans="2:52">
      <c r="B123" t="s">
        <v>646</v>
      </c>
      <c r="E123" t="s">
        <v>646</v>
      </c>
      <c r="K123" t="s">
        <v>646</v>
      </c>
      <c r="N123">
        <v>0.95</v>
      </c>
      <c r="O123">
        <v>0.1</v>
      </c>
      <c r="Q123" t="s">
        <v>646</v>
      </c>
      <c r="W123" t="s">
        <v>646</v>
      </c>
      <c r="AC123" t="s">
        <v>646</v>
      </c>
      <c r="AH123" t="s">
        <v>646</v>
      </c>
      <c r="AN123" t="s">
        <v>646</v>
      </c>
      <c r="AT123" t="s">
        <v>646</v>
      </c>
      <c r="AZ123" t="s">
        <v>646</v>
      </c>
    </row>
    <row r="124" spans="2:52">
      <c r="B124" t="s">
        <v>769</v>
      </c>
      <c r="E124" t="s">
        <v>769</v>
      </c>
      <c r="K124" t="s">
        <v>769</v>
      </c>
      <c r="N124">
        <v>0.3</v>
      </c>
      <c r="O124">
        <v>0.5</v>
      </c>
      <c r="Q124" t="s">
        <v>769</v>
      </c>
      <c r="W124" t="s">
        <v>769</v>
      </c>
      <c r="AC124" t="s">
        <v>769</v>
      </c>
      <c r="AH124" t="s">
        <v>769</v>
      </c>
      <c r="AN124" t="s">
        <v>769</v>
      </c>
      <c r="AT124" t="s">
        <v>769</v>
      </c>
      <c r="AZ124" t="s">
        <v>769</v>
      </c>
    </row>
    <row r="125" spans="2:52">
      <c r="B125" t="s">
        <v>770</v>
      </c>
      <c r="E125" t="s">
        <v>770</v>
      </c>
      <c r="K125" t="s">
        <v>770</v>
      </c>
      <c r="N125">
        <v>0.1</v>
      </c>
      <c r="O125">
        <v>0.5</v>
      </c>
      <c r="Q125" t="s">
        <v>770</v>
      </c>
      <c r="W125" t="s">
        <v>770</v>
      </c>
      <c r="AC125" t="s">
        <v>770</v>
      </c>
      <c r="AH125" t="s">
        <v>770</v>
      </c>
      <c r="AN125" t="s">
        <v>770</v>
      </c>
      <c r="AT125" t="s">
        <v>770</v>
      </c>
      <c r="AZ125" t="s">
        <v>770</v>
      </c>
    </row>
    <row r="126" spans="2:52">
      <c r="B126" t="s">
        <v>771</v>
      </c>
      <c r="E126" t="s">
        <v>771</v>
      </c>
      <c r="K126" t="s">
        <v>771</v>
      </c>
      <c r="N126">
        <v>0.1</v>
      </c>
      <c r="O126">
        <v>0</v>
      </c>
      <c r="Q126" t="s">
        <v>771</v>
      </c>
      <c r="W126" t="s">
        <v>771</v>
      </c>
      <c r="AC126" t="s">
        <v>771</v>
      </c>
      <c r="AH126" t="s">
        <v>771</v>
      </c>
      <c r="AN126" t="s">
        <v>771</v>
      </c>
      <c r="AT126" t="s">
        <v>771</v>
      </c>
      <c r="AZ126" t="s">
        <v>771</v>
      </c>
    </row>
    <row r="127" spans="2:52">
      <c r="B127" t="s">
        <v>772</v>
      </c>
      <c r="E127" t="s">
        <v>772</v>
      </c>
      <c r="K127" t="s">
        <v>772</v>
      </c>
      <c r="N127">
        <v>0.1</v>
      </c>
      <c r="O127">
        <v>0</v>
      </c>
      <c r="Q127" t="s">
        <v>772</v>
      </c>
      <c r="W127" t="s">
        <v>772</v>
      </c>
      <c r="AC127" t="s">
        <v>772</v>
      </c>
      <c r="AH127" t="s">
        <v>772</v>
      </c>
      <c r="AN127" t="s">
        <v>772</v>
      </c>
      <c r="AT127" t="s">
        <v>772</v>
      </c>
      <c r="AZ127" t="s">
        <v>772</v>
      </c>
    </row>
    <row r="128" spans="2:52">
      <c r="B128" t="s">
        <v>773</v>
      </c>
      <c r="E128" t="s">
        <v>773</v>
      </c>
      <c r="K128" t="s">
        <v>773</v>
      </c>
      <c r="N128">
        <v>0.1</v>
      </c>
      <c r="O128">
        <v>0</v>
      </c>
      <c r="Q128" t="s">
        <v>773</v>
      </c>
      <c r="W128" t="s">
        <v>773</v>
      </c>
      <c r="AC128" t="s">
        <v>773</v>
      </c>
      <c r="AH128" t="s">
        <v>773</v>
      </c>
      <c r="AN128" t="s">
        <v>773</v>
      </c>
      <c r="AT128" t="s">
        <v>773</v>
      </c>
      <c r="AZ128" t="s">
        <v>773</v>
      </c>
    </row>
    <row r="129" spans="1:52">
      <c r="B129" t="s">
        <v>774</v>
      </c>
      <c r="E129" t="s">
        <v>774</v>
      </c>
      <c r="K129" t="s">
        <v>774</v>
      </c>
      <c r="N129">
        <v>0.05</v>
      </c>
      <c r="O129">
        <v>0</v>
      </c>
      <c r="Q129" t="s">
        <v>774</v>
      </c>
      <c r="W129" t="s">
        <v>774</v>
      </c>
      <c r="AC129" t="s">
        <v>774</v>
      </c>
      <c r="AH129" t="s">
        <v>774</v>
      </c>
      <c r="AN129" t="s">
        <v>774</v>
      </c>
      <c r="AT129" t="s">
        <v>774</v>
      </c>
      <c r="AZ129" t="s">
        <v>774</v>
      </c>
    </row>
    <row r="130" spans="1:52">
      <c r="B130" t="s">
        <v>775</v>
      </c>
      <c r="E130" t="s">
        <v>775</v>
      </c>
      <c r="K130" t="s">
        <v>775</v>
      </c>
      <c r="N130">
        <v>0.05</v>
      </c>
      <c r="O130">
        <v>0</v>
      </c>
      <c r="Q130" t="s">
        <v>775</v>
      </c>
      <c r="W130" t="s">
        <v>775</v>
      </c>
      <c r="AC130" t="s">
        <v>775</v>
      </c>
      <c r="AH130" t="s">
        <v>775</v>
      </c>
      <c r="AN130" t="s">
        <v>775</v>
      </c>
      <c r="AT130" t="s">
        <v>775</v>
      </c>
      <c r="AZ130" t="s">
        <v>775</v>
      </c>
    </row>
    <row r="133" spans="1:52" s="96" customFormat="1" ht="23.4">
      <c r="A133" s="95" t="s">
        <v>593</v>
      </c>
    </row>
    <row r="134" spans="1:52" s="101" customFormat="1" ht="23.4">
      <c r="A134" s="100"/>
    </row>
    <row r="135" spans="1:52">
      <c r="B135" s="89" t="s">
        <v>776</v>
      </c>
      <c r="E135" t="s">
        <v>618</v>
      </c>
      <c r="G135" s="109" t="s">
        <v>777</v>
      </c>
    </row>
    <row r="136" spans="1:52">
      <c r="B136" t="s">
        <v>618</v>
      </c>
      <c r="E136" t="s">
        <v>778</v>
      </c>
    </row>
    <row r="137" spans="1:52">
      <c r="B137" t="s">
        <v>779</v>
      </c>
      <c r="E137" t="s">
        <v>513</v>
      </c>
    </row>
    <row r="138" spans="1:52">
      <c r="B138" t="s">
        <v>513</v>
      </c>
      <c r="E138" t="s">
        <v>596</v>
      </c>
    </row>
    <row r="139" spans="1:52">
      <c r="B139" t="s">
        <v>596</v>
      </c>
      <c r="E139" t="s">
        <v>780</v>
      </c>
    </row>
    <row r="140" spans="1:52">
      <c r="B140" t="s">
        <v>780</v>
      </c>
      <c r="E140" t="s">
        <v>781</v>
      </c>
    </row>
    <row r="141" spans="1:52">
      <c r="B141" t="s">
        <v>781</v>
      </c>
      <c r="E141" t="s">
        <v>782</v>
      </c>
    </row>
    <row r="142" spans="1:52">
      <c r="B142" t="s">
        <v>782</v>
      </c>
      <c r="E142" t="s">
        <v>783</v>
      </c>
    </row>
    <row r="143" spans="1:52">
      <c r="B143" t="s">
        <v>783</v>
      </c>
      <c r="E143" t="s">
        <v>784</v>
      </c>
    </row>
    <row r="144" spans="1:52">
      <c r="B144" t="s">
        <v>784</v>
      </c>
      <c r="E144" t="s">
        <v>785</v>
      </c>
    </row>
    <row r="145" spans="2:5">
      <c r="B145" t="s">
        <v>785</v>
      </c>
      <c r="E145" t="s">
        <v>786</v>
      </c>
    </row>
    <row r="146" spans="2:5">
      <c r="B146" t="s">
        <v>786</v>
      </c>
      <c r="E146" t="s">
        <v>787</v>
      </c>
    </row>
    <row r="147" spans="2:5">
      <c r="B147" t="s">
        <v>787</v>
      </c>
      <c r="E147" t="s">
        <v>788</v>
      </c>
    </row>
    <row r="148" spans="2:5">
      <c r="B148" t="s">
        <v>788</v>
      </c>
      <c r="E148" t="s">
        <v>789</v>
      </c>
    </row>
    <row r="149" spans="2:5">
      <c r="B149" t="s">
        <v>789</v>
      </c>
      <c r="E149" t="s">
        <v>790</v>
      </c>
    </row>
    <row r="150" spans="2:5">
      <c r="B150" t="s">
        <v>790</v>
      </c>
      <c r="E150" t="s">
        <v>791</v>
      </c>
    </row>
    <row r="151" spans="2:5">
      <c r="B151" t="s">
        <v>792</v>
      </c>
      <c r="E151" t="s">
        <v>793</v>
      </c>
    </row>
    <row r="152" spans="2:5">
      <c r="B152" t="s">
        <v>793</v>
      </c>
      <c r="E152" t="s">
        <v>794</v>
      </c>
    </row>
    <row r="153" spans="2:5">
      <c r="B153" t="s">
        <v>795</v>
      </c>
      <c r="E153" t="s">
        <v>796</v>
      </c>
    </row>
    <row r="154" spans="2:5">
      <c r="B154" t="s">
        <v>796</v>
      </c>
      <c r="E154" t="s">
        <v>797</v>
      </c>
    </row>
    <row r="155" spans="2:5">
      <c r="B155" t="s">
        <v>798</v>
      </c>
      <c r="E155" t="s">
        <v>799</v>
      </c>
    </row>
    <row r="156" spans="2:5">
      <c r="B156" t="s">
        <v>799</v>
      </c>
      <c r="E156" t="s">
        <v>800</v>
      </c>
    </row>
    <row r="157" spans="2:5">
      <c r="B157" t="s">
        <v>800</v>
      </c>
      <c r="E157" t="s">
        <v>801</v>
      </c>
    </row>
    <row r="158" spans="2:5">
      <c r="B158" t="s">
        <v>801</v>
      </c>
      <c r="E158" t="s">
        <v>802</v>
      </c>
    </row>
    <row r="159" spans="2:5">
      <c r="B159" t="s">
        <v>802</v>
      </c>
      <c r="E159" t="s">
        <v>803</v>
      </c>
    </row>
    <row r="160" spans="2:5">
      <c r="B160" t="s">
        <v>803</v>
      </c>
      <c r="E160" t="s">
        <v>804</v>
      </c>
    </row>
    <row r="161" spans="2:5">
      <c r="B161" t="s">
        <v>804</v>
      </c>
      <c r="E161" t="s">
        <v>805</v>
      </c>
    </row>
    <row r="162" spans="2:5">
      <c r="B162" t="s">
        <v>805</v>
      </c>
      <c r="E162" t="s">
        <v>806</v>
      </c>
    </row>
    <row r="163" spans="2:5">
      <c r="B163" t="s">
        <v>806</v>
      </c>
      <c r="E163" t="s">
        <v>807</v>
      </c>
    </row>
    <row r="164" spans="2:5">
      <c r="B164" t="s">
        <v>807</v>
      </c>
      <c r="E164" t="s">
        <v>808</v>
      </c>
    </row>
    <row r="165" spans="2:5">
      <c r="B165" t="s">
        <v>808</v>
      </c>
      <c r="E165" t="s">
        <v>809</v>
      </c>
    </row>
    <row r="166" spans="2:5">
      <c r="B166" t="s">
        <v>809</v>
      </c>
      <c r="E166" t="s">
        <v>810</v>
      </c>
    </row>
    <row r="167" spans="2:5">
      <c r="B167" t="s">
        <v>810</v>
      </c>
      <c r="E167" t="s">
        <v>811</v>
      </c>
    </row>
    <row r="168" spans="2:5">
      <c r="B168" t="s">
        <v>811</v>
      </c>
      <c r="E168" t="s">
        <v>812</v>
      </c>
    </row>
    <row r="169" spans="2:5">
      <c r="B169" t="s">
        <v>812</v>
      </c>
      <c r="E169" t="s">
        <v>813</v>
      </c>
    </row>
    <row r="170" spans="2:5">
      <c r="B170" t="s">
        <v>813</v>
      </c>
      <c r="E170" t="s">
        <v>814</v>
      </c>
    </row>
    <row r="171" spans="2:5">
      <c r="B171" t="s">
        <v>814</v>
      </c>
      <c r="E171" t="s">
        <v>815</v>
      </c>
    </row>
    <row r="172" spans="2:5">
      <c r="B172" t="s">
        <v>815</v>
      </c>
      <c r="E172" t="s">
        <v>816</v>
      </c>
    </row>
    <row r="173" spans="2:5">
      <c r="B173" t="s">
        <v>816</v>
      </c>
      <c r="E173" t="s">
        <v>817</v>
      </c>
    </row>
    <row r="174" spans="2:5">
      <c r="B174" t="s">
        <v>817</v>
      </c>
      <c r="E174" t="s">
        <v>818</v>
      </c>
    </row>
    <row r="175" spans="2:5">
      <c r="B175" t="s">
        <v>818</v>
      </c>
      <c r="E175" t="s">
        <v>819</v>
      </c>
    </row>
    <row r="176" spans="2:5">
      <c r="B176" t="s">
        <v>819</v>
      </c>
      <c r="E176" t="s">
        <v>820</v>
      </c>
    </row>
    <row r="177" spans="2:22">
      <c r="B177" t="s">
        <v>820</v>
      </c>
      <c r="E177" t="s">
        <v>821</v>
      </c>
    </row>
    <row r="178" spans="2:22">
      <c r="B178" t="s">
        <v>821</v>
      </c>
      <c r="E178" t="s">
        <v>822</v>
      </c>
    </row>
    <row r="179" spans="2:22">
      <c r="B179" t="s">
        <v>822</v>
      </c>
      <c r="E179" t="s">
        <v>823</v>
      </c>
    </row>
    <row r="180" spans="2:22">
      <c r="B180" t="s">
        <v>823</v>
      </c>
      <c r="E180" t="s">
        <v>824</v>
      </c>
    </row>
    <row r="181" spans="2:22">
      <c r="B181" t="s">
        <v>824</v>
      </c>
      <c r="E181" t="s">
        <v>825</v>
      </c>
    </row>
    <row r="182" spans="2:22">
      <c r="B182" t="s">
        <v>825</v>
      </c>
      <c r="E182" t="s">
        <v>826</v>
      </c>
    </row>
    <row r="183" spans="2:22">
      <c r="B183" t="s">
        <v>826</v>
      </c>
      <c r="E183" t="s">
        <v>827</v>
      </c>
    </row>
    <row r="184" spans="2:22">
      <c r="B184" t="s">
        <v>827</v>
      </c>
      <c r="E184" t="s">
        <v>828</v>
      </c>
    </row>
    <row r="185" spans="2:22">
      <c r="B185" t="s">
        <v>828</v>
      </c>
      <c r="E185" t="s">
        <v>829</v>
      </c>
    </row>
    <row r="186" spans="2:22">
      <c r="B186" t="s">
        <v>829</v>
      </c>
      <c r="E186" t="s">
        <v>830</v>
      </c>
      <c r="L186" t="s">
        <v>831</v>
      </c>
      <c r="M186" t="s">
        <v>461</v>
      </c>
      <c r="N186" t="s">
        <v>463</v>
      </c>
    </row>
    <row r="187" spans="2:22">
      <c r="B187" t="s">
        <v>830</v>
      </c>
      <c r="E187" t="s">
        <v>832</v>
      </c>
      <c r="K187" t="s">
        <v>833</v>
      </c>
      <c r="L187" t="s">
        <v>834</v>
      </c>
      <c r="M187">
        <f>K93</f>
        <v>2.0000000000000004</v>
      </c>
      <c r="N187">
        <f>L93</f>
        <v>0.6</v>
      </c>
    </row>
    <row r="188" spans="2:22">
      <c r="B188" t="s">
        <v>832</v>
      </c>
      <c r="E188" t="s">
        <v>835</v>
      </c>
    </row>
    <row r="189" spans="2:22">
      <c r="B189" t="s">
        <v>835</v>
      </c>
      <c r="E189" t="s">
        <v>836</v>
      </c>
    </row>
    <row r="190" spans="2:22">
      <c r="B190" t="s">
        <v>836</v>
      </c>
      <c r="E190" t="s">
        <v>837</v>
      </c>
    </row>
    <row r="191" spans="2:22">
      <c r="B191" t="s">
        <v>837</v>
      </c>
      <c r="E191" t="s">
        <v>838</v>
      </c>
      <c r="N191" s="814" t="s">
        <v>839</v>
      </c>
      <c r="O191" s="814"/>
      <c r="P191" s="814"/>
      <c r="Q191" s="814"/>
      <c r="R191" s="814"/>
      <c r="S191" s="814"/>
      <c r="V191" t="s">
        <v>840</v>
      </c>
    </row>
    <row r="192" spans="2:22">
      <c r="B192" t="s">
        <v>838</v>
      </c>
      <c r="E192" t="s">
        <v>841</v>
      </c>
      <c r="N192" s="813" t="s">
        <v>701</v>
      </c>
      <c r="O192" s="813"/>
      <c r="P192" s="813"/>
      <c r="Q192" s="813"/>
      <c r="R192" s="92" t="s">
        <v>283</v>
      </c>
      <c r="S192" s="102">
        <v>3286.2707288543102</v>
      </c>
      <c r="U192" t="s">
        <v>80</v>
      </c>
      <c r="V192">
        <v>10</v>
      </c>
    </row>
    <row r="193" spans="1:22">
      <c r="B193" t="s">
        <v>841</v>
      </c>
      <c r="E193" t="s">
        <v>842</v>
      </c>
      <c r="N193" s="813" t="s">
        <v>703</v>
      </c>
      <c r="O193" s="813"/>
      <c r="P193" s="813"/>
      <c r="Q193" s="813"/>
      <c r="R193" s="92" t="s">
        <v>283</v>
      </c>
      <c r="S193" s="103">
        <v>9.0034814489159292</v>
      </c>
      <c r="U193" t="s">
        <v>79</v>
      </c>
      <c r="V193">
        <v>9</v>
      </c>
    </row>
    <row r="194" spans="1:22">
      <c r="B194" t="s">
        <v>842</v>
      </c>
      <c r="E194" t="s">
        <v>843</v>
      </c>
      <c r="N194" s="813" t="s">
        <v>844</v>
      </c>
      <c r="O194" s="813"/>
      <c r="P194" s="813"/>
      <c r="Q194" s="813"/>
      <c r="R194" s="92" t="s">
        <v>283</v>
      </c>
      <c r="S194" s="110">
        <f>S192/249</f>
        <v>13.197874413069519</v>
      </c>
      <c r="U194" t="s">
        <v>78</v>
      </c>
      <c r="V194">
        <v>9</v>
      </c>
    </row>
    <row r="195" spans="1:22">
      <c r="B195" t="s">
        <v>843</v>
      </c>
      <c r="E195" t="s">
        <v>845</v>
      </c>
    </row>
    <row r="196" spans="1:22">
      <c r="B196" t="s">
        <v>845</v>
      </c>
      <c r="E196" t="s">
        <v>846</v>
      </c>
    </row>
    <row r="197" spans="1:22">
      <c r="B197" t="s">
        <v>846</v>
      </c>
      <c r="E197" t="s">
        <v>847</v>
      </c>
    </row>
    <row r="198" spans="1:22">
      <c r="B198" t="s">
        <v>847</v>
      </c>
      <c r="E198" t="s">
        <v>848</v>
      </c>
    </row>
    <row r="199" spans="1:22">
      <c r="B199" t="s">
        <v>848</v>
      </c>
    </row>
    <row r="202" spans="1:22" s="96" customFormat="1" ht="23.4">
      <c r="A202" s="95" t="s">
        <v>508</v>
      </c>
    </row>
    <row r="204" spans="1:22">
      <c r="B204" t="s">
        <v>849</v>
      </c>
    </row>
    <row r="205" spans="1:22">
      <c r="B205" t="s">
        <v>850</v>
      </c>
      <c r="D205" t="s">
        <v>851</v>
      </c>
      <c r="F205" t="s">
        <v>509</v>
      </c>
    </row>
    <row r="206" spans="1:22">
      <c r="B206" t="s">
        <v>852</v>
      </c>
      <c r="D206" t="s">
        <v>853</v>
      </c>
      <c r="F206" t="s">
        <v>854</v>
      </c>
    </row>
    <row r="207" spans="1:22">
      <c r="B207" t="s">
        <v>513</v>
      </c>
      <c r="D207" t="s">
        <v>513</v>
      </c>
      <c r="F207" t="s">
        <v>513</v>
      </c>
      <c r="K207" t="s">
        <v>79</v>
      </c>
    </row>
    <row r="208" spans="1:22">
      <c r="B208" t="s">
        <v>514</v>
      </c>
      <c r="D208" t="s">
        <v>514</v>
      </c>
      <c r="F208" t="s">
        <v>514</v>
      </c>
    </row>
    <row r="209" spans="2:10">
      <c r="B209" t="s">
        <v>517</v>
      </c>
      <c r="D209" t="s">
        <v>517</v>
      </c>
      <c r="F209" t="s">
        <v>517</v>
      </c>
      <c r="J209" s="7">
        <v>1</v>
      </c>
    </row>
    <row r="210" spans="2:10">
      <c r="B210" t="s">
        <v>855</v>
      </c>
      <c r="D210" t="s">
        <v>855</v>
      </c>
      <c r="F210" t="s">
        <v>855</v>
      </c>
      <c r="J210" s="7">
        <f t="shared" ref="J210:J232" si="2">J209+1</f>
        <v>2</v>
      </c>
    </row>
    <row r="211" spans="2:10">
      <c r="B211" t="s">
        <v>519</v>
      </c>
      <c r="D211" t="s">
        <v>519</v>
      </c>
      <c r="F211" t="s">
        <v>519</v>
      </c>
      <c r="J211" s="7">
        <f t="shared" si="2"/>
        <v>3</v>
      </c>
    </row>
    <row r="212" spans="2:10">
      <c r="B212" t="s">
        <v>856</v>
      </c>
      <c r="D212" t="s">
        <v>856</v>
      </c>
      <c r="F212" t="s">
        <v>856</v>
      </c>
      <c r="J212" s="7">
        <f t="shared" si="2"/>
        <v>4</v>
      </c>
    </row>
    <row r="213" spans="2:10">
      <c r="B213" t="s">
        <v>521</v>
      </c>
      <c r="D213" t="s">
        <v>521</v>
      </c>
      <c r="F213" t="s">
        <v>521</v>
      </c>
      <c r="J213" s="7">
        <f t="shared" si="2"/>
        <v>5</v>
      </c>
    </row>
    <row r="214" spans="2:10">
      <c r="B214" t="s">
        <v>857</v>
      </c>
      <c r="D214" t="s">
        <v>857</v>
      </c>
      <c r="F214" t="s">
        <v>857</v>
      </c>
      <c r="J214" s="7">
        <f t="shared" si="2"/>
        <v>6</v>
      </c>
    </row>
    <row r="215" spans="2:10">
      <c r="B215" t="s">
        <v>523</v>
      </c>
      <c r="D215" t="s">
        <v>523</v>
      </c>
      <c r="F215" t="s">
        <v>523</v>
      </c>
      <c r="J215" s="7">
        <f t="shared" si="2"/>
        <v>7</v>
      </c>
    </row>
    <row r="216" spans="2:10">
      <c r="B216" t="s">
        <v>858</v>
      </c>
      <c r="D216" t="s">
        <v>858</v>
      </c>
      <c r="F216" t="s">
        <v>858</v>
      </c>
      <c r="J216" s="7">
        <f t="shared" si="2"/>
        <v>8</v>
      </c>
    </row>
    <row r="217" spans="2:10">
      <c r="B217" t="s">
        <v>525</v>
      </c>
      <c r="D217" t="s">
        <v>525</v>
      </c>
      <c r="F217" t="s">
        <v>525</v>
      </c>
      <c r="J217" s="7">
        <f t="shared" si="2"/>
        <v>9</v>
      </c>
    </row>
    <row r="218" spans="2:10">
      <c r="B218" t="s">
        <v>859</v>
      </c>
      <c r="D218" t="s">
        <v>859</v>
      </c>
      <c r="F218" t="s">
        <v>859</v>
      </c>
      <c r="J218" s="7">
        <f t="shared" si="2"/>
        <v>10</v>
      </c>
    </row>
    <row r="219" spans="2:10">
      <c r="B219" t="s">
        <v>527</v>
      </c>
      <c r="D219" t="s">
        <v>527</v>
      </c>
      <c r="F219" t="s">
        <v>527</v>
      </c>
      <c r="J219" s="7">
        <f t="shared" si="2"/>
        <v>11</v>
      </c>
    </row>
    <row r="220" spans="2:10">
      <c r="B220" t="s">
        <v>860</v>
      </c>
      <c r="D220" t="s">
        <v>860</v>
      </c>
      <c r="F220" t="s">
        <v>860</v>
      </c>
      <c r="J220" s="7">
        <f t="shared" si="2"/>
        <v>12</v>
      </c>
    </row>
    <row r="221" spans="2:10">
      <c r="B221" t="s">
        <v>530</v>
      </c>
      <c r="D221" t="s">
        <v>530</v>
      </c>
      <c r="F221" t="s">
        <v>530</v>
      </c>
      <c r="J221" s="7">
        <f t="shared" si="2"/>
        <v>13</v>
      </c>
    </row>
    <row r="222" spans="2:10">
      <c r="B222" t="s">
        <v>531</v>
      </c>
      <c r="D222" t="s">
        <v>531</v>
      </c>
      <c r="F222" t="s">
        <v>532</v>
      </c>
      <c r="J222" s="7">
        <f t="shared" si="2"/>
        <v>14</v>
      </c>
    </row>
    <row r="223" spans="2:10">
      <c r="B223" t="s">
        <v>533</v>
      </c>
      <c r="D223" t="s">
        <v>533</v>
      </c>
      <c r="F223" t="s">
        <v>533</v>
      </c>
      <c r="J223" s="7">
        <f t="shared" si="2"/>
        <v>15</v>
      </c>
    </row>
    <row r="224" spans="2:10">
      <c r="B224" t="s">
        <v>861</v>
      </c>
      <c r="D224" t="s">
        <v>536</v>
      </c>
      <c r="F224" t="s">
        <v>535</v>
      </c>
      <c r="J224" s="7">
        <f t="shared" si="2"/>
        <v>16</v>
      </c>
    </row>
    <row r="225" spans="2:10">
      <c r="B225" t="s">
        <v>537</v>
      </c>
      <c r="D225" t="s">
        <v>537</v>
      </c>
      <c r="F225" t="s">
        <v>537</v>
      </c>
      <c r="J225" s="7">
        <f t="shared" si="2"/>
        <v>17</v>
      </c>
    </row>
    <row r="226" spans="2:10">
      <c r="B226" t="s">
        <v>862</v>
      </c>
      <c r="D226" t="s">
        <v>540</v>
      </c>
      <c r="F226" t="s">
        <v>539</v>
      </c>
      <c r="J226" s="7">
        <f t="shared" si="2"/>
        <v>18</v>
      </c>
    </row>
    <row r="227" spans="2:10">
      <c r="B227" t="s">
        <v>541</v>
      </c>
      <c r="D227" t="s">
        <v>541</v>
      </c>
      <c r="F227" t="s">
        <v>541</v>
      </c>
      <c r="J227" s="7">
        <f t="shared" si="2"/>
        <v>19</v>
      </c>
    </row>
    <row r="228" spans="2:10">
      <c r="B228" t="s">
        <v>863</v>
      </c>
      <c r="D228" t="s">
        <v>544</v>
      </c>
      <c r="F228" t="s">
        <v>543</v>
      </c>
      <c r="J228" s="7">
        <f t="shared" si="2"/>
        <v>20</v>
      </c>
    </row>
    <row r="229" spans="2:10">
      <c r="B229" t="s">
        <v>545</v>
      </c>
      <c r="D229" t="s">
        <v>545</v>
      </c>
      <c r="F229" t="s">
        <v>545</v>
      </c>
      <c r="J229" s="7">
        <f t="shared" si="2"/>
        <v>21</v>
      </c>
    </row>
    <row r="230" spans="2:10">
      <c r="B230" t="s">
        <v>864</v>
      </c>
      <c r="D230" t="s">
        <v>548</v>
      </c>
      <c r="F230" t="s">
        <v>547</v>
      </c>
      <c r="J230" s="7">
        <f t="shared" si="2"/>
        <v>22</v>
      </c>
    </row>
    <row r="231" spans="2:10">
      <c r="B231" t="s">
        <v>549</v>
      </c>
      <c r="D231" t="s">
        <v>549</v>
      </c>
      <c r="F231" t="s">
        <v>549</v>
      </c>
      <c r="J231" s="7">
        <f t="shared" si="2"/>
        <v>23</v>
      </c>
    </row>
    <row r="232" spans="2:10">
      <c r="B232" t="s">
        <v>865</v>
      </c>
      <c r="D232" t="s">
        <v>552</v>
      </c>
      <c r="F232" t="s">
        <v>551</v>
      </c>
      <c r="J232" s="7">
        <f t="shared" si="2"/>
        <v>24</v>
      </c>
    </row>
    <row r="233" spans="2:10">
      <c r="B233" t="s">
        <v>553</v>
      </c>
      <c r="D233" t="s">
        <v>553</v>
      </c>
      <c r="F233" t="s">
        <v>553</v>
      </c>
    </row>
    <row r="234" spans="2:10">
      <c r="B234" t="s">
        <v>866</v>
      </c>
      <c r="D234" t="s">
        <v>867</v>
      </c>
      <c r="F234" t="s">
        <v>555</v>
      </c>
    </row>
    <row r="235" spans="2:10">
      <c r="B235" t="s">
        <v>557</v>
      </c>
      <c r="D235" t="s">
        <v>557</v>
      </c>
      <c r="F235" t="s">
        <v>557</v>
      </c>
    </row>
    <row r="236" spans="2:10">
      <c r="B236" t="s">
        <v>868</v>
      </c>
      <c r="D236" t="s">
        <v>869</v>
      </c>
      <c r="F236" t="s">
        <v>559</v>
      </c>
    </row>
    <row r="237" spans="2:10">
      <c r="B237" t="s">
        <v>561</v>
      </c>
      <c r="D237" t="s">
        <v>561</v>
      </c>
      <c r="F237" t="s">
        <v>561</v>
      </c>
    </row>
    <row r="238" spans="2:10">
      <c r="B238" t="s">
        <v>870</v>
      </c>
      <c r="D238" t="s">
        <v>871</v>
      </c>
      <c r="F238" t="s">
        <v>563</v>
      </c>
    </row>
    <row r="239" spans="2:10">
      <c r="B239" t="s">
        <v>565</v>
      </c>
      <c r="D239" t="s">
        <v>565</v>
      </c>
      <c r="F239" t="s">
        <v>565</v>
      </c>
    </row>
    <row r="240" spans="2:10">
      <c r="B240" t="s">
        <v>872</v>
      </c>
      <c r="D240" t="s">
        <v>873</v>
      </c>
      <c r="F240" t="s">
        <v>567</v>
      </c>
    </row>
    <row r="241" spans="2:6">
      <c r="B241" t="s">
        <v>569</v>
      </c>
      <c r="D241" t="s">
        <v>569</v>
      </c>
      <c r="F241" t="s">
        <v>569</v>
      </c>
    </row>
    <row r="242" spans="2:6">
      <c r="B242" t="s">
        <v>874</v>
      </c>
      <c r="D242" t="s">
        <v>875</v>
      </c>
      <c r="F242" t="s">
        <v>571</v>
      </c>
    </row>
    <row r="243" spans="2:6">
      <c r="B243" t="s">
        <v>573</v>
      </c>
      <c r="D243" t="s">
        <v>573</v>
      </c>
      <c r="F243" t="s">
        <v>573</v>
      </c>
    </row>
    <row r="244" spans="2:6">
      <c r="B244" t="s">
        <v>876</v>
      </c>
      <c r="D244" t="s">
        <v>575</v>
      </c>
      <c r="F244" t="s">
        <v>575</v>
      </c>
    </row>
    <row r="245" spans="2:6">
      <c r="B245" t="s">
        <v>576</v>
      </c>
      <c r="D245" t="s">
        <v>576</v>
      </c>
      <c r="F245" t="s">
        <v>576</v>
      </c>
    </row>
    <row r="246" spans="2:6">
      <c r="B246" t="s">
        <v>877</v>
      </c>
      <c r="D246" t="s">
        <v>578</v>
      </c>
      <c r="F246" t="s">
        <v>878</v>
      </c>
    </row>
    <row r="247" spans="2:6">
      <c r="B247" t="s">
        <v>579</v>
      </c>
      <c r="D247" t="s">
        <v>579</v>
      </c>
      <c r="F247" t="s">
        <v>579</v>
      </c>
    </row>
    <row r="248" spans="2:6">
      <c r="B248" t="s">
        <v>879</v>
      </c>
      <c r="D248" t="s">
        <v>880</v>
      </c>
      <c r="F248" t="s">
        <v>880</v>
      </c>
    </row>
    <row r="249" spans="2:6">
      <c r="B249" t="s">
        <v>582</v>
      </c>
      <c r="D249" t="s">
        <v>582</v>
      </c>
      <c r="F249" t="s">
        <v>582</v>
      </c>
    </row>
    <row r="250" spans="2:6">
      <c r="B250" t="s">
        <v>881</v>
      </c>
      <c r="D250" t="s">
        <v>882</v>
      </c>
      <c r="F250" t="s">
        <v>882</v>
      </c>
    </row>
    <row r="251" spans="2:6">
      <c r="B251" t="s">
        <v>585</v>
      </c>
      <c r="D251" t="s">
        <v>585</v>
      </c>
      <c r="F251" t="s">
        <v>585</v>
      </c>
    </row>
    <row r="252" spans="2:6">
      <c r="B252" t="s">
        <v>883</v>
      </c>
      <c r="D252" t="s">
        <v>884</v>
      </c>
      <c r="F252" t="s">
        <v>884</v>
      </c>
    </row>
    <row r="253" spans="2:6">
      <c r="B253" t="s">
        <v>588</v>
      </c>
      <c r="D253" t="s">
        <v>588</v>
      </c>
      <c r="F253" t="s">
        <v>588</v>
      </c>
    </row>
    <row r="254" spans="2:6">
      <c r="B254" t="s">
        <v>590</v>
      </c>
      <c r="D254" t="s">
        <v>885</v>
      </c>
      <c r="F254" t="s">
        <v>885</v>
      </c>
    </row>
    <row r="255" spans="2:6">
      <c r="B255" t="s">
        <v>591</v>
      </c>
      <c r="D255" t="s">
        <v>591</v>
      </c>
      <c r="F255" t="s">
        <v>591</v>
      </c>
    </row>
    <row r="256" spans="2:6">
      <c r="B256" t="s">
        <v>592</v>
      </c>
      <c r="D256" t="s">
        <v>886</v>
      </c>
      <c r="F256" t="s">
        <v>886</v>
      </c>
    </row>
  </sheetData>
  <mergeCells count="15">
    <mergeCell ref="A1:F1"/>
    <mergeCell ref="C2:D2"/>
    <mergeCell ref="N192:Q192"/>
    <mergeCell ref="A33:M33"/>
    <mergeCell ref="A35:C35"/>
    <mergeCell ref="A36:C36"/>
    <mergeCell ref="A37:C37"/>
    <mergeCell ref="N193:Q193"/>
    <mergeCell ref="N194:Q194"/>
    <mergeCell ref="N191:S191"/>
    <mergeCell ref="J66:L66"/>
    <mergeCell ref="A50:M50"/>
    <mergeCell ref="B66:C66"/>
    <mergeCell ref="E66:G66"/>
    <mergeCell ref="J67:K67"/>
  </mergeCells>
  <phoneticPr fontId="9"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19C81-B0B9-4AE9-9154-3628732CA590}">
  <dimension ref="A1:L199"/>
  <sheetViews>
    <sheetView workbookViewId="0">
      <selection sqref="A1:D1"/>
    </sheetView>
  </sheetViews>
  <sheetFormatPr defaultColWidth="8.77734375" defaultRowHeight="13.2"/>
  <cols>
    <col min="1" max="1" width="21.5546875" style="154" customWidth="1"/>
    <col min="2" max="2" width="23.44140625" style="154" customWidth="1"/>
    <col min="3" max="3" width="23.77734375" style="154" customWidth="1"/>
    <col min="4" max="4" width="19.21875" style="154" customWidth="1"/>
    <col min="5" max="5" width="35.21875" style="154" customWidth="1"/>
    <col min="6" max="6" width="18.77734375" style="154" customWidth="1"/>
    <col min="7" max="7" width="14.21875" style="154" customWidth="1"/>
    <col min="8" max="8" width="8.77734375" style="154"/>
    <col min="9" max="9" width="10.5546875" style="154" bestFit="1" customWidth="1"/>
    <col min="10" max="10" width="16.21875" style="154" customWidth="1"/>
    <col min="11" max="11" width="10.77734375" style="154" bestFit="1" customWidth="1"/>
    <col min="12" max="12" width="10.5546875" style="154" bestFit="1" customWidth="1"/>
    <col min="13" max="16384" width="8.77734375" style="154"/>
  </cols>
  <sheetData>
    <row r="1" spans="1:6" ht="23.4" customHeight="1">
      <c r="A1" s="826" t="s">
        <v>887</v>
      </c>
      <c r="B1" s="826"/>
      <c r="C1" s="826"/>
      <c r="D1" s="826"/>
      <c r="E1" s="536"/>
    </row>
    <row r="2" spans="1:6" ht="21" customHeight="1">
      <c r="A2" s="662" t="s">
        <v>888</v>
      </c>
      <c r="B2" s="662" t="s">
        <v>889</v>
      </c>
      <c r="C2" s="662" t="s">
        <v>171</v>
      </c>
      <c r="D2" s="662" t="s">
        <v>890</v>
      </c>
      <c r="E2" s="157"/>
    </row>
    <row r="3" spans="1:6" ht="18" customHeight="1">
      <c r="A3" s="177" t="s">
        <v>891</v>
      </c>
      <c r="B3" s="177">
        <v>1.5</v>
      </c>
      <c r="C3" s="823" t="s">
        <v>892</v>
      </c>
      <c r="D3" s="785" t="s">
        <v>79</v>
      </c>
      <c r="E3" s="158"/>
    </row>
    <row r="4" spans="1:6" ht="18" customHeight="1">
      <c r="A4" s="177" t="s">
        <v>63</v>
      </c>
      <c r="B4" s="177">
        <v>1</v>
      </c>
      <c r="C4" s="823"/>
      <c r="D4" s="785"/>
      <c r="E4" s="158"/>
      <c r="F4" s="537"/>
    </row>
    <row r="5" spans="1:6" ht="18" customHeight="1">
      <c r="A5" s="177" t="s">
        <v>424</v>
      </c>
      <c r="B5" s="177">
        <v>0.5</v>
      </c>
      <c r="C5" s="823"/>
      <c r="D5" s="785"/>
      <c r="E5" s="158"/>
      <c r="F5" s="537"/>
    </row>
    <row r="6" spans="1:6" ht="18" customHeight="1">
      <c r="A6" s="177" t="s">
        <v>65</v>
      </c>
      <c r="B6" s="177">
        <v>0.2</v>
      </c>
      <c r="C6" s="823"/>
      <c r="D6" s="785"/>
      <c r="E6" s="158"/>
      <c r="F6" s="537"/>
    </row>
    <row r="7" spans="1:6" ht="18" customHeight="1">
      <c r="A7" s="177" t="s">
        <v>66</v>
      </c>
      <c r="B7" s="177">
        <v>3</v>
      </c>
      <c r="C7" s="823"/>
      <c r="D7" s="785"/>
      <c r="E7" s="158"/>
      <c r="F7" s="537"/>
    </row>
    <row r="8" spans="1:6" ht="18" customHeight="1">
      <c r="A8" s="177" t="s">
        <v>68</v>
      </c>
      <c r="B8" s="177">
        <v>0</v>
      </c>
      <c r="C8" s="823"/>
      <c r="D8" s="785"/>
      <c r="E8" s="158"/>
      <c r="F8" s="537"/>
    </row>
    <row r="9" spans="1:6" ht="18" customHeight="1">
      <c r="A9" s="177" t="s">
        <v>425</v>
      </c>
      <c r="B9" s="177">
        <v>1</v>
      </c>
      <c r="C9" s="823"/>
      <c r="D9" s="785"/>
      <c r="E9" s="158"/>
      <c r="F9" s="537"/>
    </row>
    <row r="10" spans="1:6" ht="18" customHeight="1">
      <c r="A10" s="177" t="s">
        <v>70</v>
      </c>
      <c r="B10" s="177">
        <v>0</v>
      </c>
      <c r="C10" s="823"/>
      <c r="D10" s="785"/>
      <c r="E10" s="158"/>
      <c r="F10" s="200"/>
    </row>
    <row r="12" spans="1:6">
      <c r="A12" s="156" t="s">
        <v>893</v>
      </c>
    </row>
    <row r="13" spans="1:6" ht="15" customHeight="1">
      <c r="A13" s="154" t="s">
        <v>894</v>
      </c>
    </row>
    <row r="14" spans="1:6" ht="12.6" customHeight="1">
      <c r="A14" s="44" t="s">
        <v>895</v>
      </c>
    </row>
    <row r="16" spans="1:6" s="207" customFormat="1" hidden="1">
      <c r="A16" s="207" t="s">
        <v>76</v>
      </c>
      <c r="D16" s="208"/>
      <c r="E16" s="209"/>
      <c r="F16" s="210"/>
    </row>
    <row r="17" spans="2:9" s="156" customFormat="1" ht="14.55" hidden="1" customHeight="1">
      <c r="C17" s="825" t="s">
        <v>896</v>
      </c>
      <c r="D17" s="825"/>
      <c r="E17" s="825"/>
      <c r="F17" s="825"/>
    </row>
    <row r="18" spans="2:9" ht="27" hidden="1" customHeight="1">
      <c r="C18" s="538" t="s">
        <v>897</v>
      </c>
      <c r="D18" s="538" t="s">
        <v>898</v>
      </c>
      <c r="E18" s="538" t="s">
        <v>889</v>
      </c>
      <c r="F18" s="541" t="s">
        <v>899</v>
      </c>
    </row>
    <row r="19" spans="2:9" hidden="1">
      <c r="C19" s="188" t="s">
        <v>59</v>
      </c>
      <c r="D19" s="183">
        <v>913.68642025429153</v>
      </c>
      <c r="E19" s="177">
        <v>1.5</v>
      </c>
      <c r="F19" s="540">
        <f>E19*D19/SUM($D$19:$D$28)</f>
        <v>0.2491872055238977</v>
      </c>
    </row>
    <row r="20" spans="2:9" hidden="1">
      <c r="C20" s="188" t="s">
        <v>61</v>
      </c>
      <c r="D20" s="183">
        <v>909.75658618868067</v>
      </c>
      <c r="E20" s="177">
        <v>1.5</v>
      </c>
      <c r="F20" s="540">
        <f t="shared" ref="F20:F28" si="0">E20*D20/SUM($D$19:$D$28)</f>
        <v>0.24811543259691293</v>
      </c>
    </row>
    <row r="21" spans="2:9" hidden="1">
      <c r="C21" s="188" t="s">
        <v>62</v>
      </c>
      <c r="D21" s="183">
        <v>909.75658618868067</v>
      </c>
      <c r="E21" s="177">
        <v>1.5</v>
      </c>
      <c r="F21" s="540">
        <f t="shared" si="0"/>
        <v>0.24811543259691293</v>
      </c>
    </row>
    <row r="22" spans="2:9" hidden="1">
      <c r="C22" s="539" t="s">
        <v>63</v>
      </c>
      <c r="D22" s="183">
        <v>456.84321012714531</v>
      </c>
      <c r="E22" s="177">
        <v>1</v>
      </c>
      <c r="F22" s="540">
        <f t="shared" si="0"/>
        <v>8.3062401841299149E-2</v>
      </c>
    </row>
    <row r="23" spans="2:9" hidden="1">
      <c r="C23" s="539" t="s">
        <v>64</v>
      </c>
      <c r="D23" s="183">
        <v>456.84321012714531</v>
      </c>
      <c r="E23" s="177">
        <v>0.5</v>
      </c>
      <c r="F23" s="540">
        <f t="shared" si="0"/>
        <v>4.1531200920649575E-2</v>
      </c>
    </row>
    <row r="24" spans="2:9" hidden="1">
      <c r="C24" s="539" t="s">
        <v>65</v>
      </c>
      <c r="D24" s="183">
        <v>763.37881036224758</v>
      </c>
      <c r="E24" s="177">
        <v>0.2</v>
      </c>
      <c r="F24" s="540">
        <f t="shared" si="0"/>
        <v>2.7759229467718093E-2</v>
      </c>
    </row>
    <row r="25" spans="2:9" ht="15" hidden="1" customHeight="1">
      <c r="C25" s="188" t="s">
        <v>66</v>
      </c>
      <c r="D25" s="183">
        <v>118.61264384114607</v>
      </c>
      <c r="E25" s="177">
        <v>3</v>
      </c>
      <c r="F25" s="540">
        <f t="shared" si="0"/>
        <v>6.4697805731534219E-2</v>
      </c>
    </row>
    <row r="26" spans="2:9" hidden="1">
      <c r="C26" s="188" t="s">
        <v>68</v>
      </c>
      <c r="D26" s="183">
        <v>237.22528768229213</v>
      </c>
      <c r="E26" s="177">
        <v>0</v>
      </c>
      <c r="F26" s="516">
        <f t="shared" si="0"/>
        <v>0</v>
      </c>
    </row>
    <row r="27" spans="2:9" hidden="1">
      <c r="C27" s="188" t="s">
        <v>69</v>
      </c>
      <c r="D27" s="183">
        <v>118.61264384114607</v>
      </c>
      <c r="E27" s="177">
        <v>1</v>
      </c>
      <c r="F27" s="540">
        <f t="shared" si="0"/>
        <v>2.1565935243844741E-2</v>
      </c>
    </row>
    <row r="28" spans="2:9" hidden="1">
      <c r="C28" s="188" t="s">
        <v>70</v>
      </c>
      <c r="D28" s="525">
        <v>615.28460138722585</v>
      </c>
      <c r="E28" s="177">
        <v>0</v>
      </c>
      <c r="F28" s="516">
        <f t="shared" si="0"/>
        <v>0</v>
      </c>
    </row>
    <row r="29" spans="2:9" hidden="1">
      <c r="F29" s="159">
        <f>SUM(F19:F28)</f>
        <v>0.98403464392276929</v>
      </c>
    </row>
    <row r="30" spans="2:9" hidden="1"/>
    <row r="31" spans="2:9" hidden="1"/>
    <row r="32" spans="2:9" ht="21.6" hidden="1" customHeight="1">
      <c r="B32" s="824" t="s">
        <v>900</v>
      </c>
      <c r="C32" s="824"/>
      <c r="D32" s="824"/>
      <c r="E32" s="824"/>
      <c r="F32" s="824"/>
      <c r="G32" s="824"/>
      <c r="H32" s="824"/>
      <c r="I32" s="824"/>
    </row>
    <row r="33" spans="1:11" ht="21" hidden="1" customHeight="1">
      <c r="B33" s="322" t="s">
        <v>96</v>
      </c>
      <c r="C33" s="413" t="s">
        <v>901</v>
      </c>
      <c r="D33" s="413" t="s">
        <v>902</v>
      </c>
      <c r="E33" s="413" t="s">
        <v>903</v>
      </c>
      <c r="F33" s="413" t="s">
        <v>904</v>
      </c>
      <c r="G33" s="827" t="s">
        <v>99</v>
      </c>
      <c r="H33" s="828"/>
      <c r="I33" s="828"/>
    </row>
    <row r="34" spans="1:11" ht="27" hidden="1" customHeight="1">
      <c r="B34" s="272" t="s">
        <v>905</v>
      </c>
      <c r="C34" s="414">
        <v>16.1458656</v>
      </c>
      <c r="D34" s="415">
        <v>16.1458656</v>
      </c>
      <c r="E34" s="416">
        <v>6.78</v>
      </c>
      <c r="F34" s="526"/>
      <c r="G34" s="829" t="s">
        <v>906</v>
      </c>
      <c r="H34" s="829"/>
      <c r="I34" s="829"/>
    </row>
    <row r="35" spans="1:11" hidden="1">
      <c r="B35" s="272" t="s">
        <v>907</v>
      </c>
      <c r="C35" s="417">
        <f>B78*249+C78*52+D78*(364-249-52)</f>
        <v>2835.7000000000003</v>
      </c>
      <c r="D35" s="417">
        <f>J78*249+K78*52+L78*(364-249-52)</f>
        <v>2835.7000000000003</v>
      </c>
      <c r="E35" s="417">
        <f>F78*249+G78*52+H78*(364-249-52)</f>
        <v>3837.8149797799215</v>
      </c>
      <c r="F35" s="527"/>
      <c r="G35" s="830"/>
      <c r="H35" s="830"/>
      <c r="I35" s="830"/>
      <c r="J35" s="154">
        <f>D34*D35</f>
        <v>45784.831081920005</v>
      </c>
      <c r="K35" s="154">
        <f>E34*E35</f>
        <v>26020.385562907868</v>
      </c>
    </row>
    <row r="36" spans="1:11" hidden="1">
      <c r="B36" s="162"/>
      <c r="C36" s="200"/>
      <c r="D36" s="200"/>
      <c r="E36" s="200"/>
    </row>
    <row r="37" spans="1:11" hidden="1">
      <c r="B37" s="162"/>
      <c r="C37" s="157"/>
      <c r="D37" s="418"/>
      <c r="F37" s="419"/>
      <c r="G37" s="419"/>
    </row>
    <row r="38" spans="1:11" hidden="1">
      <c r="A38" s="157"/>
      <c r="C38" s="419"/>
      <c r="D38" s="419"/>
    </row>
    <row r="39" spans="1:11" hidden="1">
      <c r="A39" s="157"/>
      <c r="C39" s="419"/>
      <c r="D39" s="419"/>
    </row>
    <row r="40" spans="1:11" hidden="1"/>
    <row r="41" spans="1:11" hidden="1"/>
    <row r="42" spans="1:11" hidden="1"/>
    <row r="43" spans="1:11" hidden="1"/>
    <row r="44" spans="1:11" hidden="1"/>
    <row r="45" spans="1:11" hidden="1"/>
    <row r="46" spans="1:11" hidden="1"/>
    <row r="47" spans="1:11" hidden="1"/>
    <row r="48" spans="1:11" hidden="1"/>
    <row r="49" spans="1:12" hidden="1"/>
    <row r="50" spans="1:12" hidden="1"/>
    <row r="51" spans="1:12" hidden="1"/>
    <row r="52" spans="1:12" hidden="1">
      <c r="B52" s="678"/>
      <c r="C52" s="678"/>
      <c r="D52" s="155"/>
      <c r="F52" s="678" t="s">
        <v>593</v>
      </c>
      <c r="G52" s="678"/>
      <c r="H52" s="678"/>
      <c r="J52" s="678" t="s">
        <v>908</v>
      </c>
      <c r="K52" s="678"/>
      <c r="L52" s="678"/>
    </row>
    <row r="53" spans="1:12" hidden="1">
      <c r="B53" s="154" t="s">
        <v>469</v>
      </c>
      <c r="C53" s="154" t="s">
        <v>470</v>
      </c>
      <c r="D53" s="154" t="s">
        <v>471</v>
      </c>
      <c r="F53" s="523" t="s">
        <v>475</v>
      </c>
      <c r="G53" s="154" t="s">
        <v>476</v>
      </c>
      <c r="H53" s="154" t="s">
        <v>909</v>
      </c>
      <c r="J53" s="154" t="s">
        <v>910</v>
      </c>
      <c r="K53" s="154" t="s">
        <v>911</v>
      </c>
      <c r="L53" s="154" t="s">
        <v>912</v>
      </c>
    </row>
    <row r="54" spans="1:12" hidden="1">
      <c r="A54" s="154">
        <v>1</v>
      </c>
      <c r="B54" s="154">
        <v>0.05</v>
      </c>
      <c r="C54" s="154">
        <v>0.05</v>
      </c>
      <c r="D54" s="154">
        <v>0.05</v>
      </c>
      <c r="F54" s="159">
        <v>0.40947755650000001</v>
      </c>
      <c r="G54" s="159">
        <v>0.1637910226</v>
      </c>
      <c r="H54" s="159">
        <v>0.1637910226</v>
      </c>
      <c r="J54" s="154">
        <v>0.05</v>
      </c>
      <c r="K54" s="154">
        <v>0.05</v>
      </c>
      <c r="L54" s="154">
        <v>0.05</v>
      </c>
    </row>
    <row r="55" spans="1:12" hidden="1">
      <c r="A55" s="154">
        <f>A54+1</f>
        <v>2</v>
      </c>
      <c r="B55" s="154">
        <v>0.05</v>
      </c>
      <c r="C55" s="154">
        <v>0.05</v>
      </c>
      <c r="D55" s="154">
        <v>0.05</v>
      </c>
      <c r="F55" s="159">
        <v>0.40947755650000001</v>
      </c>
      <c r="G55" s="159">
        <v>0.1637910226</v>
      </c>
      <c r="H55" s="159">
        <v>0.1637910226</v>
      </c>
      <c r="J55" s="154">
        <v>0.05</v>
      </c>
      <c r="K55" s="154">
        <v>0.05</v>
      </c>
      <c r="L55" s="154">
        <v>0.05</v>
      </c>
    </row>
    <row r="56" spans="1:12" hidden="1">
      <c r="A56" s="154">
        <f t="shared" ref="A56:A77" si="1">A55+1</f>
        <v>3</v>
      </c>
      <c r="B56" s="154">
        <v>0.05</v>
      </c>
      <c r="C56" s="154">
        <v>0.05</v>
      </c>
      <c r="D56" s="154">
        <v>0.05</v>
      </c>
      <c r="F56" s="159">
        <v>0.40947755650000001</v>
      </c>
      <c r="G56" s="159">
        <v>0.1637910226</v>
      </c>
      <c r="H56" s="159">
        <v>0.1637910226</v>
      </c>
      <c r="J56" s="154">
        <v>0.05</v>
      </c>
      <c r="K56" s="154">
        <v>0.05</v>
      </c>
      <c r="L56" s="154">
        <v>0.05</v>
      </c>
    </row>
    <row r="57" spans="1:12" hidden="1">
      <c r="A57" s="154">
        <f t="shared" si="1"/>
        <v>4</v>
      </c>
      <c r="B57" s="154">
        <v>0.05</v>
      </c>
      <c r="C57" s="154">
        <v>0.05</v>
      </c>
      <c r="D57" s="154">
        <v>0.05</v>
      </c>
      <c r="F57" s="159">
        <v>0.40947755650000001</v>
      </c>
      <c r="G57" s="159">
        <v>0.1637910226</v>
      </c>
      <c r="H57" s="159">
        <v>0.1637910226</v>
      </c>
      <c r="J57" s="154">
        <v>0.05</v>
      </c>
      <c r="K57" s="154">
        <v>0.05</v>
      </c>
      <c r="L57" s="154">
        <v>0.05</v>
      </c>
    </row>
    <row r="58" spans="1:12" hidden="1">
      <c r="A58" s="154">
        <f t="shared" si="1"/>
        <v>5</v>
      </c>
      <c r="B58" s="154">
        <v>0.05</v>
      </c>
      <c r="C58" s="154">
        <v>0.05</v>
      </c>
      <c r="D58" s="154">
        <v>0.05</v>
      </c>
      <c r="F58" s="159">
        <v>0.40947755650000001</v>
      </c>
      <c r="G58" s="159">
        <v>0.1637910226</v>
      </c>
      <c r="H58" s="159">
        <v>0.1637910226</v>
      </c>
      <c r="J58" s="154">
        <v>0.05</v>
      </c>
      <c r="K58" s="154">
        <v>0.05</v>
      </c>
      <c r="L58" s="154">
        <v>0.05</v>
      </c>
    </row>
    <row r="59" spans="1:12" hidden="1">
      <c r="A59" s="154">
        <f t="shared" si="1"/>
        <v>6</v>
      </c>
      <c r="B59" s="154">
        <v>0.1</v>
      </c>
      <c r="C59" s="154">
        <v>0.05</v>
      </c>
      <c r="D59" s="154">
        <v>0.05</v>
      </c>
      <c r="F59" s="159">
        <v>0.40947755650000001</v>
      </c>
      <c r="G59" s="159">
        <v>0.1637910226</v>
      </c>
      <c r="H59" s="159">
        <v>0.1637910226</v>
      </c>
      <c r="J59" s="154">
        <v>0.1</v>
      </c>
      <c r="K59" s="154">
        <v>0.05</v>
      </c>
      <c r="L59" s="154">
        <v>0.05</v>
      </c>
    </row>
    <row r="60" spans="1:12" hidden="1">
      <c r="A60" s="154">
        <f t="shared" si="1"/>
        <v>7</v>
      </c>
      <c r="B60" s="154">
        <v>0.1</v>
      </c>
      <c r="C60" s="154">
        <v>0.1</v>
      </c>
      <c r="D60" s="154">
        <v>0.05</v>
      </c>
      <c r="F60" s="159">
        <v>0.47975263350000003</v>
      </c>
      <c r="G60" s="159">
        <v>0.1637910226</v>
      </c>
      <c r="H60" s="159">
        <v>0.1637910226</v>
      </c>
      <c r="J60" s="154">
        <v>0.1</v>
      </c>
      <c r="K60" s="154">
        <v>0.1</v>
      </c>
      <c r="L60" s="154">
        <v>0.05</v>
      </c>
    </row>
    <row r="61" spans="1:12" hidden="1">
      <c r="A61" s="154">
        <f t="shared" si="1"/>
        <v>8</v>
      </c>
      <c r="B61" s="154">
        <v>0.3</v>
      </c>
      <c r="C61" s="154">
        <v>0.1</v>
      </c>
      <c r="D61" s="154">
        <v>0.05</v>
      </c>
      <c r="F61" s="159">
        <v>0.47975263350000003</v>
      </c>
      <c r="G61" s="159">
        <v>0.1637910226</v>
      </c>
      <c r="H61" s="159">
        <v>0.1637910226</v>
      </c>
      <c r="J61" s="154">
        <v>0.3</v>
      </c>
      <c r="K61" s="154">
        <v>0.1</v>
      </c>
      <c r="L61" s="154">
        <v>0.05</v>
      </c>
    </row>
    <row r="62" spans="1:12" hidden="1">
      <c r="A62" s="154">
        <f t="shared" si="1"/>
        <v>9</v>
      </c>
      <c r="B62" s="154">
        <v>0.9</v>
      </c>
      <c r="C62" s="154">
        <v>0.3</v>
      </c>
      <c r="D62" s="154">
        <v>0.05</v>
      </c>
      <c r="F62" s="159">
        <v>0.95950526700000005</v>
      </c>
      <c r="G62" s="159">
        <v>0.1637910226</v>
      </c>
      <c r="H62" s="159">
        <v>0.1637910226</v>
      </c>
      <c r="J62" s="154">
        <v>0.9</v>
      </c>
      <c r="K62" s="154">
        <v>0.3</v>
      </c>
      <c r="L62" s="154">
        <v>0.05</v>
      </c>
    </row>
    <row r="63" spans="1:12" hidden="1">
      <c r="A63" s="154">
        <f t="shared" si="1"/>
        <v>10</v>
      </c>
      <c r="B63" s="154">
        <v>0.9</v>
      </c>
      <c r="C63" s="154">
        <v>0.3</v>
      </c>
      <c r="D63" s="154">
        <v>0.05</v>
      </c>
      <c r="F63" s="159">
        <v>0.95950526700000005</v>
      </c>
      <c r="G63" s="159">
        <v>0.1637910226</v>
      </c>
      <c r="H63" s="159">
        <v>0.1637910226</v>
      </c>
      <c r="J63" s="154">
        <v>0.9</v>
      </c>
      <c r="K63" s="154">
        <v>0.3</v>
      </c>
      <c r="L63" s="154">
        <v>0.05</v>
      </c>
    </row>
    <row r="64" spans="1:12" hidden="1">
      <c r="A64" s="154">
        <f t="shared" si="1"/>
        <v>11</v>
      </c>
      <c r="B64" s="154">
        <v>0.9</v>
      </c>
      <c r="C64" s="154">
        <v>0.3</v>
      </c>
      <c r="D64" s="154">
        <v>0.05</v>
      </c>
      <c r="F64" s="159">
        <v>0.95950526700000005</v>
      </c>
      <c r="G64" s="159">
        <v>0.1637910226</v>
      </c>
      <c r="H64" s="159">
        <v>0.1637910226</v>
      </c>
      <c r="J64" s="154">
        <v>0.9</v>
      </c>
      <c r="K64" s="154">
        <v>0.3</v>
      </c>
      <c r="L64" s="154">
        <v>0.05</v>
      </c>
    </row>
    <row r="65" spans="1:12" hidden="1">
      <c r="A65" s="154">
        <f t="shared" si="1"/>
        <v>12</v>
      </c>
      <c r="B65" s="154">
        <v>0.9</v>
      </c>
      <c r="C65" s="154">
        <v>0.3</v>
      </c>
      <c r="D65" s="154">
        <v>0.05</v>
      </c>
      <c r="F65" s="159">
        <v>0.95950526700000005</v>
      </c>
      <c r="G65" s="159">
        <v>0.1637910226</v>
      </c>
      <c r="H65" s="159">
        <v>0.1637910226</v>
      </c>
      <c r="J65" s="154">
        <v>0.9</v>
      </c>
      <c r="K65" s="154">
        <v>0.3</v>
      </c>
      <c r="L65" s="154">
        <v>0.05</v>
      </c>
    </row>
    <row r="66" spans="1:12" hidden="1">
      <c r="A66" s="154">
        <f t="shared" si="1"/>
        <v>13</v>
      </c>
      <c r="B66" s="154">
        <v>0.9</v>
      </c>
      <c r="C66" s="154">
        <v>0.15</v>
      </c>
      <c r="D66" s="154">
        <v>0.05</v>
      </c>
      <c r="F66" s="159">
        <v>0.90193495097999998</v>
      </c>
      <c r="G66" s="159">
        <v>0.1637910226</v>
      </c>
      <c r="H66" s="159">
        <v>0.1637910226</v>
      </c>
      <c r="J66" s="154">
        <v>0.9</v>
      </c>
      <c r="K66" s="154">
        <v>0.15</v>
      </c>
      <c r="L66" s="154">
        <v>0.05</v>
      </c>
    </row>
    <row r="67" spans="1:12" hidden="1">
      <c r="A67" s="154">
        <f t="shared" si="1"/>
        <v>14</v>
      </c>
      <c r="B67" s="154">
        <v>0.9</v>
      </c>
      <c r="C67" s="154">
        <v>0.15</v>
      </c>
      <c r="D67" s="154">
        <v>0.05</v>
      </c>
      <c r="F67" s="159">
        <v>0.95950526700000005</v>
      </c>
      <c r="G67" s="159">
        <v>0.1637910226</v>
      </c>
      <c r="H67" s="159">
        <v>0.1637910226</v>
      </c>
      <c r="J67" s="154">
        <v>0.9</v>
      </c>
      <c r="K67" s="154">
        <v>0.15</v>
      </c>
      <c r="L67" s="154">
        <v>0.05</v>
      </c>
    </row>
    <row r="68" spans="1:12" hidden="1">
      <c r="A68" s="154">
        <f t="shared" si="1"/>
        <v>15</v>
      </c>
      <c r="B68" s="154">
        <v>0.9</v>
      </c>
      <c r="C68" s="154">
        <v>0.15</v>
      </c>
      <c r="D68" s="154">
        <v>0.05</v>
      </c>
      <c r="F68" s="159">
        <v>0.95950526700000005</v>
      </c>
      <c r="G68" s="159">
        <v>0.1637910226</v>
      </c>
      <c r="H68" s="159">
        <v>0.1637910226</v>
      </c>
      <c r="J68" s="154">
        <v>0.9</v>
      </c>
      <c r="K68" s="154">
        <v>0.15</v>
      </c>
      <c r="L68" s="154">
        <v>0.05</v>
      </c>
    </row>
    <row r="69" spans="1:12" hidden="1">
      <c r="A69" s="154">
        <f t="shared" si="1"/>
        <v>16</v>
      </c>
      <c r="B69" s="154">
        <v>0.9</v>
      </c>
      <c r="C69" s="154">
        <v>0.15</v>
      </c>
      <c r="D69" s="154">
        <v>0.05</v>
      </c>
      <c r="F69" s="159">
        <v>0.95950526700000005</v>
      </c>
      <c r="G69" s="159">
        <v>0.1637910226</v>
      </c>
      <c r="H69" s="159">
        <v>0.1637910226</v>
      </c>
      <c r="J69" s="154">
        <v>0.9</v>
      </c>
      <c r="K69" s="154">
        <v>0.15</v>
      </c>
      <c r="L69" s="154">
        <v>0.05</v>
      </c>
    </row>
    <row r="70" spans="1:12" hidden="1">
      <c r="A70" s="154">
        <f t="shared" si="1"/>
        <v>17</v>
      </c>
      <c r="B70" s="154">
        <v>0.9</v>
      </c>
      <c r="C70" s="154">
        <v>0.15</v>
      </c>
      <c r="D70" s="154">
        <v>0.05</v>
      </c>
      <c r="F70" s="159">
        <v>0.95950526700000005</v>
      </c>
      <c r="G70" s="159">
        <v>0.1637910226</v>
      </c>
      <c r="H70" s="159">
        <v>0.1637910226</v>
      </c>
      <c r="J70" s="154">
        <v>0.9</v>
      </c>
      <c r="K70" s="154">
        <v>0.15</v>
      </c>
      <c r="L70" s="154">
        <v>0.05</v>
      </c>
    </row>
    <row r="71" spans="1:12" hidden="1">
      <c r="A71" s="154">
        <f t="shared" si="1"/>
        <v>18</v>
      </c>
      <c r="B71" s="154">
        <v>0.5</v>
      </c>
      <c r="C71" s="154">
        <v>0.05</v>
      </c>
      <c r="D71" s="154">
        <v>0.05</v>
      </c>
      <c r="F71" s="159">
        <v>0.47975263350000003</v>
      </c>
      <c r="G71" s="159">
        <v>0.1637910226</v>
      </c>
      <c r="H71" s="159">
        <v>0.1637910226</v>
      </c>
      <c r="J71" s="154">
        <v>0.5</v>
      </c>
      <c r="K71" s="154">
        <v>0.05</v>
      </c>
      <c r="L71" s="154">
        <v>0.05</v>
      </c>
    </row>
    <row r="72" spans="1:12" hidden="1">
      <c r="A72" s="154">
        <f t="shared" si="1"/>
        <v>19</v>
      </c>
      <c r="B72" s="154">
        <v>0.3</v>
      </c>
      <c r="C72" s="154">
        <v>0.05</v>
      </c>
      <c r="D72" s="154">
        <v>0.05</v>
      </c>
      <c r="F72" s="159">
        <v>0.19190105339999999</v>
      </c>
      <c r="G72" s="159">
        <v>0.1637910226</v>
      </c>
      <c r="H72" s="159">
        <v>0.1637910226</v>
      </c>
      <c r="J72" s="154">
        <v>0.3</v>
      </c>
      <c r="K72" s="154">
        <v>0.05</v>
      </c>
      <c r="L72" s="154">
        <v>0.05</v>
      </c>
    </row>
    <row r="73" spans="1:12" hidden="1">
      <c r="A73" s="154">
        <f t="shared" si="1"/>
        <v>20</v>
      </c>
      <c r="B73" s="154">
        <v>0.3</v>
      </c>
      <c r="C73" s="154">
        <v>0.05</v>
      </c>
      <c r="D73" s="154">
        <v>0.05</v>
      </c>
      <c r="F73" s="159">
        <v>0.19190105339999999</v>
      </c>
      <c r="G73" s="159">
        <v>0.1637910226</v>
      </c>
      <c r="H73" s="159">
        <v>0.1637910226</v>
      </c>
      <c r="J73" s="154">
        <v>0.3</v>
      </c>
      <c r="K73" s="154">
        <v>0.05</v>
      </c>
      <c r="L73" s="154">
        <v>0.05</v>
      </c>
    </row>
    <row r="74" spans="1:12" hidden="1">
      <c r="A74" s="154">
        <f>A73+1</f>
        <v>21</v>
      </c>
      <c r="B74" s="154">
        <v>0.2</v>
      </c>
      <c r="C74" s="154">
        <v>0.05</v>
      </c>
      <c r="D74" s="154">
        <v>0.05</v>
      </c>
      <c r="F74" s="159">
        <v>0.19190105339999999</v>
      </c>
      <c r="G74" s="159">
        <v>0.1637910226</v>
      </c>
      <c r="H74" s="159">
        <v>0.1637910226</v>
      </c>
      <c r="J74" s="154">
        <v>0.2</v>
      </c>
      <c r="K74" s="154">
        <v>0.05</v>
      </c>
      <c r="L74" s="154">
        <v>0.05</v>
      </c>
    </row>
    <row r="75" spans="1:12" hidden="1">
      <c r="A75" s="154">
        <f t="shared" si="1"/>
        <v>22</v>
      </c>
      <c r="B75" s="154">
        <v>0.2</v>
      </c>
      <c r="C75" s="154">
        <v>0.05</v>
      </c>
      <c r="D75" s="154">
        <v>0.05</v>
      </c>
      <c r="F75" s="159">
        <v>0.19190105339999999</v>
      </c>
      <c r="G75" s="159">
        <v>0.1637910226</v>
      </c>
      <c r="H75" s="159">
        <v>0.1637910226</v>
      </c>
      <c r="J75" s="154">
        <v>0.2</v>
      </c>
      <c r="K75" s="154">
        <v>0.05</v>
      </c>
      <c r="L75" s="154">
        <v>0.05</v>
      </c>
    </row>
    <row r="76" spans="1:12" hidden="1">
      <c r="A76" s="154">
        <f t="shared" si="1"/>
        <v>23</v>
      </c>
      <c r="B76" s="154">
        <v>0.1</v>
      </c>
      <c r="C76" s="154">
        <v>0.05</v>
      </c>
      <c r="D76" s="154">
        <v>0.05</v>
      </c>
      <c r="F76" s="159">
        <v>0.19190105339999999</v>
      </c>
      <c r="G76" s="159">
        <v>0.1637910226</v>
      </c>
      <c r="H76" s="159">
        <v>0.1637910226</v>
      </c>
      <c r="J76" s="154">
        <v>0.1</v>
      </c>
      <c r="K76" s="154">
        <v>0.05</v>
      </c>
      <c r="L76" s="154">
        <v>0.05</v>
      </c>
    </row>
    <row r="77" spans="1:12" hidden="1">
      <c r="A77" s="154">
        <f t="shared" si="1"/>
        <v>24</v>
      </c>
      <c r="B77" s="154">
        <v>0.05</v>
      </c>
      <c r="C77" s="154">
        <v>0.05</v>
      </c>
      <c r="D77" s="154">
        <v>0.05</v>
      </c>
      <c r="F77" s="159">
        <v>0.1637910226</v>
      </c>
      <c r="G77" s="159">
        <v>0.1637910226</v>
      </c>
      <c r="H77" s="159">
        <v>0.1637910226</v>
      </c>
      <c r="J77" s="154">
        <v>0.05</v>
      </c>
      <c r="K77" s="154">
        <v>0.05</v>
      </c>
      <c r="L77" s="154">
        <v>0.05</v>
      </c>
    </row>
    <row r="78" spans="1:12" hidden="1">
      <c r="B78" s="154">
        <f>SUM(B54:B77)</f>
        <v>10.500000000000002</v>
      </c>
      <c r="C78" s="154">
        <f>SUM(C54:C77)</f>
        <v>2.7999999999999985</v>
      </c>
      <c r="D78" s="154">
        <f>SUM(D54:D77)</f>
        <v>1.2000000000000004</v>
      </c>
      <c r="F78" s="160">
        <f>SUM(F54:F77)</f>
        <v>13.597396616080006</v>
      </c>
      <c r="G78" s="160">
        <f>SUM(G54:G77)</f>
        <v>3.9309845423999983</v>
      </c>
      <c r="H78" s="160">
        <f>SUM(H54:H77)</f>
        <v>3.9309845423999983</v>
      </c>
      <c r="J78" s="154">
        <f>SUM(J54:J77)</f>
        <v>10.500000000000002</v>
      </c>
      <c r="K78" s="154">
        <f>SUM(K54:K77)</f>
        <v>2.7999999999999985</v>
      </c>
      <c r="L78" s="154">
        <f>SUM(L54:L77)</f>
        <v>1.2000000000000004</v>
      </c>
    </row>
    <row r="79" spans="1:12" hidden="1">
      <c r="L79" s="160">
        <f>SUM(J78:L78)</f>
        <v>14.500000000000002</v>
      </c>
    </row>
    <row r="80" spans="1:12" hidden="1"/>
    <row r="81" spans="1:2" s="268" customFormat="1" hidden="1">
      <c r="A81" s="267" t="s">
        <v>617</v>
      </c>
    </row>
    <row r="82" spans="1:2" hidden="1"/>
    <row r="83" spans="1:2" hidden="1">
      <c r="A83" s="154" t="s">
        <v>619</v>
      </c>
    </row>
    <row r="84" spans="1:2" hidden="1">
      <c r="B84" s="154" t="s">
        <v>913</v>
      </c>
    </row>
    <row r="85" spans="1:2" hidden="1">
      <c r="B85" s="154" t="s">
        <v>914</v>
      </c>
    </row>
    <row r="86" spans="1:2" hidden="1">
      <c r="B86" s="154" t="s">
        <v>915</v>
      </c>
    </row>
    <row r="87" spans="1:2" hidden="1">
      <c r="B87" s="154" t="s">
        <v>916</v>
      </c>
    </row>
    <row r="88" spans="1:2" hidden="1">
      <c r="B88" s="154" t="s">
        <v>917</v>
      </c>
    </row>
    <row r="89" spans="1:2" hidden="1">
      <c r="B89" s="154" t="s">
        <v>918</v>
      </c>
    </row>
    <row r="90" spans="1:2" hidden="1">
      <c r="B90" s="154" t="s">
        <v>919</v>
      </c>
    </row>
    <row r="91" spans="1:2" hidden="1">
      <c r="B91" s="154" t="s">
        <v>920</v>
      </c>
    </row>
    <row r="92" spans="1:2" hidden="1">
      <c r="B92" s="154" t="s">
        <v>921</v>
      </c>
    </row>
    <row r="93" spans="1:2" hidden="1">
      <c r="B93" s="154" t="s">
        <v>922</v>
      </c>
    </row>
    <row r="94" spans="1:2" hidden="1">
      <c r="B94" s="154" t="s">
        <v>923</v>
      </c>
    </row>
    <row r="95" spans="1:2" hidden="1">
      <c r="B95" s="154" t="s">
        <v>924</v>
      </c>
    </row>
    <row r="96" spans="1:2" hidden="1">
      <c r="B96" s="154" t="s">
        <v>925</v>
      </c>
    </row>
    <row r="97" spans="2:2" hidden="1">
      <c r="B97" s="154" t="s">
        <v>926</v>
      </c>
    </row>
    <row r="98" spans="2:2" hidden="1">
      <c r="B98" s="154" t="s">
        <v>927</v>
      </c>
    </row>
    <row r="99" spans="2:2" hidden="1">
      <c r="B99" s="154" t="s">
        <v>928</v>
      </c>
    </row>
    <row r="100" spans="2:2" hidden="1">
      <c r="B100" s="154" t="s">
        <v>929</v>
      </c>
    </row>
    <row r="101" spans="2:2" hidden="1">
      <c r="B101" s="154" t="s">
        <v>930</v>
      </c>
    </row>
    <row r="102" spans="2:2" hidden="1">
      <c r="B102" s="154" t="s">
        <v>931</v>
      </c>
    </row>
    <row r="103" spans="2:2" hidden="1">
      <c r="B103" s="154" t="s">
        <v>932</v>
      </c>
    </row>
    <row r="104" spans="2:2" hidden="1">
      <c r="B104" s="154" t="s">
        <v>933</v>
      </c>
    </row>
    <row r="105" spans="2:2" hidden="1">
      <c r="B105" s="154" t="s">
        <v>934</v>
      </c>
    </row>
    <row r="106" spans="2:2" hidden="1">
      <c r="B106" s="154" t="s">
        <v>929</v>
      </c>
    </row>
    <row r="107" spans="2:2" hidden="1">
      <c r="B107" s="154" t="s">
        <v>935</v>
      </c>
    </row>
    <row r="108" spans="2:2" hidden="1">
      <c r="B108" s="154" t="s">
        <v>936</v>
      </c>
    </row>
    <row r="109" spans="2:2" hidden="1"/>
    <row r="110" spans="2:2" hidden="1"/>
    <row r="111" spans="2:2" hidden="1"/>
    <row r="112" spans="2:2" hidden="1"/>
    <row r="113" spans="1:1" s="268" customFormat="1" hidden="1">
      <c r="A113" s="267" t="s">
        <v>593</v>
      </c>
    </row>
    <row r="114" spans="1:1" hidden="1"/>
    <row r="115" spans="1:1" hidden="1"/>
    <row r="116" spans="1:1" hidden="1">
      <c r="A116" s="158"/>
    </row>
    <row r="117" spans="1:1" hidden="1">
      <c r="A117" s="158"/>
    </row>
    <row r="118" spans="1:1" hidden="1">
      <c r="A118" s="158" t="s">
        <v>619</v>
      </c>
    </row>
    <row r="119" spans="1:1" hidden="1">
      <c r="A119" s="158" t="s">
        <v>937</v>
      </c>
    </row>
    <row r="120" spans="1:1" hidden="1">
      <c r="A120" s="158" t="s">
        <v>513</v>
      </c>
    </row>
    <row r="121" spans="1:1" hidden="1">
      <c r="A121" s="158" t="s">
        <v>596</v>
      </c>
    </row>
    <row r="122" spans="1:1" hidden="1">
      <c r="A122" s="158" t="s">
        <v>938</v>
      </c>
    </row>
    <row r="123" spans="1:1" hidden="1">
      <c r="A123" s="158" t="s">
        <v>939</v>
      </c>
    </row>
    <row r="124" spans="1:1" hidden="1">
      <c r="A124" s="158" t="s">
        <v>940</v>
      </c>
    </row>
    <row r="125" spans="1:1" hidden="1">
      <c r="A125" s="158" t="s">
        <v>941</v>
      </c>
    </row>
    <row r="126" spans="1:1" hidden="1">
      <c r="A126" s="158" t="s">
        <v>942</v>
      </c>
    </row>
    <row r="127" spans="1:1" hidden="1">
      <c r="A127" s="158" t="s">
        <v>943</v>
      </c>
    </row>
    <row r="128" spans="1:1" hidden="1">
      <c r="A128" s="158" t="s">
        <v>944</v>
      </c>
    </row>
    <row r="129" spans="1:1" hidden="1">
      <c r="A129" s="158" t="s">
        <v>945</v>
      </c>
    </row>
    <row r="130" spans="1:1" hidden="1">
      <c r="A130" s="158" t="s">
        <v>946</v>
      </c>
    </row>
    <row r="131" spans="1:1" hidden="1">
      <c r="A131" s="158" t="s">
        <v>947</v>
      </c>
    </row>
    <row r="132" spans="1:1" hidden="1">
      <c r="A132" s="158" t="s">
        <v>948</v>
      </c>
    </row>
    <row r="133" spans="1:1" hidden="1">
      <c r="A133" s="158" t="s">
        <v>949</v>
      </c>
    </row>
    <row r="134" spans="1:1" hidden="1">
      <c r="A134" s="158" t="s">
        <v>950</v>
      </c>
    </row>
    <row r="135" spans="1:1" hidden="1">
      <c r="A135" s="158" t="s">
        <v>951</v>
      </c>
    </row>
    <row r="136" spans="1:1" hidden="1">
      <c r="A136" s="158" t="s">
        <v>952</v>
      </c>
    </row>
    <row r="137" spans="1:1" hidden="1">
      <c r="A137" s="158" t="s">
        <v>953</v>
      </c>
    </row>
    <row r="138" spans="1:1" hidden="1">
      <c r="A138" s="158" t="s">
        <v>954</v>
      </c>
    </row>
    <row r="139" spans="1:1" hidden="1">
      <c r="A139" s="158" t="s">
        <v>955</v>
      </c>
    </row>
    <row r="140" spans="1:1" hidden="1">
      <c r="A140" s="158" t="s">
        <v>956</v>
      </c>
    </row>
    <row r="141" spans="1:1" hidden="1">
      <c r="A141" s="158" t="s">
        <v>957</v>
      </c>
    </row>
    <row r="142" spans="1:1" hidden="1">
      <c r="A142" s="158" t="s">
        <v>958</v>
      </c>
    </row>
    <row r="143" spans="1:1" hidden="1"/>
    <row r="144" spans="1:1" hidden="1"/>
    <row r="145" spans="1:6" hidden="1"/>
    <row r="146" spans="1:6" s="268" customFormat="1" hidden="1">
      <c r="A146" s="267" t="s">
        <v>508</v>
      </c>
    </row>
    <row r="147" spans="1:6" hidden="1"/>
    <row r="148" spans="1:6" hidden="1">
      <c r="A148" s="154" t="s">
        <v>509</v>
      </c>
      <c r="C148" s="154" t="s">
        <v>509</v>
      </c>
      <c r="F148" s="154" t="s">
        <v>509</v>
      </c>
    </row>
    <row r="149" spans="1:6" hidden="1">
      <c r="A149" s="154" t="s">
        <v>959</v>
      </c>
      <c r="C149" s="154" t="s">
        <v>960</v>
      </c>
      <c r="F149" s="154" t="s">
        <v>961</v>
      </c>
    </row>
    <row r="150" spans="1:6" hidden="1">
      <c r="A150" s="154" t="s">
        <v>962</v>
      </c>
      <c r="C150" s="154" t="s">
        <v>962</v>
      </c>
      <c r="F150" s="154" t="s">
        <v>962</v>
      </c>
    </row>
    <row r="151" spans="1:6" hidden="1">
      <c r="A151" s="154" t="s">
        <v>963</v>
      </c>
      <c r="C151" s="154" t="s">
        <v>963</v>
      </c>
      <c r="F151" s="154" t="s">
        <v>963</v>
      </c>
    </row>
    <row r="152" spans="1:6" hidden="1">
      <c r="A152" s="154" t="s">
        <v>964</v>
      </c>
      <c r="C152" s="154" t="s">
        <v>964</v>
      </c>
      <c r="F152" s="154" t="s">
        <v>964</v>
      </c>
    </row>
    <row r="153" spans="1:6" hidden="1">
      <c r="A153" s="154" t="s">
        <v>965</v>
      </c>
      <c r="C153" s="154" t="s">
        <v>965</v>
      </c>
      <c r="F153" s="154" t="s">
        <v>965</v>
      </c>
    </row>
    <row r="154" spans="1:6" hidden="1">
      <c r="A154" s="154" t="s">
        <v>966</v>
      </c>
      <c r="C154" s="154" t="s">
        <v>966</v>
      </c>
      <c r="F154" s="154" t="s">
        <v>966</v>
      </c>
    </row>
    <row r="155" spans="1:6" hidden="1">
      <c r="A155" s="154" t="s">
        <v>965</v>
      </c>
      <c r="C155" s="154" t="s">
        <v>965</v>
      </c>
      <c r="F155" s="154" t="s">
        <v>965</v>
      </c>
    </row>
    <row r="156" spans="1:6" hidden="1">
      <c r="A156" s="154" t="s">
        <v>967</v>
      </c>
      <c r="C156" s="154" t="s">
        <v>967</v>
      </c>
      <c r="F156" s="154" t="s">
        <v>967</v>
      </c>
    </row>
    <row r="157" spans="1:6" hidden="1">
      <c r="A157" s="154" t="s">
        <v>965</v>
      </c>
      <c r="C157" s="154" t="s">
        <v>965</v>
      </c>
      <c r="F157" s="154" t="s">
        <v>965</v>
      </c>
    </row>
    <row r="158" spans="1:6" hidden="1">
      <c r="A158" s="154" t="s">
        <v>968</v>
      </c>
      <c r="C158" s="154" t="s">
        <v>968</v>
      </c>
      <c r="F158" s="154" t="s">
        <v>968</v>
      </c>
    </row>
    <row r="159" spans="1:6" hidden="1">
      <c r="A159" s="154" t="s">
        <v>965</v>
      </c>
      <c r="C159" s="154" t="s">
        <v>965</v>
      </c>
      <c r="F159" s="154" t="s">
        <v>965</v>
      </c>
    </row>
    <row r="160" spans="1:6" hidden="1">
      <c r="A160" s="154" t="s">
        <v>969</v>
      </c>
      <c r="C160" s="154" t="s">
        <v>969</v>
      </c>
      <c r="F160" s="154" t="s">
        <v>969</v>
      </c>
    </row>
    <row r="161" spans="1:6" hidden="1">
      <c r="A161" s="154" t="s">
        <v>965</v>
      </c>
      <c r="C161" s="154" t="s">
        <v>965</v>
      </c>
      <c r="F161" s="154" t="s">
        <v>965</v>
      </c>
    </row>
    <row r="162" spans="1:6" hidden="1">
      <c r="A162" s="154" t="s">
        <v>970</v>
      </c>
      <c r="C162" s="154" t="s">
        <v>970</v>
      </c>
      <c r="F162" s="154" t="s">
        <v>970</v>
      </c>
    </row>
    <row r="163" spans="1:6" hidden="1">
      <c r="A163" s="154" t="s">
        <v>971</v>
      </c>
      <c r="C163" s="154" t="s">
        <v>965</v>
      </c>
      <c r="F163" s="154" t="s">
        <v>965</v>
      </c>
    </row>
    <row r="164" spans="1:6" hidden="1">
      <c r="A164" s="154" t="s">
        <v>972</v>
      </c>
      <c r="C164" s="154" t="s">
        <v>972</v>
      </c>
      <c r="F164" s="154" t="s">
        <v>972</v>
      </c>
    </row>
    <row r="165" spans="1:6" hidden="1">
      <c r="A165" s="154" t="s">
        <v>971</v>
      </c>
      <c r="C165" s="154" t="s">
        <v>971</v>
      </c>
      <c r="F165" s="154" t="s">
        <v>965</v>
      </c>
    </row>
    <row r="166" spans="1:6" hidden="1">
      <c r="A166" s="154" t="s">
        <v>973</v>
      </c>
      <c r="C166" s="154" t="s">
        <v>973</v>
      </c>
      <c r="F166" s="154" t="s">
        <v>973</v>
      </c>
    </row>
    <row r="167" spans="1:6" hidden="1">
      <c r="A167" s="154" t="s">
        <v>974</v>
      </c>
      <c r="C167" s="154" t="s">
        <v>971</v>
      </c>
      <c r="F167" s="154" t="s">
        <v>965</v>
      </c>
    </row>
    <row r="168" spans="1:6" hidden="1">
      <c r="A168" s="154" t="s">
        <v>975</v>
      </c>
      <c r="C168" s="154" t="s">
        <v>975</v>
      </c>
      <c r="F168" s="154" t="s">
        <v>975</v>
      </c>
    </row>
    <row r="169" spans="1:6" hidden="1">
      <c r="A169" s="154" t="s">
        <v>976</v>
      </c>
      <c r="C169" s="154" t="s">
        <v>974</v>
      </c>
      <c r="F169" s="154" t="s">
        <v>965</v>
      </c>
    </row>
    <row r="170" spans="1:6" hidden="1">
      <c r="A170" s="154" t="s">
        <v>977</v>
      </c>
      <c r="C170" s="154" t="s">
        <v>977</v>
      </c>
      <c r="F170" s="154" t="s">
        <v>977</v>
      </c>
    </row>
    <row r="171" spans="1:6" hidden="1">
      <c r="A171" s="154" t="s">
        <v>976</v>
      </c>
      <c r="C171" s="154" t="s">
        <v>974</v>
      </c>
      <c r="F171" s="154" t="s">
        <v>965</v>
      </c>
    </row>
    <row r="172" spans="1:6" hidden="1">
      <c r="A172" s="154" t="s">
        <v>978</v>
      </c>
      <c r="C172" s="154" t="s">
        <v>978</v>
      </c>
      <c r="F172" s="154" t="s">
        <v>978</v>
      </c>
    </row>
    <row r="173" spans="1:6" hidden="1">
      <c r="A173" s="154" t="s">
        <v>976</v>
      </c>
      <c r="C173" s="154" t="s">
        <v>974</v>
      </c>
      <c r="F173" s="154" t="s">
        <v>965</v>
      </c>
    </row>
    <row r="174" spans="1:6" hidden="1">
      <c r="A174" s="154" t="s">
        <v>979</v>
      </c>
      <c r="C174" s="154" t="s">
        <v>979</v>
      </c>
      <c r="F174" s="154" t="s">
        <v>979</v>
      </c>
    </row>
    <row r="175" spans="1:6" hidden="1">
      <c r="A175" s="154" t="s">
        <v>976</v>
      </c>
      <c r="C175" s="154" t="s">
        <v>974</v>
      </c>
      <c r="F175" s="154" t="s">
        <v>965</v>
      </c>
    </row>
    <row r="176" spans="1:6" hidden="1">
      <c r="A176" s="154" t="s">
        <v>980</v>
      </c>
      <c r="C176" s="154" t="s">
        <v>980</v>
      </c>
      <c r="F176" s="154" t="s">
        <v>980</v>
      </c>
    </row>
    <row r="177" spans="1:6" hidden="1">
      <c r="A177" s="154" t="s">
        <v>976</v>
      </c>
      <c r="C177" s="154" t="s">
        <v>981</v>
      </c>
      <c r="F177" s="154" t="s">
        <v>965</v>
      </c>
    </row>
    <row r="178" spans="1:6" hidden="1">
      <c r="A178" s="154" t="s">
        <v>982</v>
      </c>
      <c r="C178" s="154" t="s">
        <v>982</v>
      </c>
      <c r="F178" s="154" t="s">
        <v>982</v>
      </c>
    </row>
    <row r="179" spans="1:6" hidden="1">
      <c r="A179" s="154" t="s">
        <v>976</v>
      </c>
      <c r="C179" s="154" t="s">
        <v>981</v>
      </c>
      <c r="F179" s="154" t="s">
        <v>965</v>
      </c>
    </row>
    <row r="180" spans="1:6" hidden="1">
      <c r="A180" s="154" t="s">
        <v>983</v>
      </c>
      <c r="C180" s="154" t="s">
        <v>983</v>
      </c>
      <c r="F180" s="154" t="s">
        <v>983</v>
      </c>
    </row>
    <row r="181" spans="1:6" hidden="1">
      <c r="A181" s="154" t="s">
        <v>976</v>
      </c>
      <c r="C181" s="154" t="s">
        <v>981</v>
      </c>
      <c r="F181" s="154" t="s">
        <v>965</v>
      </c>
    </row>
    <row r="182" spans="1:6" hidden="1">
      <c r="A182" s="154" t="s">
        <v>984</v>
      </c>
      <c r="C182" s="154" t="s">
        <v>984</v>
      </c>
      <c r="F182" s="154" t="s">
        <v>984</v>
      </c>
    </row>
    <row r="183" spans="1:6" hidden="1">
      <c r="A183" s="154" t="s">
        <v>976</v>
      </c>
      <c r="C183" s="154" t="s">
        <v>981</v>
      </c>
      <c r="F183" s="154" t="s">
        <v>965</v>
      </c>
    </row>
    <row r="184" spans="1:6" hidden="1">
      <c r="A184" s="154" t="s">
        <v>985</v>
      </c>
      <c r="C184" s="154" t="s">
        <v>985</v>
      </c>
      <c r="F184" s="154" t="s">
        <v>985</v>
      </c>
    </row>
    <row r="185" spans="1:6" hidden="1">
      <c r="A185" s="154" t="s">
        <v>976</v>
      </c>
      <c r="C185" s="154" t="s">
        <v>981</v>
      </c>
      <c r="F185" s="154" t="s">
        <v>965</v>
      </c>
    </row>
    <row r="186" spans="1:6" hidden="1">
      <c r="A186" s="154" t="s">
        <v>986</v>
      </c>
      <c r="C186" s="154" t="s">
        <v>986</v>
      </c>
      <c r="F186" s="154" t="s">
        <v>986</v>
      </c>
    </row>
    <row r="187" spans="1:6" hidden="1">
      <c r="A187" s="154" t="s">
        <v>987</v>
      </c>
      <c r="C187" s="154" t="s">
        <v>965</v>
      </c>
      <c r="F187" s="154" t="s">
        <v>965</v>
      </c>
    </row>
    <row r="188" spans="1:6" hidden="1">
      <c r="A188" s="154" t="s">
        <v>988</v>
      </c>
      <c r="C188" s="154" t="s">
        <v>988</v>
      </c>
      <c r="F188" s="154" t="s">
        <v>988</v>
      </c>
    </row>
    <row r="189" spans="1:6" hidden="1">
      <c r="A189" s="154" t="s">
        <v>974</v>
      </c>
      <c r="C189" s="154" t="s">
        <v>965</v>
      </c>
      <c r="F189" s="154" t="s">
        <v>965</v>
      </c>
    </row>
    <row r="190" spans="1:6" hidden="1">
      <c r="A190" s="154" t="s">
        <v>989</v>
      </c>
      <c r="C190" s="154" t="s">
        <v>989</v>
      </c>
      <c r="F190" s="154" t="s">
        <v>989</v>
      </c>
    </row>
    <row r="191" spans="1:6" hidden="1">
      <c r="A191" s="154" t="s">
        <v>974</v>
      </c>
      <c r="C191" s="154" t="s">
        <v>965</v>
      </c>
      <c r="F191" s="154" t="s">
        <v>965</v>
      </c>
    </row>
    <row r="192" spans="1:6" hidden="1">
      <c r="A192" s="154" t="s">
        <v>990</v>
      </c>
      <c r="C192" s="154" t="s">
        <v>990</v>
      </c>
      <c r="F192" s="154" t="s">
        <v>990</v>
      </c>
    </row>
    <row r="193" spans="1:6" hidden="1">
      <c r="A193" s="154" t="s">
        <v>991</v>
      </c>
      <c r="C193" s="154" t="s">
        <v>965</v>
      </c>
      <c r="F193" s="154" t="s">
        <v>965</v>
      </c>
    </row>
    <row r="194" spans="1:6" hidden="1">
      <c r="A194" s="154" t="s">
        <v>992</v>
      </c>
      <c r="C194" s="154" t="s">
        <v>992</v>
      </c>
      <c r="F194" s="154" t="s">
        <v>992</v>
      </c>
    </row>
    <row r="195" spans="1:6" hidden="1">
      <c r="A195" s="154" t="s">
        <v>991</v>
      </c>
      <c r="C195" s="154" t="s">
        <v>965</v>
      </c>
      <c r="F195" s="154" t="s">
        <v>965</v>
      </c>
    </row>
    <row r="196" spans="1:6" hidden="1">
      <c r="A196" s="154" t="s">
        <v>993</v>
      </c>
      <c r="C196" s="154" t="s">
        <v>993</v>
      </c>
      <c r="F196" s="154" t="s">
        <v>993</v>
      </c>
    </row>
    <row r="197" spans="1:6" hidden="1">
      <c r="A197" s="154" t="s">
        <v>971</v>
      </c>
      <c r="C197" s="154" t="s">
        <v>965</v>
      </c>
      <c r="F197" s="154" t="s">
        <v>965</v>
      </c>
    </row>
    <row r="198" spans="1:6" hidden="1">
      <c r="A198" s="154" t="s">
        <v>994</v>
      </c>
      <c r="C198" s="154" t="s">
        <v>994</v>
      </c>
      <c r="F198" s="154" t="s">
        <v>994</v>
      </c>
    </row>
    <row r="199" spans="1:6" hidden="1">
      <c r="A199" s="154" t="s">
        <v>995</v>
      </c>
      <c r="C199" s="154" t="s">
        <v>995</v>
      </c>
      <c r="F199" s="154" t="s">
        <v>995</v>
      </c>
    </row>
  </sheetData>
  <mergeCells count="11">
    <mergeCell ref="J52:L52"/>
    <mergeCell ref="B52:C52"/>
    <mergeCell ref="F52:H52"/>
    <mergeCell ref="G33:I33"/>
    <mergeCell ref="G34:I34"/>
    <mergeCell ref="G35:I35"/>
    <mergeCell ref="C3:C10"/>
    <mergeCell ref="D3:D10"/>
    <mergeCell ref="B32:I32"/>
    <mergeCell ref="C17:F17"/>
    <mergeCell ref="A1:D1"/>
  </mergeCells>
  <hyperlinks>
    <hyperlink ref="A14" r:id="rId1" xr:uid="{0036A300-528A-4388-A1AE-34A1E55D7328}"/>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EBC7-570E-431D-A891-0E68E13886AA}">
  <dimension ref="A1:AL33"/>
  <sheetViews>
    <sheetView topLeftCell="B1" zoomScaleNormal="100" workbookViewId="0">
      <selection sqref="A1:AB1"/>
    </sheetView>
  </sheetViews>
  <sheetFormatPr defaultColWidth="9.21875" defaultRowHeight="11.4"/>
  <cols>
    <col min="1" max="1" width="18.21875" style="420" customWidth="1"/>
    <col min="2" max="2" width="15.21875" style="420" customWidth="1"/>
    <col min="3" max="4" width="9.21875" style="420"/>
    <col min="5" max="28" width="5.77734375" style="420" customWidth="1"/>
    <col min="29" max="16384" width="9.21875" style="420"/>
  </cols>
  <sheetData>
    <row r="1" spans="1:38" ht="24" customHeight="1">
      <c r="A1" s="859" t="s">
        <v>996</v>
      </c>
      <c r="B1" s="859"/>
      <c r="C1" s="859"/>
      <c r="D1" s="859"/>
      <c r="E1" s="859"/>
      <c r="F1" s="859"/>
      <c r="G1" s="859"/>
      <c r="H1" s="859"/>
      <c r="I1" s="859"/>
      <c r="J1" s="859"/>
      <c r="K1" s="859"/>
      <c r="L1" s="859"/>
      <c r="M1" s="859"/>
      <c r="N1" s="859"/>
      <c r="O1" s="859"/>
      <c r="P1" s="859"/>
      <c r="Q1" s="859"/>
      <c r="R1" s="859"/>
      <c r="S1" s="859"/>
      <c r="T1" s="859"/>
      <c r="U1" s="859"/>
      <c r="V1" s="859"/>
      <c r="W1" s="859"/>
      <c r="X1" s="859"/>
      <c r="Y1" s="859"/>
      <c r="Z1" s="859"/>
      <c r="AA1" s="859"/>
      <c r="AB1" s="859"/>
      <c r="AC1" s="435"/>
      <c r="AD1" s="435"/>
      <c r="AE1" s="435"/>
      <c r="AF1" s="435"/>
      <c r="AG1" s="435"/>
      <c r="AH1" s="436"/>
      <c r="AI1" s="436"/>
      <c r="AJ1" s="436"/>
    </row>
    <row r="2" spans="1:38" ht="24" customHeight="1">
      <c r="A2" s="864" t="s">
        <v>890</v>
      </c>
      <c r="B2" s="864" t="s">
        <v>171</v>
      </c>
      <c r="C2" s="864" t="s">
        <v>53</v>
      </c>
      <c r="D2" s="864" t="s">
        <v>997</v>
      </c>
      <c r="E2" s="867" t="s">
        <v>468</v>
      </c>
      <c r="F2" s="867"/>
      <c r="G2" s="867"/>
      <c r="H2" s="867"/>
      <c r="I2" s="867"/>
      <c r="J2" s="867"/>
      <c r="K2" s="867"/>
      <c r="L2" s="867"/>
      <c r="M2" s="867"/>
      <c r="N2" s="867"/>
      <c r="O2" s="867"/>
      <c r="P2" s="867"/>
      <c r="Q2" s="867"/>
      <c r="R2" s="867"/>
      <c r="S2" s="867"/>
      <c r="T2" s="867"/>
      <c r="U2" s="867"/>
      <c r="V2" s="867"/>
      <c r="W2" s="867"/>
      <c r="X2" s="867"/>
      <c r="Y2" s="867"/>
      <c r="Z2" s="867"/>
      <c r="AA2" s="867"/>
      <c r="AB2" s="867"/>
      <c r="AC2" s="435"/>
      <c r="AD2" s="435"/>
      <c r="AE2" s="435"/>
      <c r="AF2" s="435"/>
      <c r="AG2" s="435"/>
      <c r="AH2" s="436"/>
      <c r="AI2" s="436"/>
      <c r="AJ2" s="436"/>
    </row>
    <row r="3" spans="1:38" ht="25.2" customHeight="1" thickBot="1">
      <c r="A3" s="865"/>
      <c r="B3" s="865"/>
      <c r="C3" s="865"/>
      <c r="D3" s="865"/>
      <c r="E3" s="211">
        <v>1</v>
      </c>
      <c r="F3" s="211">
        <v>2</v>
      </c>
      <c r="G3" s="211">
        <v>3</v>
      </c>
      <c r="H3" s="211">
        <v>4</v>
      </c>
      <c r="I3" s="211">
        <v>5</v>
      </c>
      <c r="J3" s="211">
        <v>6</v>
      </c>
      <c r="K3" s="211">
        <v>7</v>
      </c>
      <c r="L3" s="211">
        <v>8</v>
      </c>
      <c r="M3" s="211">
        <v>9</v>
      </c>
      <c r="N3" s="211">
        <v>10</v>
      </c>
      <c r="O3" s="211">
        <v>11</v>
      </c>
      <c r="P3" s="211">
        <v>12</v>
      </c>
      <c r="Q3" s="211">
        <v>13</v>
      </c>
      <c r="R3" s="211">
        <v>14</v>
      </c>
      <c r="S3" s="211">
        <v>15</v>
      </c>
      <c r="T3" s="211">
        <v>16</v>
      </c>
      <c r="U3" s="211">
        <v>17</v>
      </c>
      <c r="V3" s="211">
        <v>18</v>
      </c>
      <c r="W3" s="211">
        <v>19</v>
      </c>
      <c r="X3" s="211">
        <v>20</v>
      </c>
      <c r="Y3" s="211">
        <v>21</v>
      </c>
      <c r="Z3" s="211">
        <v>22</v>
      </c>
      <c r="AA3" s="211">
        <v>23</v>
      </c>
      <c r="AB3" s="211">
        <v>24</v>
      </c>
      <c r="AC3" s="436"/>
      <c r="AD3" s="436"/>
      <c r="AE3" s="436"/>
      <c r="AF3" s="436"/>
      <c r="AG3" s="436"/>
      <c r="AH3" s="436"/>
      <c r="AI3" s="436"/>
      <c r="AJ3" s="436"/>
    </row>
    <row r="4" spans="1:38" ht="25.2" customHeight="1">
      <c r="A4" s="860" t="s">
        <v>998</v>
      </c>
      <c r="B4" s="852" t="s">
        <v>892</v>
      </c>
      <c r="C4" s="852" t="s">
        <v>999</v>
      </c>
      <c r="D4" s="439" t="s">
        <v>831</v>
      </c>
      <c r="E4" s="439">
        <v>0</v>
      </c>
      <c r="F4" s="439">
        <v>0</v>
      </c>
      <c r="G4" s="439">
        <v>0</v>
      </c>
      <c r="H4" s="439">
        <v>0</v>
      </c>
      <c r="I4" s="439">
        <v>0</v>
      </c>
      <c r="J4" s="439">
        <v>0</v>
      </c>
      <c r="K4" s="439">
        <v>0.1</v>
      </c>
      <c r="L4" s="439">
        <v>0.2</v>
      </c>
      <c r="M4" s="439">
        <v>0.95</v>
      </c>
      <c r="N4" s="439">
        <v>0.95</v>
      </c>
      <c r="O4" s="439">
        <v>0.95</v>
      </c>
      <c r="P4" s="439">
        <v>0.95</v>
      </c>
      <c r="Q4" s="439">
        <v>0.5</v>
      </c>
      <c r="R4" s="439">
        <v>0.95</v>
      </c>
      <c r="S4" s="439">
        <v>0.95</v>
      </c>
      <c r="T4" s="439">
        <v>0.95</v>
      </c>
      <c r="U4" s="439">
        <v>0.95</v>
      </c>
      <c r="V4" s="439">
        <v>0.3</v>
      </c>
      <c r="W4" s="439">
        <v>0.1</v>
      </c>
      <c r="X4" s="439">
        <v>0.1</v>
      </c>
      <c r="Y4" s="439">
        <v>0.1</v>
      </c>
      <c r="Z4" s="439">
        <v>0.1</v>
      </c>
      <c r="AA4" s="439">
        <v>0.05</v>
      </c>
      <c r="AB4" s="440">
        <v>0</v>
      </c>
      <c r="AC4" s="436"/>
      <c r="AD4" s="436"/>
      <c r="AE4" s="436"/>
      <c r="AF4" s="436"/>
      <c r="AG4" s="436"/>
      <c r="AH4" s="436"/>
      <c r="AI4" s="436"/>
      <c r="AJ4" s="436"/>
    </row>
    <row r="5" spans="1:38" ht="33" customHeight="1">
      <c r="A5" s="861"/>
      <c r="B5" s="853"/>
      <c r="C5" s="853"/>
      <c r="D5" s="438" t="s">
        <v>461</v>
      </c>
      <c r="E5" s="438">
        <v>0</v>
      </c>
      <c r="F5" s="438">
        <v>0</v>
      </c>
      <c r="G5" s="438">
        <v>0</v>
      </c>
      <c r="H5" s="438">
        <v>0</v>
      </c>
      <c r="I5" s="438">
        <v>0</v>
      </c>
      <c r="J5" s="438">
        <v>0</v>
      </c>
      <c r="K5" s="438">
        <v>0.1</v>
      </c>
      <c r="L5" s="438">
        <v>0.1</v>
      </c>
      <c r="M5" s="438">
        <v>0.3</v>
      </c>
      <c r="N5" s="438">
        <v>0.3</v>
      </c>
      <c r="O5" s="438">
        <v>0.3</v>
      </c>
      <c r="P5" s="438">
        <v>0.3</v>
      </c>
      <c r="Q5" s="438">
        <v>0.1</v>
      </c>
      <c r="R5" s="438">
        <v>0.1</v>
      </c>
      <c r="S5" s="438">
        <v>0.1</v>
      </c>
      <c r="T5" s="438">
        <v>0.1</v>
      </c>
      <c r="U5" s="438">
        <v>0.1</v>
      </c>
      <c r="V5" s="438">
        <v>0.05</v>
      </c>
      <c r="W5" s="438">
        <v>0.05</v>
      </c>
      <c r="X5" s="438">
        <v>0</v>
      </c>
      <c r="Y5" s="438">
        <v>0</v>
      </c>
      <c r="Z5" s="438">
        <v>0</v>
      </c>
      <c r="AA5" s="438">
        <v>0</v>
      </c>
      <c r="AB5" s="441">
        <v>0</v>
      </c>
      <c r="AC5" s="436"/>
      <c r="AD5" s="436"/>
      <c r="AE5" s="436"/>
      <c r="AF5" s="436"/>
      <c r="AG5" s="436"/>
      <c r="AH5" s="436"/>
      <c r="AI5" s="436"/>
      <c r="AJ5" s="436"/>
    </row>
    <row r="6" spans="1:38" ht="33" customHeight="1" thickBot="1">
      <c r="A6" s="862"/>
      <c r="B6" s="854"/>
      <c r="C6" s="854"/>
      <c r="D6" s="442" t="s">
        <v>463</v>
      </c>
      <c r="E6" s="442">
        <v>0</v>
      </c>
      <c r="F6" s="442">
        <v>0</v>
      </c>
      <c r="G6" s="442">
        <v>0</v>
      </c>
      <c r="H6" s="442">
        <v>0</v>
      </c>
      <c r="I6" s="442">
        <v>0</v>
      </c>
      <c r="J6" s="442">
        <v>0</v>
      </c>
      <c r="K6" s="442">
        <v>0.05</v>
      </c>
      <c r="L6" s="442">
        <v>0.05</v>
      </c>
      <c r="M6" s="442">
        <v>0.05</v>
      </c>
      <c r="N6" s="442">
        <v>0.05</v>
      </c>
      <c r="O6" s="442">
        <v>0.05</v>
      </c>
      <c r="P6" s="442">
        <v>0.05</v>
      </c>
      <c r="Q6" s="442">
        <v>0.05</v>
      </c>
      <c r="R6" s="442">
        <v>0.05</v>
      </c>
      <c r="S6" s="442">
        <v>0.05</v>
      </c>
      <c r="T6" s="442">
        <v>0.05</v>
      </c>
      <c r="U6" s="442">
        <v>0.05</v>
      </c>
      <c r="V6" s="442">
        <v>0.05</v>
      </c>
      <c r="W6" s="442">
        <v>0</v>
      </c>
      <c r="X6" s="442">
        <v>0</v>
      </c>
      <c r="Y6" s="442">
        <v>0</v>
      </c>
      <c r="Z6" s="442">
        <v>0</v>
      </c>
      <c r="AA6" s="442">
        <v>0</v>
      </c>
      <c r="AB6" s="443">
        <v>0</v>
      </c>
      <c r="AC6" s="436"/>
      <c r="AD6" s="436"/>
      <c r="AE6" s="436"/>
      <c r="AF6" s="436"/>
      <c r="AG6" s="436"/>
      <c r="AH6" s="436"/>
      <c r="AI6" s="436"/>
      <c r="AJ6" s="436"/>
    </row>
    <row r="7" spans="1:38" ht="38.549999999999997" customHeight="1">
      <c r="A7" s="863" t="s">
        <v>1000</v>
      </c>
      <c r="B7" s="852" t="s">
        <v>892</v>
      </c>
      <c r="C7" s="840" t="s">
        <v>999</v>
      </c>
      <c r="D7" s="423" t="s">
        <v>831</v>
      </c>
      <c r="E7" s="423">
        <v>0.05</v>
      </c>
      <c r="F7" s="423">
        <v>0.05</v>
      </c>
      <c r="G7" s="423">
        <v>0.05</v>
      </c>
      <c r="H7" s="423">
        <v>0.05</v>
      </c>
      <c r="I7" s="423">
        <v>0.05</v>
      </c>
      <c r="J7" s="423">
        <v>0.1</v>
      </c>
      <c r="K7" s="423">
        <v>0.1</v>
      </c>
      <c r="L7" s="423">
        <v>0.3</v>
      </c>
      <c r="M7" s="423">
        <v>0.65</v>
      </c>
      <c r="N7" s="423">
        <v>0.65</v>
      </c>
      <c r="O7" s="423">
        <v>0.65</v>
      </c>
      <c r="P7" s="423">
        <v>0.65</v>
      </c>
      <c r="Q7" s="423">
        <v>0.65</v>
      </c>
      <c r="R7" s="423">
        <v>0.65</v>
      </c>
      <c r="S7" s="423">
        <v>0.65</v>
      </c>
      <c r="T7" s="423">
        <v>0.65</v>
      </c>
      <c r="U7" s="423">
        <v>0.65</v>
      </c>
      <c r="V7" s="423">
        <v>0.35</v>
      </c>
      <c r="W7" s="423">
        <v>0.3</v>
      </c>
      <c r="X7" s="423">
        <v>0.3</v>
      </c>
      <c r="Y7" s="423">
        <v>0.2</v>
      </c>
      <c r="Z7" s="423">
        <v>0.2</v>
      </c>
      <c r="AA7" s="423">
        <v>0.1</v>
      </c>
      <c r="AB7" s="434">
        <v>0.05</v>
      </c>
      <c r="AC7" s="436"/>
      <c r="AD7" s="436"/>
      <c r="AE7" s="436"/>
      <c r="AF7" s="436"/>
      <c r="AG7" s="436"/>
      <c r="AH7" s="436"/>
      <c r="AI7" s="436"/>
      <c r="AJ7" s="436"/>
      <c r="AL7" s="535"/>
    </row>
    <row r="8" spans="1:38" ht="38.549999999999997" customHeight="1">
      <c r="A8" s="832"/>
      <c r="B8" s="853"/>
      <c r="C8" s="838"/>
      <c r="D8" s="421" t="s">
        <v>461</v>
      </c>
      <c r="E8" s="421">
        <v>0.05</v>
      </c>
      <c r="F8" s="421">
        <v>0.05</v>
      </c>
      <c r="G8" s="421">
        <v>0.05</v>
      </c>
      <c r="H8" s="421">
        <v>0.05</v>
      </c>
      <c r="I8" s="421">
        <v>0.05</v>
      </c>
      <c r="J8" s="421">
        <v>0.05</v>
      </c>
      <c r="K8" s="421">
        <v>0.1</v>
      </c>
      <c r="L8" s="421">
        <v>0.1</v>
      </c>
      <c r="M8" s="421">
        <v>0.3</v>
      </c>
      <c r="N8" s="421">
        <v>0.3</v>
      </c>
      <c r="O8" s="421">
        <v>0.3</v>
      </c>
      <c r="P8" s="421">
        <v>0.3</v>
      </c>
      <c r="Q8" s="421">
        <v>0.15</v>
      </c>
      <c r="R8" s="421">
        <v>0.15</v>
      </c>
      <c r="S8" s="421">
        <v>0.15</v>
      </c>
      <c r="T8" s="421">
        <v>0.15</v>
      </c>
      <c r="U8" s="421">
        <v>0.15</v>
      </c>
      <c r="V8" s="421">
        <v>0.05</v>
      </c>
      <c r="W8" s="421">
        <v>0.05</v>
      </c>
      <c r="X8" s="421">
        <v>0.05</v>
      </c>
      <c r="Y8" s="421">
        <v>0.05</v>
      </c>
      <c r="Z8" s="421">
        <v>0.05</v>
      </c>
      <c r="AA8" s="421">
        <v>0.05</v>
      </c>
      <c r="AB8" s="426">
        <v>0.05</v>
      </c>
      <c r="AC8" s="436"/>
      <c r="AD8" s="436"/>
      <c r="AE8" s="436"/>
      <c r="AF8" s="436"/>
      <c r="AG8" s="436"/>
      <c r="AH8" s="436"/>
      <c r="AI8" s="436"/>
      <c r="AJ8" s="436"/>
      <c r="AL8" s="535"/>
    </row>
    <row r="9" spans="1:38" ht="38.549999999999997" customHeight="1" thickBot="1">
      <c r="A9" s="833"/>
      <c r="B9" s="854"/>
      <c r="C9" s="839"/>
      <c r="D9" s="427" t="s">
        <v>463</v>
      </c>
      <c r="E9" s="427">
        <v>0.05</v>
      </c>
      <c r="F9" s="427">
        <v>0.05</v>
      </c>
      <c r="G9" s="427">
        <v>0.05</v>
      </c>
      <c r="H9" s="427">
        <v>0.05</v>
      </c>
      <c r="I9" s="427">
        <v>0.05</v>
      </c>
      <c r="J9" s="427">
        <v>0.05</v>
      </c>
      <c r="K9" s="427">
        <v>0.05</v>
      </c>
      <c r="L9" s="427">
        <v>0.05</v>
      </c>
      <c r="M9" s="427">
        <v>0.05</v>
      </c>
      <c r="N9" s="427">
        <v>0.05</v>
      </c>
      <c r="O9" s="427">
        <v>0.05</v>
      </c>
      <c r="P9" s="427">
        <v>0.05</v>
      </c>
      <c r="Q9" s="427">
        <v>0.05</v>
      </c>
      <c r="R9" s="427">
        <v>0.05</v>
      </c>
      <c r="S9" s="427">
        <v>0.05</v>
      </c>
      <c r="T9" s="427">
        <v>0.05</v>
      </c>
      <c r="U9" s="427">
        <v>0.05</v>
      </c>
      <c r="V9" s="427">
        <v>0.05</v>
      </c>
      <c r="W9" s="427">
        <v>0.05</v>
      </c>
      <c r="X9" s="427">
        <v>0.05</v>
      </c>
      <c r="Y9" s="427">
        <v>0.05</v>
      </c>
      <c r="Z9" s="427">
        <v>0.05</v>
      </c>
      <c r="AA9" s="427">
        <v>0.05</v>
      </c>
      <c r="AB9" s="428">
        <v>0.05</v>
      </c>
      <c r="AC9" s="436"/>
      <c r="AD9" s="436"/>
      <c r="AE9" s="436"/>
      <c r="AF9" s="436"/>
      <c r="AG9" s="436"/>
      <c r="AH9" s="436"/>
      <c r="AI9" s="436"/>
      <c r="AJ9" s="436"/>
      <c r="AL9" s="535"/>
    </row>
    <row r="10" spans="1:38" ht="36" customHeight="1">
      <c r="A10" s="841" t="s">
        <v>1001</v>
      </c>
      <c r="B10" s="852" t="s">
        <v>892</v>
      </c>
      <c r="C10" s="852" t="s">
        <v>1002</v>
      </c>
      <c r="D10" s="424" t="s">
        <v>831</v>
      </c>
      <c r="E10" s="529">
        <v>0.05</v>
      </c>
      <c r="F10" s="529">
        <v>0.05</v>
      </c>
      <c r="G10" s="529">
        <v>0.05</v>
      </c>
      <c r="H10" s="529">
        <v>0.05</v>
      </c>
      <c r="I10" s="529">
        <v>0.05</v>
      </c>
      <c r="J10" s="529">
        <v>0.1</v>
      </c>
      <c r="K10" s="529">
        <v>0.1</v>
      </c>
      <c r="L10" s="529">
        <v>0.3</v>
      </c>
      <c r="M10" s="529">
        <v>0.9</v>
      </c>
      <c r="N10" s="529">
        <v>0.9</v>
      </c>
      <c r="O10" s="529">
        <v>0.9</v>
      </c>
      <c r="P10" s="529">
        <v>0.9</v>
      </c>
      <c r="Q10" s="529">
        <v>0.9</v>
      </c>
      <c r="R10" s="529">
        <v>0.9</v>
      </c>
      <c r="S10" s="529">
        <v>0.9</v>
      </c>
      <c r="T10" s="529">
        <v>0.9</v>
      </c>
      <c r="U10" s="529">
        <v>0.9</v>
      </c>
      <c r="V10" s="529">
        <v>0.5</v>
      </c>
      <c r="W10" s="529">
        <v>0.3</v>
      </c>
      <c r="X10" s="529">
        <v>0.3</v>
      </c>
      <c r="Y10" s="529">
        <v>0.2</v>
      </c>
      <c r="Z10" s="529">
        <v>0.2</v>
      </c>
      <c r="AA10" s="529">
        <v>0.1</v>
      </c>
      <c r="AB10" s="530">
        <v>0.05</v>
      </c>
      <c r="AC10" s="437"/>
      <c r="AD10" s="436"/>
      <c r="AE10" s="436"/>
      <c r="AF10" s="436"/>
      <c r="AG10" s="436"/>
      <c r="AH10" s="436"/>
      <c r="AI10" s="436"/>
      <c r="AJ10" s="436"/>
      <c r="AL10" s="535"/>
    </row>
    <row r="11" spans="1:38" ht="36" customHeight="1">
      <c r="A11" s="842"/>
      <c r="B11" s="853"/>
      <c r="C11" s="853"/>
      <c r="D11" s="421" t="s">
        <v>461</v>
      </c>
      <c r="E11" s="528">
        <v>0.05</v>
      </c>
      <c r="F11" s="528">
        <v>0.05</v>
      </c>
      <c r="G11" s="528">
        <v>0.05</v>
      </c>
      <c r="H11" s="528">
        <v>0.05</v>
      </c>
      <c r="I11" s="528">
        <v>0.05</v>
      </c>
      <c r="J11" s="528">
        <v>0.05</v>
      </c>
      <c r="K11" s="528">
        <v>0.1</v>
      </c>
      <c r="L11" s="528">
        <v>0.1</v>
      </c>
      <c r="M11" s="528">
        <v>0.3</v>
      </c>
      <c r="N11" s="528">
        <v>0.3</v>
      </c>
      <c r="O11" s="528">
        <v>0.3</v>
      </c>
      <c r="P11" s="528">
        <v>0.3</v>
      </c>
      <c r="Q11" s="528">
        <v>0.15</v>
      </c>
      <c r="R11" s="528">
        <v>0.15</v>
      </c>
      <c r="S11" s="528">
        <v>0.15</v>
      </c>
      <c r="T11" s="528">
        <v>0.15</v>
      </c>
      <c r="U11" s="528">
        <v>0.15</v>
      </c>
      <c r="V11" s="528">
        <v>0.05</v>
      </c>
      <c r="W11" s="528">
        <v>0.05</v>
      </c>
      <c r="X11" s="528">
        <v>0.05</v>
      </c>
      <c r="Y11" s="528">
        <v>0.05</v>
      </c>
      <c r="Z11" s="528">
        <v>0.05</v>
      </c>
      <c r="AA11" s="528">
        <v>0.05</v>
      </c>
      <c r="AB11" s="531">
        <v>0.05</v>
      </c>
      <c r="AC11" s="437"/>
      <c r="AD11" s="436"/>
      <c r="AE11" s="436"/>
      <c r="AF11" s="436"/>
      <c r="AG11" s="436"/>
      <c r="AH11" s="436"/>
      <c r="AI11" s="436"/>
      <c r="AJ11" s="436"/>
      <c r="AL11" s="535"/>
    </row>
    <row r="12" spans="1:38" ht="36" customHeight="1" thickBot="1">
      <c r="A12" s="843"/>
      <c r="B12" s="854"/>
      <c r="C12" s="854"/>
      <c r="D12" s="427" t="s">
        <v>463</v>
      </c>
      <c r="E12" s="532">
        <v>0.05</v>
      </c>
      <c r="F12" s="532">
        <v>0.05</v>
      </c>
      <c r="G12" s="532">
        <v>0.05</v>
      </c>
      <c r="H12" s="532">
        <v>0.05</v>
      </c>
      <c r="I12" s="532">
        <v>0.05</v>
      </c>
      <c r="J12" s="532">
        <v>0.05</v>
      </c>
      <c r="K12" s="532">
        <v>0.05</v>
      </c>
      <c r="L12" s="532">
        <v>0.05</v>
      </c>
      <c r="M12" s="532">
        <v>0.05</v>
      </c>
      <c r="N12" s="532">
        <v>0.05</v>
      </c>
      <c r="O12" s="532">
        <v>0.05</v>
      </c>
      <c r="P12" s="532">
        <v>0.05</v>
      </c>
      <c r="Q12" s="532">
        <v>0.05</v>
      </c>
      <c r="R12" s="532">
        <v>0.05</v>
      </c>
      <c r="S12" s="532">
        <v>0.05</v>
      </c>
      <c r="T12" s="532">
        <v>0.05</v>
      </c>
      <c r="U12" s="532">
        <v>0.05</v>
      </c>
      <c r="V12" s="532">
        <v>0.05</v>
      </c>
      <c r="W12" s="532">
        <v>0.05</v>
      </c>
      <c r="X12" s="532">
        <v>0.05</v>
      </c>
      <c r="Y12" s="532">
        <v>0.05</v>
      </c>
      <c r="Z12" s="532">
        <v>0.05</v>
      </c>
      <c r="AA12" s="532">
        <v>0.05</v>
      </c>
      <c r="AB12" s="533">
        <v>0.05</v>
      </c>
      <c r="AC12" s="437"/>
      <c r="AD12" s="436"/>
      <c r="AE12" s="436"/>
      <c r="AF12" s="436"/>
      <c r="AG12" s="436"/>
      <c r="AH12" s="436"/>
      <c r="AI12" s="436"/>
      <c r="AJ12" s="436"/>
      <c r="AL12" s="535"/>
    </row>
    <row r="13" spans="1:38" ht="36" customHeight="1" thickBot="1">
      <c r="A13" s="855" t="s">
        <v>1003</v>
      </c>
      <c r="B13" s="856"/>
      <c r="C13" s="856"/>
      <c r="D13" s="856"/>
      <c r="E13" s="856"/>
      <c r="F13" s="856"/>
      <c r="G13" s="856"/>
      <c r="H13" s="856"/>
      <c r="I13" s="856"/>
      <c r="J13" s="856"/>
      <c r="K13" s="856"/>
      <c r="L13" s="856"/>
      <c r="M13" s="856"/>
      <c r="N13" s="856"/>
      <c r="O13" s="856"/>
      <c r="P13" s="856"/>
      <c r="Q13" s="856"/>
      <c r="R13" s="856"/>
      <c r="S13" s="856"/>
      <c r="T13" s="856"/>
      <c r="U13" s="856"/>
      <c r="V13" s="856"/>
      <c r="W13" s="856"/>
      <c r="X13" s="856"/>
      <c r="Y13" s="856"/>
      <c r="Z13" s="856"/>
      <c r="AA13" s="856"/>
      <c r="AB13" s="857"/>
      <c r="AC13" s="437"/>
      <c r="AD13" s="436"/>
      <c r="AE13" s="436"/>
      <c r="AF13" s="436"/>
      <c r="AG13" s="436"/>
      <c r="AH13" s="436"/>
      <c r="AI13" s="436"/>
      <c r="AJ13" s="436"/>
    </row>
    <row r="14" spans="1:38" ht="33" customHeight="1">
      <c r="A14" s="850" t="s">
        <v>1004</v>
      </c>
      <c r="B14" s="837" t="s">
        <v>1005</v>
      </c>
      <c r="C14" s="837" t="s">
        <v>1006</v>
      </c>
      <c r="D14" s="424" t="s">
        <v>831</v>
      </c>
      <c r="E14" s="424">
        <f>0</f>
        <v>0</v>
      </c>
      <c r="F14" s="424">
        <v>0</v>
      </c>
      <c r="G14" s="424">
        <v>0</v>
      </c>
      <c r="H14" s="424">
        <v>0</v>
      </c>
      <c r="I14" s="424">
        <v>0</v>
      </c>
      <c r="J14" s="424">
        <v>0</v>
      </c>
      <c r="K14" s="424">
        <v>0.2</v>
      </c>
      <c r="L14" s="424">
        <v>0.7</v>
      </c>
      <c r="M14" s="424">
        <v>1</v>
      </c>
      <c r="N14" s="424">
        <v>1</v>
      </c>
      <c r="O14" s="424">
        <v>1</v>
      </c>
      <c r="P14" s="424">
        <v>1</v>
      </c>
      <c r="Q14" s="424">
        <v>1</v>
      </c>
      <c r="R14" s="424">
        <v>1</v>
      </c>
      <c r="S14" s="424">
        <v>1</v>
      </c>
      <c r="T14" s="424">
        <v>1</v>
      </c>
      <c r="U14" s="424">
        <v>1</v>
      </c>
      <c r="V14" s="424">
        <v>0.7</v>
      </c>
      <c r="W14" s="424">
        <v>0.5</v>
      </c>
      <c r="X14" s="424">
        <v>0.3</v>
      </c>
      <c r="Y14" s="424">
        <v>0.2</v>
      </c>
      <c r="Z14" s="424">
        <v>0.2</v>
      </c>
      <c r="AA14" s="424">
        <v>0</v>
      </c>
      <c r="AB14" s="425">
        <v>0</v>
      </c>
      <c r="AC14" s="436"/>
      <c r="AD14" s="436"/>
      <c r="AE14" s="436"/>
      <c r="AF14" s="436"/>
      <c r="AG14" s="436"/>
      <c r="AH14" s="436"/>
      <c r="AI14" s="436"/>
      <c r="AJ14" s="436"/>
    </row>
    <row r="15" spans="1:38" ht="33" customHeight="1" thickBot="1">
      <c r="A15" s="851"/>
      <c r="B15" s="839"/>
      <c r="C15" s="839"/>
      <c r="D15" s="427" t="s">
        <v>461</v>
      </c>
      <c r="E15" s="427">
        <v>0</v>
      </c>
      <c r="F15" s="427">
        <v>0</v>
      </c>
      <c r="G15" s="427">
        <v>0</v>
      </c>
      <c r="H15" s="427">
        <v>0</v>
      </c>
      <c r="I15" s="427">
        <v>0</v>
      </c>
      <c r="J15" s="427">
        <v>0</v>
      </c>
      <c r="K15" s="427">
        <v>0.1</v>
      </c>
      <c r="L15" s="427">
        <v>0.1</v>
      </c>
      <c r="M15" s="427">
        <v>0.5</v>
      </c>
      <c r="N15" s="427">
        <v>0.5</v>
      </c>
      <c r="O15" s="427">
        <v>0.5</v>
      </c>
      <c r="P15" s="427">
        <v>0.5</v>
      </c>
      <c r="Q15" s="427">
        <v>0.1</v>
      </c>
      <c r="R15" s="427">
        <v>0.1</v>
      </c>
      <c r="S15" s="427">
        <v>0.1</v>
      </c>
      <c r="T15" s="427">
        <v>0.1</v>
      </c>
      <c r="U15" s="427">
        <v>0.1</v>
      </c>
      <c r="V15" s="427">
        <v>0.05</v>
      </c>
      <c r="W15" s="427">
        <v>5.0000000000000001E-3</v>
      </c>
      <c r="X15" s="427">
        <v>0</v>
      </c>
      <c r="Y15" s="427">
        <v>0</v>
      </c>
      <c r="Z15" s="427">
        <v>0</v>
      </c>
      <c r="AA15" s="427">
        <v>0</v>
      </c>
      <c r="AB15" s="428">
        <v>0</v>
      </c>
      <c r="AC15" s="436"/>
      <c r="AD15" s="436"/>
      <c r="AE15" s="436"/>
      <c r="AF15" s="436"/>
      <c r="AG15" s="436"/>
      <c r="AH15" s="436"/>
      <c r="AI15" s="436"/>
      <c r="AJ15" s="436"/>
    </row>
    <row r="16" spans="1:38" ht="38.549999999999997" customHeight="1" thickBot="1">
      <c r="A16" s="858" t="s">
        <v>1007</v>
      </c>
      <c r="B16" s="858"/>
      <c r="C16" s="858"/>
      <c r="D16" s="858"/>
      <c r="E16" s="858"/>
      <c r="F16" s="858"/>
      <c r="G16" s="858"/>
      <c r="H16" s="858"/>
      <c r="I16" s="858"/>
      <c r="J16" s="858"/>
      <c r="K16" s="858"/>
      <c r="L16" s="858"/>
      <c r="M16" s="858"/>
      <c r="N16" s="858"/>
      <c r="O16" s="858"/>
      <c r="P16" s="858"/>
      <c r="Q16" s="858"/>
      <c r="R16" s="858"/>
      <c r="S16" s="858"/>
      <c r="T16" s="858"/>
      <c r="U16" s="858"/>
      <c r="V16" s="858"/>
      <c r="W16" s="858"/>
      <c r="X16" s="858"/>
      <c r="Y16" s="858"/>
      <c r="Z16" s="858"/>
      <c r="AA16" s="858"/>
      <c r="AB16" s="858"/>
      <c r="AC16" s="436"/>
      <c r="AD16" s="436"/>
      <c r="AE16" s="436"/>
      <c r="AF16" s="436"/>
      <c r="AG16" s="436"/>
      <c r="AH16" s="436"/>
      <c r="AI16" s="436"/>
      <c r="AJ16" s="436"/>
    </row>
    <row r="17" spans="1:38" ht="33" customHeight="1">
      <c r="A17" s="847" t="s">
        <v>1008</v>
      </c>
      <c r="B17" s="844" t="s">
        <v>1009</v>
      </c>
      <c r="C17" s="837" t="s">
        <v>1010</v>
      </c>
      <c r="D17" s="424" t="s">
        <v>831</v>
      </c>
      <c r="E17" s="424">
        <v>0</v>
      </c>
      <c r="F17" s="424">
        <v>0</v>
      </c>
      <c r="G17" s="424">
        <v>0</v>
      </c>
      <c r="H17" s="424">
        <v>0</v>
      </c>
      <c r="I17" s="424">
        <v>0</v>
      </c>
      <c r="J17" s="424">
        <v>0</v>
      </c>
      <c r="K17" s="424">
        <v>0</v>
      </c>
      <c r="L17" s="424">
        <v>1</v>
      </c>
      <c r="M17" s="424">
        <v>1</v>
      </c>
      <c r="N17" s="424">
        <v>1</v>
      </c>
      <c r="O17" s="424">
        <v>1</v>
      </c>
      <c r="P17" s="424">
        <v>1</v>
      </c>
      <c r="Q17" s="424">
        <v>1</v>
      </c>
      <c r="R17" s="424">
        <v>1</v>
      </c>
      <c r="S17" s="424">
        <v>1</v>
      </c>
      <c r="T17" s="424">
        <v>1</v>
      </c>
      <c r="U17" s="424">
        <v>1</v>
      </c>
      <c r="V17" s="424">
        <v>1</v>
      </c>
      <c r="W17" s="424">
        <v>0</v>
      </c>
      <c r="X17" s="424">
        <v>0</v>
      </c>
      <c r="Y17" s="424">
        <v>0</v>
      </c>
      <c r="Z17" s="424">
        <v>0</v>
      </c>
      <c r="AA17" s="424">
        <v>0</v>
      </c>
      <c r="AB17" s="425">
        <v>0</v>
      </c>
      <c r="AC17" s="436"/>
      <c r="AD17" s="436"/>
      <c r="AE17" s="436"/>
      <c r="AF17" s="436"/>
      <c r="AG17" s="436"/>
      <c r="AH17" s="436"/>
      <c r="AI17" s="436"/>
      <c r="AJ17" s="436"/>
    </row>
    <row r="18" spans="1:38" ht="33" customHeight="1">
      <c r="A18" s="848"/>
      <c r="B18" s="845"/>
      <c r="C18" s="838"/>
      <c r="D18" s="421" t="s">
        <v>461</v>
      </c>
      <c r="E18" s="421">
        <v>0</v>
      </c>
      <c r="F18" s="421">
        <v>0</v>
      </c>
      <c r="G18" s="421">
        <v>0</v>
      </c>
      <c r="H18" s="421">
        <v>0</v>
      </c>
      <c r="I18" s="421">
        <v>0</v>
      </c>
      <c r="J18" s="421">
        <v>0</v>
      </c>
      <c r="K18" s="421">
        <v>0</v>
      </c>
      <c r="L18" s="421">
        <v>0</v>
      </c>
      <c r="M18" s="421">
        <v>1</v>
      </c>
      <c r="N18" s="421">
        <v>1</v>
      </c>
      <c r="O18" s="421">
        <v>1</v>
      </c>
      <c r="P18" s="421">
        <v>1</v>
      </c>
      <c r="Q18" s="421">
        <v>0</v>
      </c>
      <c r="R18" s="421">
        <v>0</v>
      </c>
      <c r="S18" s="421">
        <v>0</v>
      </c>
      <c r="T18" s="421">
        <v>0</v>
      </c>
      <c r="U18" s="421">
        <v>0</v>
      </c>
      <c r="V18" s="421">
        <v>0</v>
      </c>
      <c r="W18" s="421">
        <v>0</v>
      </c>
      <c r="X18" s="421">
        <v>0</v>
      </c>
      <c r="Y18" s="421">
        <v>0</v>
      </c>
      <c r="Z18" s="421">
        <v>0</v>
      </c>
      <c r="AA18" s="421">
        <v>0</v>
      </c>
      <c r="AB18" s="426">
        <v>0</v>
      </c>
      <c r="AC18" s="436"/>
      <c r="AD18" s="436"/>
      <c r="AE18" s="436"/>
      <c r="AF18" s="436"/>
      <c r="AG18" s="436"/>
      <c r="AH18" s="436"/>
      <c r="AI18" s="436"/>
      <c r="AJ18" s="436"/>
    </row>
    <row r="19" spans="1:38" ht="33" customHeight="1">
      <c r="A19" s="848"/>
      <c r="B19" s="845"/>
      <c r="C19" s="838"/>
      <c r="D19" s="421" t="s">
        <v>1011</v>
      </c>
      <c r="E19" s="421">
        <v>0</v>
      </c>
      <c r="F19" s="421">
        <v>0</v>
      </c>
      <c r="G19" s="421">
        <v>0</v>
      </c>
      <c r="H19" s="421">
        <v>0</v>
      </c>
      <c r="I19" s="421">
        <v>0</v>
      </c>
      <c r="J19" s="421">
        <v>0</v>
      </c>
      <c r="K19" s="421">
        <v>0</v>
      </c>
      <c r="L19" s="421">
        <v>0</v>
      </c>
      <c r="M19" s="421">
        <v>0</v>
      </c>
      <c r="N19" s="421">
        <v>0</v>
      </c>
      <c r="O19" s="421">
        <v>0</v>
      </c>
      <c r="P19" s="421">
        <v>0</v>
      </c>
      <c r="Q19" s="421">
        <v>0</v>
      </c>
      <c r="R19" s="421">
        <v>0</v>
      </c>
      <c r="S19" s="421">
        <v>0</v>
      </c>
      <c r="T19" s="421">
        <v>0</v>
      </c>
      <c r="U19" s="421">
        <v>0</v>
      </c>
      <c r="V19" s="421">
        <v>0</v>
      </c>
      <c r="W19" s="421">
        <v>0</v>
      </c>
      <c r="X19" s="421">
        <v>0</v>
      </c>
      <c r="Y19" s="421">
        <v>0</v>
      </c>
      <c r="Z19" s="421">
        <v>0</v>
      </c>
      <c r="AA19" s="421">
        <v>0</v>
      </c>
      <c r="AB19" s="426">
        <v>0</v>
      </c>
      <c r="AC19" s="436"/>
      <c r="AD19" s="436"/>
      <c r="AE19" s="436"/>
      <c r="AF19" s="436"/>
      <c r="AG19" s="436"/>
      <c r="AH19" s="436"/>
      <c r="AI19" s="436"/>
      <c r="AJ19" s="436"/>
    </row>
    <row r="20" spans="1:38" ht="33" customHeight="1">
      <c r="A20" s="848"/>
      <c r="B20" s="845"/>
      <c r="C20" s="838" t="s">
        <v>1012</v>
      </c>
      <c r="D20" s="421" t="s">
        <v>831</v>
      </c>
      <c r="E20" s="421">
        <v>0</v>
      </c>
      <c r="F20" s="421">
        <v>0</v>
      </c>
      <c r="G20" s="421">
        <v>0</v>
      </c>
      <c r="H20" s="421">
        <v>0</v>
      </c>
      <c r="I20" s="421">
        <v>0</v>
      </c>
      <c r="J20" s="421">
        <v>0</v>
      </c>
      <c r="K20" s="421">
        <v>1</v>
      </c>
      <c r="L20" s="421">
        <v>1</v>
      </c>
      <c r="M20" s="421">
        <v>1</v>
      </c>
      <c r="N20" s="421">
        <v>1</v>
      </c>
      <c r="O20" s="421">
        <v>1</v>
      </c>
      <c r="P20" s="421">
        <v>1</v>
      </c>
      <c r="Q20" s="421">
        <v>1</v>
      </c>
      <c r="R20" s="421">
        <v>1</v>
      </c>
      <c r="S20" s="421">
        <v>1</v>
      </c>
      <c r="T20" s="421">
        <v>1</v>
      </c>
      <c r="U20" s="421">
        <v>1</v>
      </c>
      <c r="V20" s="421">
        <v>1</v>
      </c>
      <c r="W20" s="421">
        <v>1</v>
      </c>
      <c r="X20" s="421">
        <v>1</v>
      </c>
      <c r="Y20" s="421">
        <v>1</v>
      </c>
      <c r="Z20" s="421">
        <v>1</v>
      </c>
      <c r="AA20" s="421">
        <v>0</v>
      </c>
      <c r="AB20" s="426">
        <v>0</v>
      </c>
      <c r="AC20" s="436"/>
      <c r="AD20" s="436"/>
      <c r="AE20" s="436"/>
      <c r="AF20" s="436"/>
      <c r="AG20" s="436"/>
      <c r="AH20" s="436"/>
      <c r="AI20" s="436"/>
      <c r="AJ20" s="436"/>
    </row>
    <row r="21" spans="1:38" ht="33" customHeight="1">
      <c r="A21" s="848"/>
      <c r="B21" s="845"/>
      <c r="C21" s="838"/>
      <c r="D21" s="421" t="s">
        <v>461</v>
      </c>
      <c r="E21" s="421">
        <v>0</v>
      </c>
      <c r="F21" s="421">
        <v>0</v>
      </c>
      <c r="G21" s="421">
        <v>0</v>
      </c>
      <c r="H21" s="421">
        <v>0</v>
      </c>
      <c r="I21" s="421">
        <v>0</v>
      </c>
      <c r="J21" s="421">
        <v>0</v>
      </c>
      <c r="K21" s="421">
        <v>0</v>
      </c>
      <c r="L21" s="421">
        <v>0</v>
      </c>
      <c r="M21" s="421">
        <v>0</v>
      </c>
      <c r="N21" s="421">
        <v>0</v>
      </c>
      <c r="O21" s="421">
        <v>0</v>
      </c>
      <c r="P21" s="421">
        <v>0</v>
      </c>
      <c r="Q21" s="421">
        <v>0</v>
      </c>
      <c r="R21" s="421">
        <v>0</v>
      </c>
      <c r="S21" s="421">
        <v>0</v>
      </c>
      <c r="T21" s="421">
        <v>0</v>
      </c>
      <c r="U21" s="421">
        <v>0</v>
      </c>
      <c r="V21" s="421">
        <v>0</v>
      </c>
      <c r="W21" s="421">
        <v>0</v>
      </c>
      <c r="X21" s="421">
        <v>0</v>
      </c>
      <c r="Y21" s="421">
        <v>0</v>
      </c>
      <c r="Z21" s="421">
        <v>0</v>
      </c>
      <c r="AA21" s="421">
        <v>0</v>
      </c>
      <c r="AB21" s="426">
        <v>0</v>
      </c>
      <c r="AC21" s="436"/>
      <c r="AD21" s="436"/>
      <c r="AE21" s="436"/>
      <c r="AF21" s="436"/>
      <c r="AG21" s="436"/>
      <c r="AH21" s="436"/>
      <c r="AI21" s="436"/>
      <c r="AJ21" s="436"/>
    </row>
    <row r="22" spans="1:38" ht="33" customHeight="1" thickBot="1">
      <c r="A22" s="849"/>
      <c r="B22" s="846"/>
      <c r="C22" s="839"/>
      <c r="D22" s="427" t="s">
        <v>1011</v>
      </c>
      <c r="E22" s="427">
        <v>0</v>
      </c>
      <c r="F22" s="427">
        <v>0</v>
      </c>
      <c r="G22" s="427">
        <v>0</v>
      </c>
      <c r="H22" s="427">
        <v>0</v>
      </c>
      <c r="I22" s="427">
        <v>0</v>
      </c>
      <c r="J22" s="427">
        <v>0</v>
      </c>
      <c r="K22" s="427">
        <v>0</v>
      </c>
      <c r="L22" s="427">
        <v>0</v>
      </c>
      <c r="M22" s="427">
        <v>0</v>
      </c>
      <c r="N22" s="427">
        <v>0</v>
      </c>
      <c r="O22" s="427">
        <v>0</v>
      </c>
      <c r="P22" s="427">
        <v>0</v>
      </c>
      <c r="Q22" s="427">
        <v>0</v>
      </c>
      <c r="R22" s="427">
        <v>0</v>
      </c>
      <c r="S22" s="427">
        <v>0</v>
      </c>
      <c r="T22" s="427">
        <v>0</v>
      </c>
      <c r="U22" s="427">
        <v>0</v>
      </c>
      <c r="V22" s="427">
        <v>0</v>
      </c>
      <c r="W22" s="427">
        <v>0</v>
      </c>
      <c r="X22" s="427">
        <v>0</v>
      </c>
      <c r="Y22" s="427">
        <v>0</v>
      </c>
      <c r="Z22" s="427">
        <v>0</v>
      </c>
      <c r="AA22" s="427">
        <v>0</v>
      </c>
      <c r="AB22" s="428">
        <v>0</v>
      </c>
      <c r="AC22" s="436"/>
      <c r="AD22" s="436"/>
      <c r="AE22" s="436"/>
      <c r="AF22" s="436"/>
      <c r="AG22" s="436"/>
      <c r="AH22" s="436"/>
      <c r="AI22" s="436"/>
      <c r="AJ22" s="436"/>
    </row>
    <row r="29" spans="1:38" s="534" customFormat="1" ht="21.6" hidden="1" customHeight="1">
      <c r="A29" s="866" t="s">
        <v>76</v>
      </c>
      <c r="B29" s="866"/>
      <c r="C29" s="866"/>
      <c r="D29" s="866"/>
      <c r="E29" s="866"/>
    </row>
    <row r="30" spans="1:38" ht="21.6" hidden="1" customHeight="1" thickBot="1"/>
    <row r="31" spans="1:38" ht="34.950000000000003" hidden="1" customHeight="1">
      <c r="A31" s="831" t="s">
        <v>1013</v>
      </c>
      <c r="B31" s="834" t="s">
        <v>78</v>
      </c>
      <c r="C31" s="837" t="s">
        <v>999</v>
      </c>
      <c r="D31" s="424" t="s">
        <v>831</v>
      </c>
      <c r="E31" s="429">
        <v>0.40947755650000001</v>
      </c>
      <c r="F31" s="429">
        <v>0.40947755650000001</v>
      </c>
      <c r="G31" s="429">
        <v>0.40947755650000001</v>
      </c>
      <c r="H31" s="429">
        <v>0.40947755650000001</v>
      </c>
      <c r="I31" s="429">
        <v>0.40947755650000001</v>
      </c>
      <c r="J31" s="429">
        <v>0.40947755650000001</v>
      </c>
      <c r="K31" s="429">
        <v>0.47975263350000003</v>
      </c>
      <c r="L31" s="429">
        <v>0.47975263350000003</v>
      </c>
      <c r="M31" s="429">
        <v>0.95950526700000005</v>
      </c>
      <c r="N31" s="429">
        <v>0.95950526700000005</v>
      </c>
      <c r="O31" s="429">
        <v>0.95950526700000005</v>
      </c>
      <c r="P31" s="429">
        <v>0.95950526700000005</v>
      </c>
      <c r="Q31" s="429">
        <v>0.90193495097999998</v>
      </c>
      <c r="R31" s="429">
        <v>0.95950526700000005</v>
      </c>
      <c r="S31" s="429">
        <v>0.95950526700000005</v>
      </c>
      <c r="T31" s="429">
        <v>0.95950526700000005</v>
      </c>
      <c r="U31" s="429">
        <v>0.95950526700000005</v>
      </c>
      <c r="V31" s="429">
        <v>0.47975263350000003</v>
      </c>
      <c r="W31" s="429">
        <v>0.19190105339999999</v>
      </c>
      <c r="X31" s="429">
        <v>0.19190105339999999</v>
      </c>
      <c r="Y31" s="429">
        <v>0.19190105339999999</v>
      </c>
      <c r="Z31" s="429">
        <v>0.19190105339999999</v>
      </c>
      <c r="AA31" s="429">
        <v>0.19190105339999999</v>
      </c>
      <c r="AB31" s="430">
        <v>0.1637910226</v>
      </c>
      <c r="AL31" s="535"/>
    </row>
    <row r="32" spans="1:38" ht="34.950000000000003" hidden="1" customHeight="1">
      <c r="A32" s="832"/>
      <c r="B32" s="835"/>
      <c r="C32" s="838"/>
      <c r="D32" s="421" t="s">
        <v>461</v>
      </c>
      <c r="E32" s="422">
        <v>0.1637910226</v>
      </c>
      <c r="F32" s="422">
        <v>0.1637910226</v>
      </c>
      <c r="G32" s="422">
        <v>0.1637910226</v>
      </c>
      <c r="H32" s="422">
        <v>0.1637910226</v>
      </c>
      <c r="I32" s="422">
        <v>0.1637910226</v>
      </c>
      <c r="J32" s="422">
        <v>0.1637910226</v>
      </c>
      <c r="K32" s="422">
        <v>0.1637910226</v>
      </c>
      <c r="L32" s="422">
        <v>0.1637910226</v>
      </c>
      <c r="M32" s="422">
        <v>0.1637910226</v>
      </c>
      <c r="N32" s="422">
        <v>0.1637910226</v>
      </c>
      <c r="O32" s="422">
        <v>0.1637910226</v>
      </c>
      <c r="P32" s="422">
        <v>0.1637910226</v>
      </c>
      <c r="Q32" s="422">
        <v>0.1637910226</v>
      </c>
      <c r="R32" s="422">
        <v>0.1637910226</v>
      </c>
      <c r="S32" s="422">
        <v>0.1637910226</v>
      </c>
      <c r="T32" s="422">
        <v>0.1637910226</v>
      </c>
      <c r="U32" s="422">
        <v>0.1637910226</v>
      </c>
      <c r="V32" s="422">
        <v>0.1637910226</v>
      </c>
      <c r="W32" s="422">
        <v>0.1637910226</v>
      </c>
      <c r="X32" s="422">
        <v>0.1637910226</v>
      </c>
      <c r="Y32" s="422">
        <v>0.1637910226</v>
      </c>
      <c r="Z32" s="422">
        <v>0.1637910226</v>
      </c>
      <c r="AA32" s="422">
        <v>0.1637910226</v>
      </c>
      <c r="AB32" s="431">
        <v>0.1637910226</v>
      </c>
      <c r="AL32" s="535"/>
    </row>
    <row r="33" spans="1:38" ht="34.950000000000003" hidden="1" customHeight="1" thickBot="1">
      <c r="A33" s="833"/>
      <c r="B33" s="836"/>
      <c r="C33" s="839"/>
      <c r="D33" s="427" t="s">
        <v>463</v>
      </c>
      <c r="E33" s="432">
        <v>0.1637910226</v>
      </c>
      <c r="F33" s="432">
        <v>0.1637910226</v>
      </c>
      <c r="G33" s="432">
        <v>0.1637910226</v>
      </c>
      <c r="H33" s="432">
        <v>0.1637910226</v>
      </c>
      <c r="I33" s="432">
        <v>0.1637910226</v>
      </c>
      <c r="J33" s="432">
        <v>0.1637910226</v>
      </c>
      <c r="K33" s="432">
        <v>0.1637910226</v>
      </c>
      <c r="L33" s="432">
        <v>0.1637910226</v>
      </c>
      <c r="M33" s="432">
        <v>0.1637910226</v>
      </c>
      <c r="N33" s="432">
        <v>0.1637910226</v>
      </c>
      <c r="O33" s="432">
        <v>0.1637910226</v>
      </c>
      <c r="P33" s="432">
        <v>0.1637910226</v>
      </c>
      <c r="Q33" s="432">
        <v>0.1637910226</v>
      </c>
      <c r="R33" s="432">
        <v>0.1637910226</v>
      </c>
      <c r="S33" s="432">
        <v>0.1637910226</v>
      </c>
      <c r="T33" s="432">
        <v>0.1637910226</v>
      </c>
      <c r="U33" s="432">
        <v>0.1637910226</v>
      </c>
      <c r="V33" s="432">
        <v>0.1637910226</v>
      </c>
      <c r="W33" s="432">
        <v>0.1637910226</v>
      </c>
      <c r="X33" s="432">
        <v>0.1637910226</v>
      </c>
      <c r="Y33" s="432">
        <v>0.1637910226</v>
      </c>
      <c r="Z33" s="432">
        <v>0.1637910226</v>
      </c>
      <c r="AA33" s="432">
        <v>0.1637910226</v>
      </c>
      <c r="AB33" s="433">
        <v>0.1637910226</v>
      </c>
      <c r="AL33" s="535"/>
    </row>
  </sheetData>
  <mergeCells count="28">
    <mergeCell ref="A1:AB1"/>
    <mergeCell ref="A4:A6"/>
    <mergeCell ref="A7:A9"/>
    <mergeCell ref="A2:A3"/>
    <mergeCell ref="A29:E29"/>
    <mergeCell ref="B10:B12"/>
    <mergeCell ref="B7:B9"/>
    <mergeCell ref="E2:AB2"/>
    <mergeCell ref="D2:D3"/>
    <mergeCell ref="C2:C3"/>
    <mergeCell ref="B2:B3"/>
    <mergeCell ref="C4:C6"/>
    <mergeCell ref="B4:B6"/>
    <mergeCell ref="A31:A33"/>
    <mergeCell ref="B31:B33"/>
    <mergeCell ref="C31:C33"/>
    <mergeCell ref="C7:C9"/>
    <mergeCell ref="A10:A12"/>
    <mergeCell ref="C20:C22"/>
    <mergeCell ref="B17:B22"/>
    <mergeCell ref="A17:A22"/>
    <mergeCell ref="C17:C19"/>
    <mergeCell ref="B14:B15"/>
    <mergeCell ref="A14:A15"/>
    <mergeCell ref="C14:C15"/>
    <mergeCell ref="C10:C12"/>
    <mergeCell ref="A13:AB13"/>
    <mergeCell ref="A16:AB1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9D48C-EFB6-440B-BE4F-FD4465FADBA0}">
  <sheetPr codeName="Sheet20"/>
  <dimension ref="A1:Y125"/>
  <sheetViews>
    <sheetView zoomScaleNormal="100" workbookViewId="0">
      <selection sqref="A1:E1"/>
    </sheetView>
  </sheetViews>
  <sheetFormatPr defaultColWidth="8.77734375" defaultRowHeight="13.2"/>
  <cols>
    <col min="1" max="1" width="14.44140625" style="154" customWidth="1"/>
    <col min="2" max="2" width="15.44140625" style="154" customWidth="1"/>
    <col min="3" max="3" width="19.21875" style="154" customWidth="1"/>
    <col min="4" max="5" width="18.21875" style="154" customWidth="1"/>
    <col min="6" max="8" width="13.77734375" style="154" customWidth="1"/>
    <col min="9" max="9" width="10.77734375" style="154" customWidth="1"/>
    <col min="10" max="11" width="8.77734375" style="154"/>
    <col min="12" max="12" width="13.77734375" style="154" customWidth="1"/>
    <col min="13" max="15" width="8.77734375" style="154"/>
    <col min="16" max="16" width="12.44140625" style="154" customWidth="1"/>
    <col min="17" max="16384" width="8.77734375" style="154"/>
  </cols>
  <sheetData>
    <row r="1" spans="1:5" ht="27" customHeight="1">
      <c r="A1" s="677" t="s">
        <v>1014</v>
      </c>
      <c r="B1" s="677"/>
      <c r="C1" s="677"/>
      <c r="D1" s="677"/>
      <c r="E1" s="677"/>
    </row>
    <row r="2" spans="1:5" ht="39.6" customHeight="1">
      <c r="A2" s="402" t="s">
        <v>5</v>
      </c>
      <c r="B2" s="452" t="s">
        <v>256</v>
      </c>
      <c r="C2" s="452" t="s">
        <v>1015</v>
      </c>
      <c r="D2" s="452" t="s">
        <v>1016</v>
      </c>
      <c r="E2" s="452" t="s">
        <v>1017</v>
      </c>
    </row>
    <row r="3" spans="1:5" ht="19.2" customHeight="1">
      <c r="A3" s="868" t="s">
        <v>130</v>
      </c>
      <c r="B3" s="398">
        <v>1</v>
      </c>
      <c r="C3" s="453">
        <v>12266.11408574131</v>
      </c>
      <c r="D3" s="414">
        <v>9.7741640229982352</v>
      </c>
      <c r="E3" s="414">
        <v>16.646321611939616</v>
      </c>
    </row>
    <row r="4" spans="1:5" ht="19.2" customHeight="1">
      <c r="A4" s="807"/>
      <c r="B4" s="398">
        <v>2</v>
      </c>
      <c r="C4" s="453">
        <v>27043.8384758582</v>
      </c>
      <c r="D4" s="414">
        <v>7.4966238152235025</v>
      </c>
      <c r="E4" s="414">
        <v>19.105857035872042</v>
      </c>
    </row>
    <row r="5" spans="1:5" ht="19.2" customHeight="1">
      <c r="A5" s="807"/>
      <c r="B5" s="398">
        <v>3</v>
      </c>
      <c r="C5" s="453">
        <v>84713.74437378686</v>
      </c>
      <c r="D5" s="414">
        <v>8.6155906896103289</v>
      </c>
      <c r="E5" s="414">
        <v>25.476361423459263</v>
      </c>
    </row>
    <row r="6" spans="1:5" ht="19.2" customHeight="1">
      <c r="A6" s="807"/>
      <c r="B6" s="398">
        <v>4</v>
      </c>
      <c r="C6" s="453">
        <v>41709.971209362368</v>
      </c>
      <c r="D6" s="414">
        <v>8.8471334467907088</v>
      </c>
      <c r="E6" s="414">
        <v>24.602159235234229</v>
      </c>
    </row>
    <row r="7" spans="1:5" ht="19.2" customHeight="1">
      <c r="A7" s="807"/>
      <c r="B7" s="398">
        <v>5</v>
      </c>
      <c r="C7" s="453">
        <v>11346.862897047999</v>
      </c>
      <c r="D7" s="414">
        <v>6.7309765194684639</v>
      </c>
      <c r="E7" s="414">
        <v>36.311721582930339</v>
      </c>
    </row>
    <row r="8" spans="1:5" ht="19.2" customHeight="1">
      <c r="A8" s="807"/>
      <c r="B8" s="398">
        <v>6</v>
      </c>
      <c r="C8" s="453">
        <v>58977.886320562669</v>
      </c>
      <c r="D8" s="414">
        <v>8.0131743062499154</v>
      </c>
      <c r="E8" s="414">
        <v>11.794833701649695</v>
      </c>
    </row>
    <row r="9" spans="1:5" ht="19.2" customHeight="1">
      <c r="A9" s="807"/>
      <c r="B9" s="398">
        <v>7</v>
      </c>
      <c r="C9" s="453">
        <v>54998.942177082899</v>
      </c>
      <c r="D9" s="414">
        <v>10.614042287627566</v>
      </c>
      <c r="E9" s="414">
        <v>23.197897354076286</v>
      </c>
    </row>
    <row r="10" spans="1:5" ht="19.2" customHeight="1">
      <c r="A10" s="807"/>
      <c r="B10" s="398">
        <v>8</v>
      </c>
      <c r="C10" s="453">
        <v>86412.553672353024</v>
      </c>
      <c r="D10" s="414">
        <v>7.8984861405736986</v>
      </c>
      <c r="E10" s="414">
        <v>10.936175145158129</v>
      </c>
    </row>
    <row r="11" spans="1:5" ht="19.2" customHeight="1">
      <c r="A11" s="807"/>
      <c r="B11" s="398">
        <v>9</v>
      </c>
      <c r="C11" s="453">
        <v>113686.83680527235</v>
      </c>
      <c r="D11" s="414">
        <v>8.3050517175497909</v>
      </c>
      <c r="E11" s="414">
        <v>17.66555939059754</v>
      </c>
    </row>
    <row r="12" spans="1:5" ht="19.2" customHeight="1">
      <c r="A12" s="807"/>
      <c r="B12" s="398">
        <v>10</v>
      </c>
      <c r="C12" s="453">
        <v>79022.554204927146</v>
      </c>
      <c r="D12" s="414">
        <v>9.0103031286764974</v>
      </c>
      <c r="E12" s="414">
        <v>14.497848990797333</v>
      </c>
    </row>
    <row r="13" spans="1:5" ht="19.2" customHeight="1">
      <c r="A13" s="807"/>
      <c r="B13" s="398">
        <v>11</v>
      </c>
      <c r="C13" s="453">
        <v>37487.535087376062</v>
      </c>
      <c r="D13" s="414">
        <v>11.122797255693765</v>
      </c>
      <c r="E13" s="414">
        <v>17.209950987464637</v>
      </c>
    </row>
    <row r="14" spans="1:5" ht="19.2" customHeight="1">
      <c r="A14" s="807"/>
      <c r="B14" s="398">
        <v>12</v>
      </c>
      <c r="C14" s="453">
        <v>150208.53733644707</v>
      </c>
      <c r="D14" s="414">
        <v>10.531811551636457</v>
      </c>
      <c r="E14" s="414">
        <v>18.092292608345947</v>
      </c>
    </row>
    <row r="15" spans="1:5" ht="19.2" customHeight="1">
      <c r="A15" s="807"/>
      <c r="B15" s="398">
        <v>13</v>
      </c>
      <c r="C15" s="453">
        <v>50088.741728662513</v>
      </c>
      <c r="D15" s="414">
        <v>10.599372474615235</v>
      </c>
      <c r="E15" s="414">
        <v>14.800413332358696</v>
      </c>
    </row>
    <row r="16" spans="1:5" ht="19.2" customHeight="1">
      <c r="A16" s="807"/>
      <c r="B16" s="398">
        <v>14</v>
      </c>
      <c r="C16" s="453">
        <v>17714.031290219191</v>
      </c>
      <c r="D16" s="414">
        <v>7.6525076689063569</v>
      </c>
      <c r="E16" s="414">
        <v>13.412827581676545</v>
      </c>
    </row>
    <row r="17" spans="1:9" ht="19.2" customHeight="1">
      <c r="A17" s="807"/>
      <c r="B17" s="398">
        <v>15</v>
      </c>
      <c r="C17" s="453">
        <v>41832.554330134873</v>
      </c>
      <c r="D17" s="414">
        <v>8.9961186129426807</v>
      </c>
      <c r="E17" s="414">
        <v>7.0822567169093018</v>
      </c>
    </row>
    <row r="18" spans="1:9" ht="19.2" customHeight="1">
      <c r="A18" s="808"/>
      <c r="B18" s="398">
        <v>16</v>
      </c>
      <c r="C18" s="453">
        <v>74949.993530175241</v>
      </c>
      <c r="D18" s="414">
        <v>9.3327757656757377</v>
      </c>
      <c r="E18" s="414">
        <v>15.48706868026718</v>
      </c>
    </row>
    <row r="20" spans="1:9">
      <c r="A20" s="154" t="s">
        <v>1018</v>
      </c>
    </row>
    <row r="21" spans="1:9">
      <c r="A21" s="154" t="s">
        <v>1019</v>
      </c>
    </row>
    <row r="25" spans="1:9" s="207" customFormat="1" hidden="1">
      <c r="A25" s="207" t="s">
        <v>76</v>
      </c>
      <c r="E25" s="208"/>
      <c r="F25" s="209"/>
      <c r="G25" s="210"/>
    </row>
    <row r="26" spans="1:9" hidden="1"/>
    <row r="27" spans="1:9" ht="39.6" hidden="1">
      <c r="A27" s="454" t="s">
        <v>268</v>
      </c>
      <c r="B27" s="299" t="s">
        <v>1020</v>
      </c>
      <c r="C27" s="299" t="s">
        <v>1021</v>
      </c>
      <c r="D27" s="455" t="s">
        <v>1022</v>
      </c>
      <c r="E27" s="455" t="s">
        <v>1023</v>
      </c>
      <c r="F27" s="455" t="s">
        <v>1024</v>
      </c>
      <c r="G27" s="299" t="s">
        <v>1017</v>
      </c>
      <c r="H27" s="299" t="s">
        <v>1025</v>
      </c>
      <c r="I27" s="299" t="s">
        <v>1026</v>
      </c>
    </row>
    <row r="28" spans="1:9" hidden="1">
      <c r="A28" s="456" t="s">
        <v>283</v>
      </c>
      <c r="B28" s="456" t="s">
        <v>282</v>
      </c>
      <c r="C28" s="457">
        <v>729220.64292341296</v>
      </c>
      <c r="D28" s="458">
        <v>8.9107862761175909</v>
      </c>
      <c r="E28" s="457">
        <v>6497.9292972235899</v>
      </c>
      <c r="F28" s="459">
        <v>6.9472618404239406E-2</v>
      </c>
      <c r="G28" s="460">
        <v>18.4126518663243</v>
      </c>
      <c r="H28" s="457">
        <v>134268858.31885999</v>
      </c>
      <c r="I28" s="313">
        <v>5.96666874499171E-2</v>
      </c>
    </row>
    <row r="29" spans="1:9" hidden="1">
      <c r="A29" s="456" t="s">
        <v>283</v>
      </c>
      <c r="B29" s="456" t="s">
        <v>284</v>
      </c>
      <c r="C29" s="461">
        <v>119595.577569407</v>
      </c>
      <c r="D29" s="462">
        <v>9.1607126710965296</v>
      </c>
      <c r="E29" s="457">
        <v>1095.5807228471799</v>
      </c>
      <c r="F29" s="463">
        <v>5.1121524623256601E-2</v>
      </c>
      <c r="G29" s="464">
        <v>22.852915968004599</v>
      </c>
      <c r="H29" s="465">
        <v>27331076.8433863</v>
      </c>
      <c r="I29" s="313">
        <v>6.1329054850815502E-2</v>
      </c>
    </row>
    <row r="30" spans="1:9" hidden="1">
      <c r="A30" s="456" t="s">
        <v>283</v>
      </c>
      <c r="B30" s="456" t="s">
        <v>285</v>
      </c>
      <c r="C30" s="461">
        <v>33616.997018630398</v>
      </c>
      <c r="D30" s="462">
        <v>7.4853782247682501</v>
      </c>
      <c r="E30" s="457">
        <v>251.63593746535599</v>
      </c>
      <c r="F30" s="463">
        <v>9.6269719338166096E-2</v>
      </c>
      <c r="G30" s="464">
        <v>19.118001246539901</v>
      </c>
      <c r="H30" s="465">
        <v>6426897.9090710599</v>
      </c>
      <c r="I30" s="313">
        <v>9.6846802373571295E-2</v>
      </c>
    </row>
    <row r="31" spans="1:9" hidden="1">
      <c r="A31" s="456" t="s">
        <v>283</v>
      </c>
      <c r="B31" s="456" t="s">
        <v>286</v>
      </c>
      <c r="C31" s="461">
        <v>9405.1639436092391</v>
      </c>
      <c r="D31" s="462">
        <v>12.247810612315099</v>
      </c>
      <c r="E31" s="457">
        <v>115.192666759101</v>
      </c>
      <c r="F31" s="463">
        <v>0.134850944761924</v>
      </c>
      <c r="G31" s="464">
        <v>28.286510997213099</v>
      </c>
      <c r="H31" s="465">
        <v>2660392.7332149502</v>
      </c>
      <c r="I31" s="313">
        <v>0.15551675449649499</v>
      </c>
    </row>
    <row r="32" spans="1:9" hidden="1">
      <c r="A32" s="456" t="s">
        <v>283</v>
      </c>
      <c r="B32" s="456" t="s">
        <v>287</v>
      </c>
      <c r="C32" s="461">
        <v>45237.817363033399</v>
      </c>
      <c r="D32" s="462">
        <v>10.2380592179762</v>
      </c>
      <c r="E32" s="457">
        <v>463.14745305472798</v>
      </c>
      <c r="F32" s="463">
        <v>8.6968601248933103E-2</v>
      </c>
      <c r="G32" s="464">
        <v>12.1512379866186</v>
      </c>
      <c r="H32" s="465">
        <v>5496954.8477340499</v>
      </c>
      <c r="I32" s="313">
        <v>5.8292862221122198E-2</v>
      </c>
    </row>
    <row r="33" spans="1:25" hidden="1">
      <c r="A33" s="456" t="s">
        <v>283</v>
      </c>
      <c r="B33" s="456" t="s">
        <v>288</v>
      </c>
      <c r="C33" s="461">
        <v>43153.105531319401</v>
      </c>
      <c r="D33" s="462">
        <v>11.1200992810291</v>
      </c>
      <c r="E33" s="457">
        <v>479.86681779299698</v>
      </c>
      <c r="F33" s="463">
        <v>8.51480789141906E-2</v>
      </c>
      <c r="G33" s="464">
        <v>15.1928344532295</v>
      </c>
      <c r="H33" s="465">
        <v>6556179.8848007796</v>
      </c>
      <c r="I33" s="313">
        <v>6.9670951029196806E-2</v>
      </c>
    </row>
    <row r="34" spans="1:25" hidden="1">
      <c r="A34" s="456" t="s">
        <v>283</v>
      </c>
      <c r="B34" s="456" t="s">
        <v>289</v>
      </c>
      <c r="C34" s="461">
        <v>34954.8250034964</v>
      </c>
      <c r="D34" s="462">
        <v>6.7295320962489598</v>
      </c>
      <c r="E34" s="457">
        <v>235.22961677979501</v>
      </c>
      <c r="F34" s="463">
        <v>0.100918332402126</v>
      </c>
      <c r="G34" s="464">
        <v>36.414803753733899</v>
      </c>
      <c r="H34" s="465">
        <v>12728730.9274843</v>
      </c>
      <c r="I34" s="313">
        <v>0.16679848361268099</v>
      </c>
    </row>
    <row r="35" spans="1:25" hidden="1">
      <c r="A35" s="456" t="s">
        <v>283</v>
      </c>
      <c r="B35" s="456" t="s">
        <v>290</v>
      </c>
      <c r="C35" s="461">
        <v>168128.07741813399</v>
      </c>
      <c r="D35" s="462">
        <v>7.4809050283844698</v>
      </c>
      <c r="E35" s="457">
        <v>1257.7501797699299</v>
      </c>
      <c r="F35" s="463">
        <v>6.4676279788134894E-2</v>
      </c>
      <c r="G35" s="464">
        <v>10.462719486898299</v>
      </c>
      <c r="H35" s="465">
        <v>17590769.1189746</v>
      </c>
      <c r="I35" s="313">
        <v>3.3022227695205797E-2</v>
      </c>
    </row>
    <row r="36" spans="1:25" hidden="1">
      <c r="A36" s="456" t="s">
        <v>283</v>
      </c>
      <c r="B36" s="456" t="s">
        <v>291</v>
      </c>
      <c r="C36" s="461">
        <v>24229.8711410219</v>
      </c>
      <c r="D36" s="462">
        <v>7.0997851810854096</v>
      </c>
      <c r="E36" s="457">
        <v>172.02688006663598</v>
      </c>
      <c r="F36" s="463">
        <v>8.2931727175147602E-2</v>
      </c>
      <c r="G36" s="464">
        <v>9.9914596699029392</v>
      </c>
      <c r="H36" s="465">
        <v>2420917.8031246602</v>
      </c>
      <c r="I36" s="313">
        <v>4.0934188983236398E-2</v>
      </c>
    </row>
    <row r="37" spans="1:25" hidden="1">
      <c r="A37" s="456" t="s">
        <v>283</v>
      </c>
      <c r="B37" s="456" t="s">
        <v>292</v>
      </c>
      <c r="C37" s="461">
        <v>11692.4715124552</v>
      </c>
      <c r="D37" s="462">
        <v>8.2779572521261802</v>
      </c>
      <c r="E37" s="457">
        <v>96.789779351807098</v>
      </c>
      <c r="F37" s="463">
        <v>7.3941338894994907E-2</v>
      </c>
      <c r="G37" s="464">
        <v>13.0509885814238</v>
      </c>
      <c r="H37" s="465">
        <v>1525983.12197676</v>
      </c>
      <c r="I37" s="313">
        <v>5.3068389307681298E-2</v>
      </c>
    </row>
    <row r="38" spans="1:25" hidden="1">
      <c r="A38" s="456" t="s">
        <v>283</v>
      </c>
      <c r="B38" s="456" t="s">
        <v>293</v>
      </c>
      <c r="C38" s="461">
        <v>33664.067962068999</v>
      </c>
      <c r="D38" s="462">
        <v>7.4907855057867003</v>
      </c>
      <c r="E38" s="457">
        <v>252.17031235608499</v>
      </c>
      <c r="F38" s="463">
        <v>4.7515324280336502E-2</v>
      </c>
      <c r="G38" s="464">
        <v>15.531345720731199</v>
      </c>
      <c r="H38" s="465">
        <v>5228482.7788508404</v>
      </c>
      <c r="I38" s="313">
        <v>4.0201213931553098E-2</v>
      </c>
    </row>
    <row r="39" spans="1:25" hidden="1">
      <c r="A39" s="456" t="s">
        <v>283</v>
      </c>
      <c r="B39" s="456" t="s">
        <v>294</v>
      </c>
      <c r="C39" s="461">
        <v>35588.191164836702</v>
      </c>
      <c r="D39" s="462">
        <v>8.9209026200610602</v>
      </c>
      <c r="E39" s="457">
        <v>317.47878780562502</v>
      </c>
      <c r="F39" s="463">
        <v>7.2140397678845905E-2</v>
      </c>
      <c r="G39" s="464">
        <v>6.7585920908378796</v>
      </c>
      <c r="H39" s="465">
        <v>2405260.6733389199</v>
      </c>
      <c r="I39" s="313">
        <v>2.30640151560117E-2</v>
      </c>
    </row>
    <row r="40" spans="1:25" hidden="1">
      <c r="A40" s="456" t="s">
        <v>283</v>
      </c>
      <c r="B40" s="456" t="s">
        <v>295</v>
      </c>
      <c r="C40" s="461">
        <v>66439.552526901098</v>
      </c>
      <c r="D40" s="462">
        <v>10.7564745443751</v>
      </c>
      <c r="E40" s="457">
        <v>714.65535549528397</v>
      </c>
      <c r="F40" s="463">
        <v>0.103214878479746</v>
      </c>
      <c r="G40" s="464">
        <v>24.260094422715099</v>
      </c>
      <c r="H40" s="465">
        <v>16118298.177055599</v>
      </c>
      <c r="I40" s="313">
        <v>8.1236962548796393E-2</v>
      </c>
    </row>
    <row r="41" spans="1:25" hidden="1">
      <c r="A41" s="456" t="s">
        <v>283</v>
      </c>
      <c r="B41" s="456" t="s">
        <v>296</v>
      </c>
      <c r="C41" s="461">
        <v>21127.579698825699</v>
      </c>
      <c r="D41" s="462">
        <v>10.166137912198</v>
      </c>
      <c r="E41" s="457">
        <v>214.78588896921599</v>
      </c>
      <c r="F41" s="463">
        <v>7.9379542774958595E-2</v>
      </c>
      <c r="G41" s="464">
        <v>19.8576237006504</v>
      </c>
      <c r="H41" s="465">
        <v>4195435.2736478196</v>
      </c>
      <c r="I41" s="313">
        <v>7.7140996030821293E-2</v>
      </c>
    </row>
    <row r="42" spans="1:25" hidden="1">
      <c r="A42" s="456" t="s">
        <v>283</v>
      </c>
      <c r="B42" s="456" t="s">
        <v>297</v>
      </c>
      <c r="C42" s="461">
        <v>29100.3242667962</v>
      </c>
      <c r="D42" s="462">
        <v>10.459344174247301</v>
      </c>
      <c r="E42" s="457">
        <v>304.37030708862301</v>
      </c>
      <c r="F42" s="463">
        <v>7.1341432613403893E-2</v>
      </c>
      <c r="G42" s="464">
        <v>28.241891521061699</v>
      </c>
      <c r="H42" s="465">
        <v>10874612.099108901</v>
      </c>
      <c r="I42" s="313">
        <v>0.121526584688293</v>
      </c>
    </row>
    <row r="43" spans="1:25" hidden="1">
      <c r="A43" s="456" t="s">
        <v>283</v>
      </c>
      <c r="B43" s="456" t="s">
        <v>298</v>
      </c>
      <c r="C43" s="461">
        <v>38649.953145301697</v>
      </c>
      <c r="D43" s="462">
        <v>10.333947960239501</v>
      </c>
      <c r="E43" s="457">
        <v>399.40660446924198</v>
      </c>
      <c r="F43" s="463">
        <v>5.7387573585142203E-2</v>
      </c>
      <c r="G43" s="464">
        <v>12.252374101207501</v>
      </c>
      <c r="H43" s="465">
        <v>10915477.840237301</v>
      </c>
      <c r="I43" s="313">
        <v>5.0856958299953098E-2</v>
      </c>
    </row>
    <row r="44" spans="1:25" hidden="1">
      <c r="A44" s="456" t="s">
        <v>283</v>
      </c>
      <c r="B44" s="456" t="s">
        <v>299</v>
      </c>
      <c r="C44" s="461">
        <v>14637.067657575701</v>
      </c>
      <c r="D44" s="462">
        <v>8.7341255873627297</v>
      </c>
      <c r="E44" s="457">
        <v>127.841987151992</v>
      </c>
      <c r="F44" s="463">
        <v>6.5657927635700497E-2</v>
      </c>
      <c r="G44" s="464">
        <v>37.369384613754796</v>
      </c>
      <c r="H44" s="465">
        <v>1793388.2868530301</v>
      </c>
      <c r="I44" s="313">
        <v>4.0174471751225703E-2</v>
      </c>
    </row>
    <row r="45" spans="1:25" ht="13.8" hidden="1" thickBot="1">
      <c r="A45" s="456" t="s">
        <v>283</v>
      </c>
      <c r="I45" s="313"/>
    </row>
    <row r="46" spans="1:25" ht="13.8" hidden="1" thickBot="1">
      <c r="A46" s="466"/>
      <c r="B46" s="466"/>
      <c r="C46" s="872" t="s">
        <v>1027</v>
      </c>
      <c r="D46" s="873"/>
      <c r="E46" s="874"/>
      <c r="F46" s="270"/>
      <c r="G46" s="872" t="s">
        <v>1028</v>
      </c>
      <c r="H46" s="873"/>
      <c r="I46" s="874"/>
      <c r="J46" s="270"/>
      <c r="K46" s="872" t="s">
        <v>1029</v>
      </c>
      <c r="L46" s="873"/>
      <c r="M46" s="874"/>
      <c r="N46" s="270"/>
      <c r="O46" s="872" t="s">
        <v>1030</v>
      </c>
      <c r="P46" s="873"/>
      <c r="Q46" s="874"/>
      <c r="R46" s="270"/>
      <c r="S46" s="872" t="s">
        <v>1017</v>
      </c>
      <c r="T46" s="873"/>
      <c r="U46" s="874"/>
      <c r="V46" s="162"/>
      <c r="W46" s="869" t="s">
        <v>1017</v>
      </c>
      <c r="X46" s="870"/>
      <c r="Y46" s="871"/>
    </row>
    <row r="47" spans="1:25" ht="53.4" hidden="1" thickBot="1">
      <c r="A47" s="467" t="s">
        <v>396</v>
      </c>
      <c r="B47" s="468" t="s">
        <v>25</v>
      </c>
      <c r="C47" s="469" t="s">
        <v>1031</v>
      </c>
      <c r="D47" s="469" t="s">
        <v>1032</v>
      </c>
      <c r="E47" s="469" t="s">
        <v>82</v>
      </c>
      <c r="F47" s="270"/>
      <c r="G47" s="469" t="s">
        <v>1031</v>
      </c>
      <c r="H47" s="469" t="s">
        <v>1032</v>
      </c>
      <c r="I47" s="469" t="s">
        <v>82</v>
      </c>
      <c r="J47" s="270"/>
      <c r="K47" s="469" t="s">
        <v>1031</v>
      </c>
      <c r="L47" s="469" t="s">
        <v>1032</v>
      </c>
      <c r="M47" s="469" t="s">
        <v>82</v>
      </c>
      <c r="N47" s="270"/>
      <c r="O47" s="469" t="s">
        <v>1031</v>
      </c>
      <c r="P47" s="469" t="s">
        <v>1032</v>
      </c>
      <c r="Q47" s="469" t="s">
        <v>82</v>
      </c>
      <c r="R47" s="270"/>
      <c r="S47" s="469" t="s">
        <v>1031</v>
      </c>
      <c r="T47" s="469" t="s">
        <v>1032</v>
      </c>
      <c r="U47" s="469" t="s">
        <v>82</v>
      </c>
      <c r="V47" s="162"/>
      <c r="W47" s="444" t="s">
        <v>1031</v>
      </c>
      <c r="X47" s="444" t="s">
        <v>1032</v>
      </c>
      <c r="Y47" s="444" t="s">
        <v>82</v>
      </c>
    </row>
    <row r="48" spans="1:25" hidden="1">
      <c r="A48" s="234" t="s">
        <v>282</v>
      </c>
      <c r="B48" s="217" t="s">
        <v>283</v>
      </c>
      <c r="C48" s="445">
        <v>670485.32658456895</v>
      </c>
      <c r="D48" s="446">
        <v>58735.316338844015</v>
      </c>
      <c r="E48" s="447">
        <v>729220.64292341296</v>
      </c>
      <c r="F48" s="448"/>
      <c r="G48" s="445">
        <v>5984.2373561351596</v>
      </c>
      <c r="H48" s="446">
        <v>513.69194108843021</v>
      </c>
      <c r="I48" s="447">
        <v>6497.9292972235899</v>
      </c>
      <c r="J48" s="448"/>
      <c r="K48" s="445">
        <v>125.313335965297</v>
      </c>
      <c r="L48" s="446">
        <v>8.9555223535629978</v>
      </c>
      <c r="M48" s="447">
        <v>134.26885831886</v>
      </c>
      <c r="N48" s="448"/>
      <c r="O48" s="449">
        <v>8.9252323934047393</v>
      </c>
      <c r="P48" s="450">
        <v>8.7458785124258398</v>
      </c>
      <c r="Q48" s="451">
        <v>8.9107862761175909</v>
      </c>
      <c r="R48" s="448"/>
      <c r="S48" s="449">
        <v>18.689944581433199</v>
      </c>
      <c r="T48" s="450">
        <v>15.476875244161659</v>
      </c>
      <c r="U48" s="451">
        <v>18.4126518663243</v>
      </c>
      <c r="V48" s="448"/>
      <c r="W48" s="449">
        <v>18.689944581433149</v>
      </c>
      <c r="X48" s="450">
        <v>15.247253120930845</v>
      </c>
      <c r="Y48" s="451">
        <v>18.412651866324321</v>
      </c>
    </row>
    <row r="49" spans="1:25" hidden="1">
      <c r="A49" s="234" t="s">
        <v>284</v>
      </c>
      <c r="B49" s="217" t="s">
        <v>283</v>
      </c>
      <c r="C49" s="445">
        <v>97897.963421485299</v>
      </c>
      <c r="D49" s="446">
        <v>21697.614147921704</v>
      </c>
      <c r="E49" s="447">
        <v>119595.577569407</v>
      </c>
      <c r="F49" s="448"/>
      <c r="G49" s="445">
        <v>896.81511398974499</v>
      </c>
      <c r="H49" s="446">
        <v>198.76560885743493</v>
      </c>
      <c r="I49" s="447">
        <v>1095.5807228471799</v>
      </c>
      <c r="J49" s="448"/>
      <c r="K49" s="445">
        <v>22.3725393150999</v>
      </c>
      <c r="L49" s="446">
        <v>4.9585375282863993</v>
      </c>
      <c r="M49" s="447">
        <v>27.331076843386299</v>
      </c>
      <c r="N49" s="448"/>
      <c r="O49" s="449">
        <v>9.1607126710965296</v>
      </c>
      <c r="P49" s="450">
        <v>9.1607126710967712</v>
      </c>
      <c r="Q49" s="451">
        <v>9.1607126710965296</v>
      </c>
      <c r="R49" s="448"/>
      <c r="S49" s="449">
        <v>22.852915968004599</v>
      </c>
      <c r="T49" s="450">
        <v>22.852915968004517</v>
      </c>
      <c r="U49" s="451">
        <v>22.852915968004599</v>
      </c>
      <c r="V49" s="448"/>
      <c r="W49" s="449">
        <v>22.852915968004581</v>
      </c>
      <c r="X49" s="450">
        <v>22.852915968004485</v>
      </c>
      <c r="Y49" s="451">
        <v>22.852915968004567</v>
      </c>
    </row>
    <row r="50" spans="1:25" hidden="1">
      <c r="A50" s="234" t="s">
        <v>285</v>
      </c>
      <c r="B50" s="217" t="s">
        <v>283</v>
      </c>
      <c r="C50" s="445">
        <v>31544.781660245699</v>
      </c>
      <c r="D50" s="446">
        <v>2072.2153583846994</v>
      </c>
      <c r="E50" s="447">
        <v>33616.997018630398</v>
      </c>
      <c r="F50" s="448"/>
      <c r="G50" s="445">
        <v>236.124621744672</v>
      </c>
      <c r="H50" s="446">
        <v>15.511315720683996</v>
      </c>
      <c r="I50" s="447">
        <v>251.63593746535599</v>
      </c>
      <c r="J50" s="448"/>
      <c r="K50" s="445">
        <v>6.0307317510240805</v>
      </c>
      <c r="L50" s="446">
        <v>0.39616615804697908</v>
      </c>
      <c r="M50" s="447">
        <v>6.4268979090710596</v>
      </c>
      <c r="N50" s="448"/>
      <c r="O50" s="449">
        <v>7.4853782247682501</v>
      </c>
      <c r="P50" s="450">
        <v>7.4853782247686516</v>
      </c>
      <c r="Q50" s="451">
        <v>7.4853782247682501</v>
      </c>
      <c r="R50" s="448"/>
      <c r="S50" s="449">
        <v>19.118001246539901</v>
      </c>
      <c r="T50" s="450">
        <v>19.118001246539894</v>
      </c>
      <c r="U50" s="451">
        <v>19.118001246539901</v>
      </c>
      <c r="V50" s="448"/>
      <c r="W50" s="449">
        <v>19.118001246539958</v>
      </c>
      <c r="X50" s="450">
        <v>19.118001246539947</v>
      </c>
      <c r="Y50" s="451">
        <v>19.118001246539954</v>
      </c>
    </row>
    <row r="51" spans="1:25" hidden="1">
      <c r="A51" s="234" t="s">
        <v>286</v>
      </c>
      <c r="B51" s="217" t="s">
        <v>283</v>
      </c>
      <c r="C51" s="445">
        <v>9125.8806110952501</v>
      </c>
      <c r="D51" s="446">
        <v>279.28333251398908</v>
      </c>
      <c r="E51" s="447">
        <v>9405.1639436092391</v>
      </c>
      <c r="F51" s="448"/>
      <c r="G51" s="445">
        <v>111.772057395293</v>
      </c>
      <c r="H51" s="446">
        <v>3.4206093638079977</v>
      </c>
      <c r="I51" s="447">
        <v>115.192666759101</v>
      </c>
      <c r="J51" s="448"/>
      <c r="K51" s="445">
        <v>2.58139322265</v>
      </c>
      <c r="L51" s="446">
        <v>7.8999510564950359E-2</v>
      </c>
      <c r="M51" s="447">
        <v>2.6603927332149504</v>
      </c>
      <c r="N51" s="448"/>
      <c r="O51" s="449">
        <v>12.247810612315099</v>
      </c>
      <c r="P51" s="450">
        <v>12.247810612316659</v>
      </c>
      <c r="Q51" s="451">
        <v>12.247810612315099</v>
      </c>
      <c r="R51" s="448"/>
      <c r="S51" s="449">
        <v>28.286510997213099</v>
      </c>
      <c r="T51" s="450">
        <v>28.286510997212226</v>
      </c>
      <c r="U51" s="451">
        <v>28.286510997213099</v>
      </c>
      <c r="V51" s="448"/>
      <c r="W51" s="449">
        <v>28.286510997213146</v>
      </c>
      <c r="X51" s="450">
        <v>28.286510997212243</v>
      </c>
      <c r="Y51" s="451">
        <v>28.286510997213117</v>
      </c>
    </row>
    <row r="52" spans="1:25" hidden="1">
      <c r="A52" s="234" t="s">
        <v>287</v>
      </c>
      <c r="B52" s="217" t="s">
        <v>283</v>
      </c>
      <c r="C52" s="445">
        <v>38145.1801807515</v>
      </c>
      <c r="D52" s="446">
        <v>7092.6371822818983</v>
      </c>
      <c r="E52" s="447">
        <v>45237.817363033399</v>
      </c>
      <c r="F52" s="448"/>
      <c r="G52" s="445">
        <v>390.53261357090599</v>
      </c>
      <c r="H52" s="446">
        <v>72.614839483821982</v>
      </c>
      <c r="I52" s="447">
        <v>463.14745305472798</v>
      </c>
      <c r="J52" s="448"/>
      <c r="K52" s="445">
        <v>4.63511162418758</v>
      </c>
      <c r="L52" s="446">
        <v>0.86184322354646969</v>
      </c>
      <c r="M52" s="447">
        <v>5.4969548477340497</v>
      </c>
      <c r="N52" s="448"/>
      <c r="O52" s="449">
        <v>10.2380592179762</v>
      </c>
      <c r="P52" s="450">
        <v>10.238059217976208</v>
      </c>
      <c r="Q52" s="451">
        <v>10.2380592179762</v>
      </c>
      <c r="R52" s="448"/>
      <c r="S52" s="449">
        <v>12.1512379866186</v>
      </c>
      <c r="T52" s="450">
        <v>12.15123798661857</v>
      </c>
      <c r="U52" s="451">
        <v>12.1512379866186</v>
      </c>
      <c r="V52" s="448"/>
      <c r="W52" s="449">
        <v>12.151237986618584</v>
      </c>
      <c r="X52" s="450">
        <v>12.15123798661855</v>
      </c>
      <c r="Y52" s="451">
        <v>12.151237986618579</v>
      </c>
    </row>
    <row r="53" spans="1:25" hidden="1">
      <c r="A53" s="234" t="s">
        <v>288</v>
      </c>
      <c r="B53" s="217" t="s">
        <v>283</v>
      </c>
      <c r="C53" s="445">
        <v>43068.635613527302</v>
      </c>
      <c r="D53" s="446">
        <v>84.469917792099295</v>
      </c>
      <c r="E53" s="447">
        <v>43153.105531319401</v>
      </c>
      <c r="F53" s="448"/>
      <c r="G53" s="445">
        <v>478.92750392088698</v>
      </c>
      <c r="H53" s="446">
        <v>0.93931387211000583</v>
      </c>
      <c r="I53" s="447">
        <v>479.86681779299698</v>
      </c>
      <c r="J53" s="448"/>
      <c r="K53" s="445">
        <v>6.5433465100278294</v>
      </c>
      <c r="L53" s="446">
        <v>1.2833374772950101E-2</v>
      </c>
      <c r="M53" s="447">
        <v>6.5561798848007795</v>
      </c>
      <c r="N53" s="448"/>
      <c r="O53" s="449">
        <v>11.1200992810291</v>
      </c>
      <c r="P53" s="450">
        <v>11.120099281046802</v>
      </c>
      <c r="Q53" s="451">
        <v>11.1200992810291</v>
      </c>
      <c r="R53" s="448"/>
      <c r="S53" s="449">
        <v>15.1928344532295</v>
      </c>
      <c r="T53" s="450">
        <v>15.192834453250104</v>
      </c>
      <c r="U53" s="451">
        <v>15.1928344532295</v>
      </c>
      <c r="V53" s="448"/>
      <c r="W53" s="449">
        <v>15.192834453229461</v>
      </c>
      <c r="X53" s="450">
        <v>15.192834453250105</v>
      </c>
      <c r="Y53" s="451">
        <v>15.192834453229501</v>
      </c>
    </row>
    <row r="54" spans="1:25" hidden="1">
      <c r="A54" s="234" t="s">
        <v>289</v>
      </c>
      <c r="B54" s="217" t="s">
        <v>283</v>
      </c>
      <c r="C54" s="445">
        <v>34382.498030536699</v>
      </c>
      <c r="D54" s="446">
        <v>572.32697295970138</v>
      </c>
      <c r="E54" s="447">
        <v>34954.8250034964</v>
      </c>
      <c r="F54" s="448"/>
      <c r="G54" s="445">
        <v>231.37812404571301</v>
      </c>
      <c r="H54" s="446">
        <v>3.8514927340820009</v>
      </c>
      <c r="I54" s="447">
        <v>235.22961677979501</v>
      </c>
      <c r="J54" s="448"/>
      <c r="K54" s="445">
        <v>12.520319183451399</v>
      </c>
      <c r="L54" s="446">
        <v>0.20841174403290097</v>
      </c>
      <c r="M54" s="447">
        <v>12.7287309274843</v>
      </c>
      <c r="N54" s="448"/>
      <c r="O54" s="449">
        <v>6.7295320962489598</v>
      </c>
      <c r="P54" s="450">
        <v>6.7295320962501473</v>
      </c>
      <c r="Q54" s="451">
        <v>6.7295320962489598</v>
      </c>
      <c r="R54" s="448"/>
      <c r="S54" s="449">
        <v>36.414803753733899</v>
      </c>
      <c r="T54" s="450">
        <v>36.414803753723483</v>
      </c>
      <c r="U54" s="451">
        <v>36.414803753733899</v>
      </c>
      <c r="V54" s="448"/>
      <c r="W54" s="449">
        <v>36.414803753734006</v>
      </c>
      <c r="X54" s="450">
        <v>36.414803753723419</v>
      </c>
      <c r="Y54" s="451">
        <v>36.414803753733835</v>
      </c>
    </row>
    <row r="55" spans="1:25" hidden="1">
      <c r="A55" s="234" t="s">
        <v>290</v>
      </c>
      <c r="B55" s="217" t="s">
        <v>283</v>
      </c>
      <c r="C55" s="445">
        <v>154214.422156488</v>
      </c>
      <c r="D55" s="446">
        <v>13913.655261645996</v>
      </c>
      <c r="E55" s="447">
        <v>168128.07741813399</v>
      </c>
      <c r="F55" s="448"/>
      <c r="G55" s="445">
        <v>1153.6634461598801</v>
      </c>
      <c r="H55" s="446">
        <v>104.08673361004981</v>
      </c>
      <c r="I55" s="447">
        <v>1257.7501797699299</v>
      </c>
      <c r="J55" s="448"/>
      <c r="K55" s="445">
        <v>16.135022398574499</v>
      </c>
      <c r="L55" s="446">
        <v>1.4557467204001</v>
      </c>
      <c r="M55" s="447">
        <v>17.590769118974599</v>
      </c>
      <c r="N55" s="448"/>
      <c r="O55" s="449">
        <v>7.4809050283844698</v>
      </c>
      <c r="P55" s="450">
        <v>7.4809050283840559</v>
      </c>
      <c r="Q55" s="451">
        <v>7.4809050283844698</v>
      </c>
      <c r="R55" s="448"/>
      <c r="S55" s="449">
        <v>10.462719486898299</v>
      </c>
      <c r="T55" s="450">
        <v>10.462719486898377</v>
      </c>
      <c r="U55" s="451">
        <v>10.462719486898299</v>
      </c>
      <c r="V55" s="448"/>
      <c r="W55" s="449">
        <v>10.462719486898312</v>
      </c>
      <c r="X55" s="450">
        <v>10.462719486898399</v>
      </c>
      <c r="Y55" s="451">
        <v>10.462719486898321</v>
      </c>
    </row>
    <row r="56" spans="1:25" hidden="1">
      <c r="A56" s="234" t="s">
        <v>291</v>
      </c>
      <c r="B56" s="217" t="s">
        <v>283</v>
      </c>
      <c r="C56" s="445">
        <v>24229.8711410219</v>
      </c>
      <c r="D56" s="446">
        <v>0</v>
      </c>
      <c r="E56" s="447">
        <v>24229.8711410219</v>
      </c>
      <c r="F56" s="448"/>
      <c r="G56" s="445">
        <v>172.02688006663601</v>
      </c>
      <c r="H56" s="446">
        <v>0</v>
      </c>
      <c r="I56" s="447">
        <v>172.02688006663601</v>
      </c>
      <c r="J56" s="448"/>
      <c r="K56" s="445">
        <v>2.4209178031246603</v>
      </c>
      <c r="L56" s="446">
        <v>0</v>
      </c>
      <c r="M56" s="447">
        <v>2.4209178031246603</v>
      </c>
      <c r="N56" s="448"/>
      <c r="O56" s="449">
        <v>7.0997851810854096</v>
      </c>
      <c r="P56" s="450" t="s">
        <v>1033</v>
      </c>
      <c r="Q56" s="451">
        <v>7.0997851810854096</v>
      </c>
      <c r="R56" s="448"/>
      <c r="S56" s="449">
        <v>9.9914596699029392</v>
      </c>
      <c r="T56" s="450" t="s">
        <v>1033</v>
      </c>
      <c r="U56" s="451">
        <v>9.9914596699029392</v>
      </c>
      <c r="V56" s="448"/>
      <c r="W56" s="449">
        <v>9.9914596699029641</v>
      </c>
      <c r="X56" s="450" t="s">
        <v>1033</v>
      </c>
      <c r="Y56" s="451">
        <v>9.9914596699029641</v>
      </c>
    </row>
    <row r="57" spans="1:25" hidden="1">
      <c r="A57" s="234" t="s">
        <v>292</v>
      </c>
      <c r="B57" s="217" t="s">
        <v>283</v>
      </c>
      <c r="C57" s="445">
        <v>11692.4715124552</v>
      </c>
      <c r="D57" s="446">
        <v>0</v>
      </c>
      <c r="E57" s="447">
        <v>11692.4715124552</v>
      </c>
      <c r="F57" s="448"/>
      <c r="G57" s="445">
        <v>96.789779351807098</v>
      </c>
      <c r="H57" s="446">
        <v>0</v>
      </c>
      <c r="I57" s="447">
        <v>96.789779351807098</v>
      </c>
      <c r="J57" s="448"/>
      <c r="K57" s="445">
        <v>1.5259831219767599</v>
      </c>
      <c r="L57" s="446">
        <v>0</v>
      </c>
      <c r="M57" s="447">
        <v>1.5259831219767599</v>
      </c>
      <c r="N57" s="448"/>
      <c r="O57" s="449">
        <v>8.2779572521261802</v>
      </c>
      <c r="P57" s="450" t="s">
        <v>1033</v>
      </c>
      <c r="Q57" s="451">
        <v>8.2779572521261802</v>
      </c>
      <c r="R57" s="448"/>
      <c r="S57" s="449">
        <v>13.0509885814238</v>
      </c>
      <c r="T57" s="450" t="s">
        <v>1033</v>
      </c>
      <c r="U57" s="451">
        <v>13.0509885814238</v>
      </c>
      <c r="V57" s="448"/>
      <c r="W57" s="449">
        <v>13.050988581423809</v>
      </c>
      <c r="X57" s="450" t="s">
        <v>1033</v>
      </c>
      <c r="Y57" s="451">
        <v>13.050988581423809</v>
      </c>
    </row>
    <row r="58" spans="1:25" hidden="1">
      <c r="A58" s="234" t="s">
        <v>293</v>
      </c>
      <c r="B58" s="217" t="s">
        <v>283</v>
      </c>
      <c r="C58" s="445">
        <v>32492.201815029999</v>
      </c>
      <c r="D58" s="446">
        <v>1171.8661470389998</v>
      </c>
      <c r="E58" s="447">
        <v>33664.067962068999</v>
      </c>
      <c r="F58" s="448"/>
      <c r="G58" s="445">
        <v>243.39211440712299</v>
      </c>
      <c r="H58" s="446">
        <v>8.7781979489620028</v>
      </c>
      <c r="I58" s="447">
        <v>252.17031235608499</v>
      </c>
      <c r="J58" s="448"/>
      <c r="K58" s="445">
        <v>5.0464761961699898</v>
      </c>
      <c r="L58" s="446">
        <v>0.18200658268085057</v>
      </c>
      <c r="M58" s="447">
        <v>5.2284827788508403</v>
      </c>
      <c r="N58" s="448"/>
      <c r="O58" s="449">
        <v>7.4907855057867003</v>
      </c>
      <c r="P58" s="450">
        <v>7.4907855057868344</v>
      </c>
      <c r="Q58" s="451">
        <v>7.4907855057867003</v>
      </c>
      <c r="R58" s="448"/>
      <c r="S58" s="449">
        <v>15.531345720731199</v>
      </c>
      <c r="T58" s="450">
        <v>15.531345720732181</v>
      </c>
      <c r="U58" s="451">
        <v>15.531345720731199</v>
      </c>
      <c r="V58" s="448"/>
      <c r="W58" s="449">
        <v>15.531345720731148</v>
      </c>
      <c r="X58" s="450">
        <v>15.531345720732164</v>
      </c>
      <c r="Y58" s="451">
        <v>15.531345720731181</v>
      </c>
    </row>
    <row r="59" spans="1:25" hidden="1">
      <c r="A59" s="234" t="s">
        <v>294</v>
      </c>
      <c r="B59" s="217" t="s">
        <v>283</v>
      </c>
      <c r="C59" s="445">
        <v>23736.943146532001</v>
      </c>
      <c r="D59" s="446">
        <v>11851.248018304701</v>
      </c>
      <c r="E59" s="447">
        <v>35588.191164836702</v>
      </c>
      <c r="F59" s="448"/>
      <c r="G59" s="445">
        <v>211.75495830813699</v>
      </c>
      <c r="H59" s="446">
        <v>105.72382949748803</v>
      </c>
      <c r="I59" s="447">
        <v>317.47878780562502</v>
      </c>
      <c r="J59" s="448"/>
      <c r="K59" s="445">
        <v>1.6042831621081899</v>
      </c>
      <c r="L59" s="446">
        <v>0.80097751123073002</v>
      </c>
      <c r="M59" s="447">
        <v>2.4052606733389199</v>
      </c>
      <c r="N59" s="448"/>
      <c r="O59" s="449">
        <v>8.9209026200610602</v>
      </c>
      <c r="P59" s="450">
        <v>8.9209026200610744</v>
      </c>
      <c r="Q59" s="451">
        <v>8.9209026200610602</v>
      </c>
      <c r="R59" s="448"/>
      <c r="S59" s="449">
        <v>6.7585920908378796</v>
      </c>
      <c r="T59" s="450">
        <v>6.7585920908379382</v>
      </c>
      <c r="U59" s="451">
        <v>6.7585920908378796</v>
      </c>
      <c r="V59" s="448"/>
      <c r="W59" s="449">
        <v>6.7585920908378547</v>
      </c>
      <c r="X59" s="450">
        <v>6.7585920908379427</v>
      </c>
      <c r="Y59" s="451">
        <v>6.758592090837884</v>
      </c>
    </row>
    <row r="60" spans="1:25" hidden="1">
      <c r="A60" s="234" t="s">
        <v>295</v>
      </c>
      <c r="B60" s="217" t="s">
        <v>283</v>
      </c>
      <c r="C60" s="445">
        <v>66439.552526901098</v>
      </c>
      <c r="D60" s="446">
        <v>0</v>
      </c>
      <c r="E60" s="447">
        <v>66439.552526901098</v>
      </c>
      <c r="F60" s="448"/>
      <c r="G60" s="445">
        <v>714.65535549528397</v>
      </c>
      <c r="H60" s="446">
        <v>0</v>
      </c>
      <c r="I60" s="447">
        <v>714.65535549528397</v>
      </c>
      <c r="J60" s="448"/>
      <c r="K60" s="445">
        <v>16.1182981770556</v>
      </c>
      <c r="L60" s="446">
        <v>0</v>
      </c>
      <c r="M60" s="447">
        <v>16.1182981770556</v>
      </c>
      <c r="N60" s="448"/>
      <c r="O60" s="449">
        <v>10.7564745443751</v>
      </c>
      <c r="P60" s="450" t="s">
        <v>1033</v>
      </c>
      <c r="Q60" s="451">
        <v>10.7564745443751</v>
      </c>
      <c r="R60" s="448"/>
      <c r="S60" s="449">
        <v>24.260094422715099</v>
      </c>
      <c r="T60" s="450" t="s">
        <v>1033</v>
      </c>
      <c r="U60" s="451">
        <v>24.260094422715099</v>
      </c>
      <c r="V60" s="448"/>
      <c r="W60" s="449">
        <v>24.260094422715095</v>
      </c>
      <c r="X60" s="450" t="s">
        <v>1033</v>
      </c>
      <c r="Y60" s="451">
        <v>24.260094422715095</v>
      </c>
    </row>
    <row r="61" spans="1:25" hidden="1">
      <c r="A61" s="234" t="s">
        <v>296</v>
      </c>
      <c r="B61" s="217" t="s">
        <v>283</v>
      </c>
      <c r="C61" s="445">
        <v>21127.579698825699</v>
      </c>
      <c r="D61" s="446">
        <v>0</v>
      </c>
      <c r="E61" s="447">
        <v>21127.579698825699</v>
      </c>
      <c r="F61" s="448"/>
      <c r="G61" s="445">
        <v>214.78588896921599</v>
      </c>
      <c r="H61" s="446">
        <v>0</v>
      </c>
      <c r="I61" s="447">
        <v>214.78588896921599</v>
      </c>
      <c r="J61" s="448"/>
      <c r="K61" s="445">
        <v>4.1954352736478198</v>
      </c>
      <c r="L61" s="446">
        <v>0</v>
      </c>
      <c r="M61" s="447">
        <v>4.1954352736478198</v>
      </c>
      <c r="N61" s="448"/>
      <c r="O61" s="449">
        <v>10.166137912198</v>
      </c>
      <c r="P61" s="450" t="s">
        <v>1033</v>
      </c>
      <c r="Q61" s="451">
        <v>10.166137912198</v>
      </c>
      <c r="R61" s="448"/>
      <c r="S61" s="449">
        <v>19.8576237006504</v>
      </c>
      <c r="T61" s="450" t="s">
        <v>1033</v>
      </c>
      <c r="U61" s="451">
        <v>19.8576237006504</v>
      </c>
      <c r="V61" s="448"/>
      <c r="W61" s="449">
        <v>19.857623700650429</v>
      </c>
      <c r="X61" s="450" t="s">
        <v>1033</v>
      </c>
      <c r="Y61" s="451">
        <v>19.857623700650429</v>
      </c>
    </row>
    <row r="62" spans="1:25" hidden="1">
      <c r="A62" s="234" t="s">
        <v>297</v>
      </c>
      <c r="B62" s="217" t="s">
        <v>283</v>
      </c>
      <c r="C62" s="445">
        <v>29100.3242667962</v>
      </c>
      <c r="D62" s="446">
        <v>0</v>
      </c>
      <c r="E62" s="447">
        <v>29100.3242667962</v>
      </c>
      <c r="F62" s="448"/>
      <c r="G62" s="445">
        <v>304.37030708862301</v>
      </c>
      <c r="H62" s="446">
        <v>0</v>
      </c>
      <c r="I62" s="447">
        <v>304.37030708862301</v>
      </c>
      <c r="J62" s="448"/>
      <c r="K62" s="445">
        <v>10.874612099108901</v>
      </c>
      <c r="L62" s="446">
        <v>0</v>
      </c>
      <c r="M62" s="447">
        <v>10.874612099108901</v>
      </c>
      <c r="N62" s="448"/>
      <c r="O62" s="449">
        <v>10.459344174247301</v>
      </c>
      <c r="P62" s="450" t="s">
        <v>1033</v>
      </c>
      <c r="Q62" s="451">
        <v>10.459344174247301</v>
      </c>
      <c r="R62" s="448"/>
      <c r="S62" s="449">
        <v>37.369384613754796</v>
      </c>
      <c r="T62" s="450" t="s">
        <v>1033</v>
      </c>
      <c r="U62" s="451">
        <v>37.369384613754796</v>
      </c>
      <c r="V62" s="448"/>
      <c r="W62" s="449">
        <v>37.369384613754832</v>
      </c>
      <c r="X62" s="450" t="s">
        <v>1033</v>
      </c>
      <c r="Y62" s="451">
        <v>37.369384613754832</v>
      </c>
    </row>
    <row r="63" spans="1:25" hidden="1">
      <c r="A63" s="234" t="s">
        <v>298</v>
      </c>
      <c r="B63" s="217" t="s">
        <v>283</v>
      </c>
      <c r="C63" s="445">
        <v>38649.953145301697</v>
      </c>
      <c r="D63" s="446">
        <v>0</v>
      </c>
      <c r="E63" s="447">
        <v>38649.953145301697</v>
      </c>
      <c r="F63" s="448"/>
      <c r="G63" s="445">
        <v>399.40660446924198</v>
      </c>
      <c r="H63" s="446">
        <v>0</v>
      </c>
      <c r="I63" s="447">
        <v>399.40660446924198</v>
      </c>
      <c r="J63" s="448"/>
      <c r="K63" s="445">
        <v>10.915477840237301</v>
      </c>
      <c r="L63" s="446">
        <v>0</v>
      </c>
      <c r="M63" s="447">
        <v>10.915477840237301</v>
      </c>
      <c r="N63" s="448"/>
      <c r="O63" s="449">
        <v>10.333947960239501</v>
      </c>
      <c r="P63" s="450" t="s">
        <v>1033</v>
      </c>
      <c r="Q63" s="451">
        <v>10.333947960239501</v>
      </c>
      <c r="R63" s="448"/>
      <c r="S63" s="449">
        <v>28.241891521061699</v>
      </c>
      <c r="T63" s="450" t="s">
        <v>1033</v>
      </c>
      <c r="U63" s="451">
        <v>28.241891521061699</v>
      </c>
      <c r="V63" s="448"/>
      <c r="W63" s="449">
        <v>28.241891521061756</v>
      </c>
      <c r="X63" s="450" t="s">
        <v>1033</v>
      </c>
      <c r="Y63" s="451">
        <v>28.241891521061756</v>
      </c>
    </row>
    <row r="64" spans="1:25" hidden="1">
      <c r="A64" s="234" t="s">
        <v>299</v>
      </c>
      <c r="B64" s="217" t="s">
        <v>283</v>
      </c>
      <c r="C64" s="445">
        <v>14637.067657575701</v>
      </c>
      <c r="D64" s="446">
        <v>0</v>
      </c>
      <c r="E64" s="447">
        <v>14637.067657575701</v>
      </c>
      <c r="F64" s="448"/>
      <c r="G64" s="445">
        <v>127.841987151992</v>
      </c>
      <c r="H64" s="446">
        <v>0</v>
      </c>
      <c r="I64" s="447">
        <v>127.841987151992</v>
      </c>
      <c r="J64" s="448"/>
      <c r="K64" s="445">
        <v>1.7933882868530302</v>
      </c>
      <c r="L64" s="446">
        <v>0</v>
      </c>
      <c r="M64" s="447">
        <v>1.7933882868530302</v>
      </c>
      <c r="N64" s="448"/>
      <c r="O64" s="449">
        <v>8.7341255873627297</v>
      </c>
      <c r="P64" s="450" t="s">
        <v>1033</v>
      </c>
      <c r="Q64" s="451">
        <v>8.7341255873627297</v>
      </c>
      <c r="R64" s="448"/>
      <c r="S64" s="449">
        <v>12.252374101207501</v>
      </c>
      <c r="T64" s="450" t="s">
        <v>1033</v>
      </c>
      <c r="U64" s="451">
        <v>12.252374101207501</v>
      </c>
      <c r="V64" s="448"/>
      <c r="W64" s="449">
        <v>12.252374101207538</v>
      </c>
      <c r="X64" s="450" t="s">
        <v>1033</v>
      </c>
      <c r="Y64" s="451">
        <v>12.252374101207538</v>
      </c>
    </row>
    <row r="65" spans="1:25" hidden="1">
      <c r="A65" s="234" t="s">
        <v>282</v>
      </c>
      <c r="B65" s="217" t="s">
        <v>283</v>
      </c>
      <c r="C65" s="445">
        <v>670485.32658456929</v>
      </c>
      <c r="D65" s="446">
        <v>58735.31633884379</v>
      </c>
      <c r="E65" s="447">
        <v>729220.64292341308</v>
      </c>
      <c r="F65" s="448"/>
      <c r="G65" s="445">
        <v>5984.237356135156</v>
      </c>
      <c r="H65" s="446">
        <v>513.69194108844067</v>
      </c>
      <c r="I65" s="447">
        <v>6497.9292972235962</v>
      </c>
      <c r="J65" s="448"/>
      <c r="K65" s="445">
        <v>125.31333596529754</v>
      </c>
      <c r="L65" s="446">
        <v>8.9555223535623298</v>
      </c>
      <c r="M65" s="447">
        <v>134.26885831885988</v>
      </c>
      <c r="N65" s="448"/>
      <c r="O65" s="449">
        <v>8.9252323934047428</v>
      </c>
      <c r="P65" s="450">
        <v>8.7458785124260512</v>
      </c>
      <c r="Q65" s="451">
        <v>8.9107862761175927</v>
      </c>
      <c r="R65" s="448"/>
      <c r="S65" s="449">
        <v>18.689944581433149</v>
      </c>
      <c r="T65" s="450">
        <v>15.476875244160539</v>
      </c>
      <c r="U65" s="451">
        <v>18.412651866324317</v>
      </c>
      <c r="V65" s="448"/>
      <c r="W65" s="449">
        <v>18.68994458143322</v>
      </c>
      <c r="X65" s="450">
        <v>15.247253120929765</v>
      </c>
      <c r="Y65" s="451">
        <v>18.412651866324303</v>
      </c>
    </row>
    <row r="66" spans="1:25" hidden="1"/>
    <row r="67" spans="1:25" hidden="1"/>
    <row r="68" spans="1:25" hidden="1"/>
    <row r="69" spans="1:25" hidden="1"/>
    <row r="70" spans="1:25" ht="52.8" hidden="1">
      <c r="A70" s="299" t="s">
        <v>307</v>
      </c>
      <c r="B70" s="299" t="s">
        <v>1034</v>
      </c>
      <c r="C70" s="299" t="s">
        <v>1035</v>
      </c>
      <c r="D70" s="299" t="s">
        <v>1036</v>
      </c>
      <c r="E70" s="299" t="s">
        <v>270</v>
      </c>
      <c r="F70" s="299" t="s">
        <v>308</v>
      </c>
      <c r="G70" s="299" t="s">
        <v>309</v>
      </c>
      <c r="H70" s="299" t="s">
        <v>1037</v>
      </c>
      <c r="I70" s="299" t="s">
        <v>1038</v>
      </c>
      <c r="J70" s="299" t="s">
        <v>1039</v>
      </c>
      <c r="K70" s="470" t="s">
        <v>1040</v>
      </c>
    </row>
    <row r="71" spans="1:25" hidden="1">
      <c r="A71" s="456" t="s">
        <v>399</v>
      </c>
      <c r="B71" s="471" t="s">
        <v>282</v>
      </c>
      <c r="C71" s="456" t="s">
        <v>283</v>
      </c>
      <c r="D71" s="471">
        <v>0.1553155410424</v>
      </c>
      <c r="E71" s="471" t="s">
        <v>400</v>
      </c>
      <c r="F71" s="471" t="s">
        <v>400</v>
      </c>
      <c r="G71" s="471" t="s">
        <v>400</v>
      </c>
      <c r="H71" s="471">
        <v>0.1553155410424</v>
      </c>
      <c r="I71" s="471">
        <v>0</v>
      </c>
      <c r="J71" s="471">
        <v>0</v>
      </c>
      <c r="K71" s="161"/>
    </row>
    <row r="72" spans="1:25" hidden="1">
      <c r="A72" s="456" t="s">
        <v>1041</v>
      </c>
      <c r="B72" s="471" t="s">
        <v>282</v>
      </c>
      <c r="C72" s="456" t="s">
        <v>283</v>
      </c>
      <c r="D72" s="471">
        <v>4.2893847426716597E-3</v>
      </c>
      <c r="E72" s="471">
        <v>0.37364195437578401</v>
      </c>
      <c r="F72" s="471">
        <v>0.62223881776062695</v>
      </c>
      <c r="G72" s="471">
        <v>4.1192278635886299E-3</v>
      </c>
      <c r="H72" s="471">
        <v>1.6026940983215083E-3</v>
      </c>
      <c r="I72" s="471">
        <v>2.6690216912004846E-3</v>
      </c>
      <c r="J72" s="471">
        <v>1.7668953149665044E-5</v>
      </c>
      <c r="K72" s="161"/>
    </row>
    <row r="73" spans="1:25" hidden="1">
      <c r="A73" s="456" t="s">
        <v>1042</v>
      </c>
      <c r="B73" s="471" t="s">
        <v>282</v>
      </c>
      <c r="C73" s="456" t="s">
        <v>283</v>
      </c>
      <c r="D73" s="471">
        <v>0.94913514297623203</v>
      </c>
      <c r="E73" s="471">
        <v>0.99060255488902704</v>
      </c>
      <c r="F73" s="471">
        <v>9.3974451109733095E-3</v>
      </c>
      <c r="G73" s="471">
        <v>0</v>
      </c>
      <c r="H73" s="471">
        <v>0.94021569756721746</v>
      </c>
      <c r="I73" s="471">
        <v>8.919445409014945E-3</v>
      </c>
      <c r="J73" s="471">
        <v>0</v>
      </c>
      <c r="K73" s="161"/>
    </row>
    <row r="74" spans="1:25" hidden="1">
      <c r="A74" s="472" t="s">
        <v>169</v>
      </c>
      <c r="B74" s="471" t="s">
        <v>282</v>
      </c>
      <c r="C74" s="456" t="s">
        <v>283</v>
      </c>
      <c r="D74" s="471">
        <v>0.89969672397024703</v>
      </c>
      <c r="E74" s="471">
        <v>0.99952757717530905</v>
      </c>
      <c r="F74" s="471">
        <v>3.5234073619353298E-4</v>
      </c>
      <c r="G74" s="471">
        <v>1.20082088497135E-4</v>
      </c>
      <c r="H74" s="471">
        <v>0.89927168670254376</v>
      </c>
      <c r="I74" s="471">
        <v>3.1699980607458668E-4</v>
      </c>
      <c r="J74" s="471">
        <v>1.0803746162837765E-4</v>
      </c>
      <c r="K74" s="161"/>
    </row>
    <row r="75" spans="1:25" hidden="1">
      <c r="A75" s="456" t="s">
        <v>1043</v>
      </c>
      <c r="B75" s="471" t="s">
        <v>282</v>
      </c>
      <c r="C75" s="456" t="s">
        <v>283</v>
      </c>
      <c r="D75" s="471">
        <v>0.66300604502508598</v>
      </c>
      <c r="E75" s="471" t="s">
        <v>400</v>
      </c>
      <c r="F75" s="471" t="s">
        <v>400</v>
      </c>
      <c r="G75" s="471" t="s">
        <v>400</v>
      </c>
      <c r="H75" s="471">
        <v>0.66300604502508598</v>
      </c>
      <c r="I75" s="471">
        <v>0</v>
      </c>
      <c r="J75" s="471">
        <v>0</v>
      </c>
      <c r="K75" s="161"/>
    </row>
    <row r="76" spans="1:25" hidden="1">
      <c r="A76" s="456" t="s">
        <v>1044</v>
      </c>
      <c r="B76" s="471" t="s">
        <v>282</v>
      </c>
      <c r="C76" s="456" t="s">
        <v>283</v>
      </c>
      <c r="D76" s="471">
        <v>5.9735148462676302E-2</v>
      </c>
      <c r="E76" s="471" t="s">
        <v>400</v>
      </c>
      <c r="F76" s="471" t="s">
        <v>400</v>
      </c>
      <c r="G76" s="471" t="s">
        <v>400</v>
      </c>
      <c r="H76" s="471">
        <v>5.9735148462676302E-2</v>
      </c>
      <c r="I76" s="471">
        <v>0</v>
      </c>
      <c r="J76" s="471">
        <v>0</v>
      </c>
      <c r="K76" s="161"/>
    </row>
    <row r="77" spans="1:25" hidden="1">
      <c r="A77" s="456" t="s">
        <v>403</v>
      </c>
      <c r="B77" s="471" t="s">
        <v>282</v>
      </c>
      <c r="C77" s="456" t="s">
        <v>283</v>
      </c>
      <c r="D77" s="471">
        <v>3.0891267059285902E-4</v>
      </c>
      <c r="E77" s="471" t="s">
        <v>400</v>
      </c>
      <c r="F77" s="471" t="s">
        <v>400</v>
      </c>
      <c r="G77" s="471" t="s">
        <v>400</v>
      </c>
      <c r="H77" s="471">
        <v>3.0891267059285902E-4</v>
      </c>
      <c r="I77" s="471">
        <v>0</v>
      </c>
      <c r="J77" s="471">
        <v>0</v>
      </c>
      <c r="K77" s="161"/>
    </row>
    <row r="78" spans="1:25" hidden="1">
      <c r="A78" s="472" t="s">
        <v>222</v>
      </c>
      <c r="B78" s="471" t="s">
        <v>282</v>
      </c>
      <c r="C78" s="456" t="s">
        <v>283</v>
      </c>
      <c r="D78" s="471">
        <v>0.91160158583481499</v>
      </c>
      <c r="E78" s="473">
        <v>0.43376662308021102</v>
      </c>
      <c r="F78" s="471">
        <v>0.55528364756249704</v>
      </c>
      <c r="G78" s="471">
        <v>1.0949729357291899E-2</v>
      </c>
      <c r="H78" s="471">
        <v>0.39542234148213284</v>
      </c>
      <c r="I78" s="471">
        <v>0.5061974537061128</v>
      </c>
      <c r="J78" s="471">
        <v>9.9817906465693249E-3</v>
      </c>
      <c r="K78" s="161"/>
      <c r="L78" s="474" t="s">
        <v>1045</v>
      </c>
    </row>
    <row r="79" spans="1:25" hidden="1">
      <c r="A79" s="456" t="s">
        <v>1046</v>
      </c>
      <c r="B79" s="471" t="s">
        <v>282</v>
      </c>
      <c r="C79" s="456" t="s">
        <v>283</v>
      </c>
      <c r="D79" s="471">
        <v>0.93412756224897098</v>
      </c>
      <c r="E79" s="471" t="s">
        <v>400</v>
      </c>
      <c r="F79" s="471" t="s">
        <v>400</v>
      </c>
      <c r="G79" s="471" t="s">
        <v>400</v>
      </c>
      <c r="H79" s="471">
        <v>0.93412756224897098</v>
      </c>
      <c r="I79" s="471">
        <v>0</v>
      </c>
      <c r="J79" s="471">
        <v>0</v>
      </c>
      <c r="K79" s="161"/>
    </row>
    <row r="80" spans="1:25" hidden="1">
      <c r="A80" s="456" t="s">
        <v>1047</v>
      </c>
      <c r="B80" s="471" t="s">
        <v>282</v>
      </c>
      <c r="C80" s="456" t="s">
        <v>283</v>
      </c>
      <c r="D80" s="471">
        <v>0.12784870196334799</v>
      </c>
      <c r="E80" s="471" t="s">
        <v>400</v>
      </c>
      <c r="F80" s="471" t="s">
        <v>400</v>
      </c>
      <c r="G80" s="471" t="s">
        <v>400</v>
      </c>
      <c r="H80" s="471">
        <v>0.12784870196334799</v>
      </c>
      <c r="I80" s="471">
        <v>0</v>
      </c>
      <c r="J80" s="471">
        <v>0</v>
      </c>
      <c r="K80" s="161"/>
    </row>
    <row r="81" spans="1:11" hidden="1">
      <c r="A81" s="456" t="s">
        <v>1048</v>
      </c>
      <c r="B81" s="471" t="s">
        <v>282</v>
      </c>
      <c r="C81" s="456" t="s">
        <v>283</v>
      </c>
      <c r="D81" s="471">
        <v>1</v>
      </c>
      <c r="E81" s="471" t="s">
        <v>400</v>
      </c>
      <c r="F81" s="471" t="s">
        <v>400</v>
      </c>
      <c r="G81" s="471" t="s">
        <v>400</v>
      </c>
      <c r="H81" s="471">
        <v>1</v>
      </c>
      <c r="I81" s="471">
        <v>0</v>
      </c>
      <c r="J81" s="471">
        <v>0</v>
      </c>
      <c r="K81" s="161"/>
    </row>
    <row r="82" spans="1:11" hidden="1">
      <c r="A82" s="456" t="s">
        <v>1049</v>
      </c>
      <c r="B82" s="471" t="s">
        <v>282</v>
      </c>
      <c r="C82" s="456" t="s">
        <v>283</v>
      </c>
      <c r="D82" s="471">
        <v>9.4264351191699098E-5</v>
      </c>
      <c r="E82" s="471" t="s">
        <v>400</v>
      </c>
      <c r="F82" s="471" t="s">
        <v>400</v>
      </c>
      <c r="G82" s="471" t="s">
        <v>400</v>
      </c>
      <c r="H82" s="471">
        <v>9.4264351191699098E-5</v>
      </c>
      <c r="I82" s="471">
        <v>0</v>
      </c>
      <c r="J82" s="471">
        <v>0</v>
      </c>
      <c r="K82" s="161"/>
    </row>
    <row r="83" spans="1:11" hidden="1">
      <c r="A83" s="456" t="s">
        <v>1050</v>
      </c>
      <c r="B83" s="471" t="s">
        <v>282</v>
      </c>
      <c r="C83" s="456" t="s">
        <v>283</v>
      </c>
      <c r="D83" s="471">
        <v>0.84563059045562805</v>
      </c>
      <c r="E83" s="471" t="s">
        <v>400</v>
      </c>
      <c r="F83" s="471" t="s">
        <v>400</v>
      </c>
      <c r="G83" s="471" t="s">
        <v>400</v>
      </c>
      <c r="H83" s="471">
        <v>0.84563059045562805</v>
      </c>
      <c r="I83" s="471">
        <v>0</v>
      </c>
      <c r="J83" s="471">
        <v>0</v>
      </c>
      <c r="K83" s="161"/>
    </row>
    <row r="84" spans="1:11" hidden="1">
      <c r="A84" s="456" t="s">
        <v>1051</v>
      </c>
      <c r="B84" s="471" t="s">
        <v>282</v>
      </c>
      <c r="C84" s="456" t="s">
        <v>283</v>
      </c>
      <c r="D84" s="471">
        <v>0.92628661157785597</v>
      </c>
      <c r="E84" s="471" t="s">
        <v>400</v>
      </c>
      <c r="F84" s="471" t="s">
        <v>400</v>
      </c>
      <c r="G84" s="471" t="s">
        <v>400</v>
      </c>
      <c r="H84" s="471">
        <v>0.92628661157785597</v>
      </c>
      <c r="I84" s="471">
        <v>0</v>
      </c>
      <c r="J84" s="471">
        <v>0</v>
      </c>
      <c r="K84" s="161"/>
    </row>
    <row r="85" spans="1:11" hidden="1">
      <c r="A85" s="472" t="s">
        <v>1052</v>
      </c>
      <c r="B85" s="471" t="s">
        <v>282</v>
      </c>
      <c r="C85" s="456" t="s">
        <v>283</v>
      </c>
      <c r="D85" s="471">
        <v>0.93073487115160702</v>
      </c>
      <c r="E85" s="471" t="s">
        <v>400</v>
      </c>
      <c r="F85" s="471" t="s">
        <v>400</v>
      </c>
      <c r="G85" s="471" t="s">
        <v>400</v>
      </c>
      <c r="H85" s="471">
        <v>0.93073487115160702</v>
      </c>
      <c r="I85" s="471">
        <v>0</v>
      </c>
      <c r="J85" s="471">
        <v>0</v>
      </c>
      <c r="K85" s="161"/>
    </row>
    <row r="86" spans="1:11" hidden="1">
      <c r="A86" s="472" t="s">
        <v>387</v>
      </c>
      <c r="B86" s="471" t="s">
        <v>282</v>
      </c>
      <c r="C86" s="456" t="s">
        <v>283</v>
      </c>
      <c r="D86" s="471">
        <v>0.92750968456415595</v>
      </c>
      <c r="E86" s="471">
        <v>0.499309049211141</v>
      </c>
      <c r="F86" s="471">
        <v>0.49119978950805399</v>
      </c>
      <c r="G86" s="471">
        <v>9.4911612808049207E-3</v>
      </c>
      <c r="H86" s="471">
        <v>0.46311397873385401</v>
      </c>
      <c r="I86" s="471">
        <v>0.45559256182459495</v>
      </c>
      <c r="J86" s="471">
        <v>8.8031440057069026E-3</v>
      </c>
      <c r="K86" s="161"/>
    </row>
    <row r="87" spans="1:11" hidden="1"/>
    <row r="88" spans="1:11" hidden="1"/>
    <row r="89" spans="1:11" hidden="1"/>
    <row r="90" spans="1:11" ht="52.8" hidden="1">
      <c r="A90" s="475" t="s">
        <v>1053</v>
      </c>
      <c r="B90" s="476" t="s">
        <v>25</v>
      </c>
      <c r="C90" s="476"/>
      <c r="D90" s="303" t="s">
        <v>262</v>
      </c>
      <c r="E90" s="303" t="s">
        <v>124</v>
      </c>
      <c r="F90" s="303" t="s">
        <v>126</v>
      </c>
      <c r="G90" s="303" t="s">
        <v>1054</v>
      </c>
      <c r="H90" s="303">
        <v>2018</v>
      </c>
      <c r="I90" s="475" t="s">
        <v>1055</v>
      </c>
    </row>
    <row r="91" spans="1:11" hidden="1">
      <c r="A91" s="161" t="s">
        <v>282</v>
      </c>
      <c r="B91" s="477" t="s">
        <v>283</v>
      </c>
      <c r="C91" s="478" t="s">
        <v>306</v>
      </c>
      <c r="D91" s="479">
        <v>0.3951368394215336</v>
      </c>
      <c r="E91" s="479">
        <v>0.26427062234257492</v>
      </c>
      <c r="F91" s="479">
        <v>0.15455807061467194</v>
      </c>
      <c r="G91" s="479">
        <v>9.3862760252904923E-2</v>
      </c>
      <c r="H91" s="479">
        <v>0</v>
      </c>
      <c r="I91" s="479">
        <v>9.217170736831469E-2</v>
      </c>
    </row>
    <row r="92" spans="1:11" hidden="1">
      <c r="A92" s="161">
        <v>1</v>
      </c>
      <c r="B92" s="477" t="s">
        <v>283</v>
      </c>
      <c r="C92" s="478" t="s">
        <v>306</v>
      </c>
      <c r="D92" s="479">
        <v>0.38627858405465793</v>
      </c>
      <c r="E92" s="479">
        <v>0.15428095608747033</v>
      </c>
      <c r="F92" s="479">
        <v>0.14373991165005318</v>
      </c>
      <c r="G92" s="479">
        <v>0.26426271608582202</v>
      </c>
      <c r="H92" s="479">
        <v>0</v>
      </c>
      <c r="I92" s="479">
        <v>5.1437832121996402E-2</v>
      </c>
    </row>
    <row r="93" spans="1:11" hidden="1">
      <c r="A93" s="161">
        <v>2</v>
      </c>
      <c r="B93" s="477" t="s">
        <v>283</v>
      </c>
      <c r="C93" s="478" t="s">
        <v>306</v>
      </c>
      <c r="D93" s="479">
        <v>0.44297286223208826</v>
      </c>
      <c r="E93" s="479">
        <v>0.30619730961066555</v>
      </c>
      <c r="F93" s="479">
        <v>0.14129746417623584</v>
      </c>
      <c r="G93" s="479">
        <v>6.2888617897954802E-2</v>
      </c>
      <c r="H93" s="479">
        <v>0</v>
      </c>
      <c r="I93" s="479">
        <v>4.6643746083055673E-2</v>
      </c>
    </row>
    <row r="94" spans="1:11" hidden="1">
      <c r="A94" s="161">
        <v>3</v>
      </c>
      <c r="B94" s="477" t="s">
        <v>283</v>
      </c>
      <c r="C94" s="478" t="s">
        <v>306</v>
      </c>
      <c r="D94" s="479">
        <v>0.42104037137386302</v>
      </c>
      <c r="E94" s="479">
        <v>0.26194081238055</v>
      </c>
      <c r="F94" s="479">
        <v>0.16451006587587985</v>
      </c>
      <c r="G94" s="479">
        <v>3.2749336777353061E-2</v>
      </c>
      <c r="H94" s="479">
        <v>0</v>
      </c>
      <c r="I94" s="479">
        <v>0.11975941359235408</v>
      </c>
    </row>
    <row r="95" spans="1:11" hidden="1">
      <c r="A95" s="161">
        <v>4</v>
      </c>
      <c r="B95" s="477" t="s">
        <v>283</v>
      </c>
      <c r="C95" s="478" t="s">
        <v>306</v>
      </c>
      <c r="D95" s="479">
        <v>0.10799042743543892</v>
      </c>
      <c r="E95" s="479">
        <v>0.31171112045024246</v>
      </c>
      <c r="F95" s="479">
        <v>0.47614741994994059</v>
      </c>
      <c r="G95" s="479">
        <v>5.4246891754674564E-2</v>
      </c>
      <c r="H95" s="479">
        <v>0</v>
      </c>
      <c r="I95" s="479">
        <v>4.9904140409703444E-2</v>
      </c>
    </row>
    <row r="96" spans="1:11" hidden="1">
      <c r="A96" s="161">
        <v>5</v>
      </c>
      <c r="B96" s="477" t="s">
        <v>283</v>
      </c>
      <c r="C96" s="478" t="s">
        <v>306</v>
      </c>
      <c r="D96" s="479">
        <v>0.22760295695592397</v>
      </c>
      <c r="E96" s="479">
        <v>0.37813193935395129</v>
      </c>
      <c r="F96" s="479">
        <v>0.22077584037995598</v>
      </c>
      <c r="G96" s="479">
        <v>0.12028858935277392</v>
      </c>
      <c r="H96" s="479">
        <v>0</v>
      </c>
      <c r="I96" s="479">
        <v>5.3200673957394751E-2</v>
      </c>
    </row>
    <row r="97" spans="1:9" hidden="1">
      <c r="A97" s="161">
        <v>6</v>
      </c>
      <c r="B97" s="477" t="s">
        <v>283</v>
      </c>
      <c r="C97" s="478" t="s">
        <v>306</v>
      </c>
      <c r="D97" s="479">
        <v>0.33758185723798828</v>
      </c>
      <c r="E97" s="479">
        <v>0.14061582932460517</v>
      </c>
      <c r="F97" s="479">
        <v>0.19783462765065449</v>
      </c>
      <c r="G97" s="479">
        <v>1.255117692735566E-2</v>
      </c>
      <c r="H97" s="479">
        <v>0</v>
      </c>
      <c r="I97" s="479">
        <v>0.31141650885939631</v>
      </c>
    </row>
    <row r="98" spans="1:9" hidden="1">
      <c r="A98" s="161">
        <v>7</v>
      </c>
      <c r="B98" s="477" t="s">
        <v>283</v>
      </c>
      <c r="C98" s="478" t="s">
        <v>306</v>
      </c>
      <c r="D98" s="479">
        <v>0.5853913422765572</v>
      </c>
      <c r="E98" s="479">
        <v>0.23509844921676865</v>
      </c>
      <c r="F98" s="479">
        <v>3.7103285263119283E-2</v>
      </c>
      <c r="G98" s="479">
        <v>8.4451102710699343E-3</v>
      </c>
      <c r="H98" s="479">
        <v>0</v>
      </c>
      <c r="I98" s="479">
        <v>0.13396181297248511</v>
      </c>
    </row>
    <row r="99" spans="1:9" hidden="1">
      <c r="A99" s="161">
        <v>8</v>
      </c>
      <c r="B99" s="477" t="s">
        <v>283</v>
      </c>
      <c r="C99" s="478" t="s">
        <v>306</v>
      </c>
      <c r="D99" s="479">
        <v>0.28095891992002536</v>
      </c>
      <c r="E99" s="479">
        <v>0.39399222197684214</v>
      </c>
      <c r="F99" s="479">
        <v>0.11827419779023984</v>
      </c>
      <c r="G99" s="479">
        <v>7.0117617149881628E-2</v>
      </c>
      <c r="H99" s="479">
        <v>0</v>
      </c>
      <c r="I99" s="479">
        <v>0.13665704316301108</v>
      </c>
    </row>
    <row r="100" spans="1:9" hidden="1">
      <c r="A100" s="161">
        <v>9</v>
      </c>
      <c r="B100" s="477" t="s">
        <v>283</v>
      </c>
      <c r="C100" s="478" t="s">
        <v>306</v>
      </c>
      <c r="D100" s="479">
        <v>0.14868995284286446</v>
      </c>
      <c r="E100" s="479">
        <v>0.23006336349401491</v>
      </c>
      <c r="F100" s="479">
        <v>0.27812008455706583</v>
      </c>
      <c r="G100" s="479">
        <v>0.12041461739569063</v>
      </c>
      <c r="H100" s="479">
        <v>0</v>
      </c>
      <c r="I100" s="479">
        <v>0.22271198171036419</v>
      </c>
    </row>
    <row r="101" spans="1:9" hidden="1">
      <c r="A101" s="161">
        <v>10</v>
      </c>
      <c r="B101" s="477" t="s">
        <v>283</v>
      </c>
      <c r="C101" s="478" t="s">
        <v>306</v>
      </c>
      <c r="D101" s="479">
        <v>0.31500937816055613</v>
      </c>
      <c r="E101" s="479">
        <v>0.20217571686573893</v>
      </c>
      <c r="F101" s="479">
        <v>0.22950211729379791</v>
      </c>
      <c r="G101" s="479">
        <v>6.2573043075138113E-2</v>
      </c>
      <c r="H101" s="479">
        <v>0</v>
      </c>
      <c r="I101" s="479">
        <v>0.19073974460476889</v>
      </c>
    </row>
    <row r="102" spans="1:9" hidden="1">
      <c r="A102" s="161">
        <v>11</v>
      </c>
      <c r="B102" s="477" t="s">
        <v>283</v>
      </c>
      <c r="C102" s="478" t="s">
        <v>306</v>
      </c>
      <c r="D102" s="479">
        <v>0.42200326248932774</v>
      </c>
      <c r="E102" s="479">
        <v>0.15521840117597721</v>
      </c>
      <c r="F102" s="479">
        <v>0.18171647012197434</v>
      </c>
      <c r="G102" s="479">
        <v>6.3899233873689329E-2</v>
      </c>
      <c r="H102" s="479">
        <v>0</v>
      </c>
      <c r="I102" s="479">
        <v>0.17716263233903129</v>
      </c>
    </row>
    <row r="103" spans="1:9" hidden="1">
      <c r="A103" s="161" t="s">
        <v>1056</v>
      </c>
      <c r="B103" s="477" t="s">
        <v>283</v>
      </c>
      <c r="C103" s="478" t="s">
        <v>306</v>
      </c>
      <c r="D103" s="479">
        <v>0.46395105885440646</v>
      </c>
      <c r="E103" s="479">
        <v>0.3118907360200906</v>
      </c>
      <c r="F103" s="479">
        <v>0.11898880563475359</v>
      </c>
      <c r="G103" s="479">
        <v>9.0332776896798445E-2</v>
      </c>
      <c r="H103" s="479">
        <v>0</v>
      </c>
      <c r="I103" s="479">
        <v>1.4836622593951089E-2</v>
      </c>
    </row>
    <row r="104" spans="1:9" hidden="1">
      <c r="A104" s="161" t="s">
        <v>1057</v>
      </c>
      <c r="B104" s="477" t="s">
        <v>283</v>
      </c>
      <c r="C104" s="478" t="s">
        <v>306</v>
      </c>
      <c r="D104" s="479">
        <v>0.31286849624321927</v>
      </c>
      <c r="E104" s="479">
        <v>0.43823952114607584</v>
      </c>
      <c r="F104" s="479">
        <v>4.7097825892143737E-2</v>
      </c>
      <c r="G104" s="479">
        <v>6.680485452309208E-2</v>
      </c>
      <c r="H104" s="479">
        <v>0</v>
      </c>
      <c r="I104" s="479">
        <v>0.13498930219546912</v>
      </c>
    </row>
    <row r="105" spans="1:9" hidden="1">
      <c r="A105" s="161">
        <v>13</v>
      </c>
      <c r="B105" s="477" t="s">
        <v>283</v>
      </c>
      <c r="C105" s="478" t="s">
        <v>306</v>
      </c>
      <c r="D105" s="479">
        <v>0.32765866655976045</v>
      </c>
      <c r="E105" s="479">
        <v>0.29310786682682788</v>
      </c>
      <c r="F105" s="479">
        <v>0.28120314051693446</v>
      </c>
      <c r="G105" s="479">
        <v>6.7054079985117129E-2</v>
      </c>
      <c r="H105" s="479">
        <v>2.4135388556567338E-5</v>
      </c>
      <c r="I105" s="479">
        <v>3.0976246111359972E-2</v>
      </c>
    </row>
    <row r="106" spans="1:9" hidden="1">
      <c r="A106" s="161">
        <v>16</v>
      </c>
      <c r="B106" s="477" t="s">
        <v>283</v>
      </c>
      <c r="C106" s="478" t="s">
        <v>306</v>
      </c>
      <c r="D106" s="479">
        <v>0.45175243024626904</v>
      </c>
      <c r="E106" s="479">
        <v>0.47844429426104224</v>
      </c>
      <c r="F106" s="479">
        <v>6.6062823147707311E-2</v>
      </c>
      <c r="G106" s="479">
        <v>0</v>
      </c>
      <c r="H106" s="479">
        <v>2.4135388556567338E-5</v>
      </c>
      <c r="I106" s="479">
        <v>3.7404523449814202E-3</v>
      </c>
    </row>
    <row r="107" spans="1:9" hidden="1">
      <c r="A107" s="161">
        <v>17</v>
      </c>
      <c r="B107" s="477" t="s">
        <v>283</v>
      </c>
      <c r="C107" s="478" t="s">
        <v>306</v>
      </c>
      <c r="D107" s="479">
        <v>0.55520056005243212</v>
      </c>
      <c r="E107" s="479">
        <v>0.26372136236351712</v>
      </c>
      <c r="F107" s="479">
        <v>0</v>
      </c>
      <c r="G107" s="479">
        <v>0.1081662675925774</v>
      </c>
      <c r="H107" s="479">
        <v>2.4135388556567338E-5</v>
      </c>
      <c r="I107" s="479">
        <v>7.2911809991473384E-2</v>
      </c>
    </row>
    <row r="108" spans="1:9" ht="52.8" hidden="1">
      <c r="A108" s="475" t="s">
        <v>1053</v>
      </c>
      <c r="B108" s="476" t="s">
        <v>25</v>
      </c>
      <c r="C108" s="476"/>
      <c r="D108" s="303" t="s">
        <v>262</v>
      </c>
      <c r="E108" s="303" t="s">
        <v>124</v>
      </c>
      <c r="F108" s="303" t="s">
        <v>126</v>
      </c>
      <c r="G108" s="303" t="s">
        <v>1054</v>
      </c>
      <c r="H108" s="303">
        <v>2018</v>
      </c>
      <c r="I108" s="475" t="s">
        <v>1055</v>
      </c>
    </row>
    <row r="109" spans="1:9" hidden="1">
      <c r="A109" s="161" t="s">
        <v>282</v>
      </c>
      <c r="B109" s="477" t="s">
        <v>283</v>
      </c>
      <c r="C109" s="478" t="s">
        <v>305</v>
      </c>
      <c r="D109" s="479">
        <v>0.3589688613633189</v>
      </c>
      <c r="E109" s="479">
        <v>0.32144783080648903</v>
      </c>
      <c r="F109" s="479">
        <v>0.15425823438880207</v>
      </c>
      <c r="G109" s="479">
        <v>6.2602159351716605E-2</v>
      </c>
      <c r="H109" s="479">
        <v>2.2319613009659059E-4</v>
      </c>
      <c r="I109" s="479">
        <v>0.10249971795957681</v>
      </c>
    </row>
    <row r="110" spans="1:9" hidden="1">
      <c r="A110" s="161">
        <v>1</v>
      </c>
      <c r="B110" s="477" t="s">
        <v>283</v>
      </c>
      <c r="C110" s="478" t="s">
        <v>305</v>
      </c>
      <c r="D110" s="479">
        <v>0.45230361933712654</v>
      </c>
      <c r="E110" s="479">
        <v>0.29567850489449393</v>
      </c>
      <c r="F110" s="479">
        <v>0.10147982691171223</v>
      </c>
      <c r="G110" s="479">
        <v>6.3052369512166251E-2</v>
      </c>
      <c r="H110" s="479">
        <v>0</v>
      </c>
      <c r="I110" s="479">
        <v>8.7485679344500938E-2</v>
      </c>
    </row>
    <row r="111" spans="1:9" hidden="1">
      <c r="A111" s="161">
        <v>2</v>
      </c>
      <c r="B111" s="477" t="s">
        <v>283</v>
      </c>
      <c r="C111" s="478" t="s">
        <v>305</v>
      </c>
      <c r="D111" s="479">
        <v>0.36151652995461897</v>
      </c>
      <c r="E111" s="479">
        <v>0.36908608089461875</v>
      </c>
      <c r="F111" s="479">
        <v>0.15942816132210227</v>
      </c>
      <c r="G111" s="479">
        <v>6.3877462977008581E-2</v>
      </c>
      <c r="H111" s="479">
        <v>0</v>
      </c>
      <c r="I111" s="479">
        <v>4.6091764851651416E-2</v>
      </c>
    </row>
    <row r="112" spans="1:9" hidden="1">
      <c r="A112" s="161">
        <v>3</v>
      </c>
      <c r="B112" s="477" t="s">
        <v>283</v>
      </c>
      <c r="C112" s="478" t="s">
        <v>305</v>
      </c>
      <c r="D112" s="479">
        <v>0.34028796736311023</v>
      </c>
      <c r="E112" s="479">
        <v>0.29828284633682772</v>
      </c>
      <c r="F112" s="479">
        <v>0.17262988713176208</v>
      </c>
      <c r="G112" s="479">
        <v>8.0304244646282247E-2</v>
      </c>
      <c r="H112" s="479">
        <v>0</v>
      </c>
      <c r="I112" s="479">
        <v>0.10849505452201776</v>
      </c>
    </row>
    <row r="113" spans="1:9" hidden="1">
      <c r="A113" s="161">
        <v>4</v>
      </c>
      <c r="B113" s="477" t="s">
        <v>283</v>
      </c>
      <c r="C113" s="478" t="s">
        <v>305</v>
      </c>
      <c r="D113" s="479">
        <v>0.10031600120904877</v>
      </c>
      <c r="E113" s="479">
        <v>0.32466884532379842</v>
      </c>
      <c r="F113" s="479">
        <v>0.45117862447422091</v>
      </c>
      <c r="G113" s="479">
        <v>4.5154653256203797E-2</v>
      </c>
      <c r="H113" s="479">
        <v>0</v>
      </c>
      <c r="I113" s="479">
        <v>7.8681875736728107E-2</v>
      </c>
    </row>
    <row r="114" spans="1:9" hidden="1">
      <c r="A114" s="161">
        <v>5</v>
      </c>
      <c r="B114" s="477" t="s">
        <v>283</v>
      </c>
      <c r="C114" s="478" t="s">
        <v>305</v>
      </c>
      <c r="D114" s="479">
        <v>0.21544634685648825</v>
      </c>
      <c r="E114" s="479">
        <v>0.30296258732832049</v>
      </c>
      <c r="F114" s="479">
        <v>0.23924878555181855</v>
      </c>
      <c r="G114" s="479">
        <v>0.17882667539041525</v>
      </c>
      <c r="H114" s="479">
        <v>0</v>
      </c>
      <c r="I114" s="479">
        <v>6.3515604872957529E-2</v>
      </c>
    </row>
    <row r="115" spans="1:9" hidden="1">
      <c r="A115" s="161">
        <v>6</v>
      </c>
      <c r="B115" s="477" t="s">
        <v>283</v>
      </c>
      <c r="C115" s="478" t="s">
        <v>305</v>
      </c>
      <c r="D115" s="479">
        <v>0.30269946949146498</v>
      </c>
      <c r="E115" s="479">
        <v>0.32857947970218826</v>
      </c>
      <c r="F115" s="479">
        <v>8.1345910389186787E-2</v>
      </c>
      <c r="G115" s="479">
        <v>5.9060027295703928E-2</v>
      </c>
      <c r="H115" s="479">
        <v>0</v>
      </c>
      <c r="I115" s="479">
        <v>0.22831511312145614</v>
      </c>
    </row>
    <row r="116" spans="1:9" hidden="1">
      <c r="A116" s="161">
        <v>7</v>
      </c>
      <c r="B116" s="477" t="s">
        <v>283</v>
      </c>
      <c r="C116" s="478" t="s">
        <v>305</v>
      </c>
      <c r="D116" s="479">
        <v>0.48348382565175263</v>
      </c>
      <c r="E116" s="479">
        <v>0.27791586554253978</v>
      </c>
      <c r="F116" s="479">
        <v>7.2498537953493911E-2</v>
      </c>
      <c r="G116" s="479">
        <v>3.2846479542247974E-2</v>
      </c>
      <c r="H116" s="479">
        <v>1.1531007477548979E-3</v>
      </c>
      <c r="I116" s="479">
        <v>0.13210219056221073</v>
      </c>
    </row>
    <row r="117" spans="1:9" hidden="1">
      <c r="A117" s="161">
        <v>8</v>
      </c>
      <c r="B117" s="477" t="s">
        <v>283</v>
      </c>
      <c r="C117" s="478" t="s">
        <v>305</v>
      </c>
      <c r="D117" s="479">
        <v>0.23552625203160052</v>
      </c>
      <c r="E117" s="479">
        <v>0.54296905881381874</v>
      </c>
      <c r="F117" s="479">
        <v>7.5660229015997296E-2</v>
      </c>
      <c r="G117" s="479">
        <v>8.5809561221058664E-2</v>
      </c>
      <c r="H117" s="479">
        <v>0</v>
      </c>
      <c r="I117" s="479">
        <v>6.0034898917524712E-2</v>
      </c>
    </row>
    <row r="118" spans="1:9" hidden="1">
      <c r="A118" s="161">
        <v>9</v>
      </c>
      <c r="B118" s="477" t="s">
        <v>283</v>
      </c>
      <c r="C118" s="478" t="s">
        <v>305</v>
      </c>
      <c r="D118" s="479">
        <v>0.21809520076363489</v>
      </c>
      <c r="E118" s="479">
        <v>0.21838582681207033</v>
      </c>
      <c r="F118" s="479">
        <v>0.19016954383866572</v>
      </c>
      <c r="G118" s="479">
        <v>0.11069816605630049</v>
      </c>
      <c r="H118" s="479">
        <v>0</v>
      </c>
      <c r="I118" s="479">
        <v>0.26265126252932858</v>
      </c>
    </row>
    <row r="119" spans="1:9" hidden="1">
      <c r="A119" s="161">
        <v>10</v>
      </c>
      <c r="B119" s="477" t="s">
        <v>283</v>
      </c>
      <c r="C119" s="478" t="s">
        <v>305</v>
      </c>
      <c r="D119" s="479">
        <v>0.16814981630255407</v>
      </c>
      <c r="E119" s="479">
        <v>0.38554562584163277</v>
      </c>
      <c r="F119" s="479">
        <v>0.23790067619203425</v>
      </c>
      <c r="G119" s="479">
        <v>6.9991104864108408E-2</v>
      </c>
      <c r="H119" s="479">
        <v>0</v>
      </c>
      <c r="I119" s="479">
        <v>0.13841277679967046</v>
      </c>
    </row>
    <row r="120" spans="1:9" hidden="1">
      <c r="A120" s="161">
        <v>11</v>
      </c>
      <c r="B120" s="477" t="s">
        <v>283</v>
      </c>
      <c r="C120" s="478" t="s">
        <v>305</v>
      </c>
      <c r="D120" s="479">
        <v>0.16558000136004383</v>
      </c>
      <c r="E120" s="479">
        <v>0.27999723103871416</v>
      </c>
      <c r="F120" s="479">
        <v>0.29462996085690746</v>
      </c>
      <c r="G120" s="479">
        <v>9.7317050711726749E-2</v>
      </c>
      <c r="H120" s="479">
        <v>0</v>
      </c>
      <c r="I120" s="479">
        <v>0.16247575603260792</v>
      </c>
    </row>
    <row r="121" spans="1:9" hidden="1">
      <c r="A121" s="161" t="s">
        <v>1056</v>
      </c>
      <c r="B121" s="477" t="s">
        <v>283</v>
      </c>
      <c r="C121" s="478" t="s">
        <v>305</v>
      </c>
      <c r="D121" s="479">
        <v>0.23881621241575091</v>
      </c>
      <c r="E121" s="479">
        <v>0.47368679445407968</v>
      </c>
      <c r="F121" s="479">
        <v>0.1399446727981469</v>
      </c>
      <c r="G121" s="479">
        <v>6.6739546239185196E-2</v>
      </c>
      <c r="H121" s="479">
        <v>0</v>
      </c>
      <c r="I121" s="479">
        <v>8.0812774092837367E-2</v>
      </c>
    </row>
    <row r="122" spans="1:9" hidden="1">
      <c r="A122" s="161" t="s">
        <v>1057</v>
      </c>
      <c r="B122" s="477" t="s">
        <v>283</v>
      </c>
      <c r="C122" s="478" t="s">
        <v>305</v>
      </c>
      <c r="D122" s="479">
        <v>0.30485040118892459</v>
      </c>
      <c r="E122" s="479">
        <v>0.30465983149132142</v>
      </c>
      <c r="F122" s="479">
        <v>0.12627830994861616</v>
      </c>
      <c r="G122" s="479">
        <v>2.5575805412876979E-2</v>
      </c>
      <c r="H122" s="479">
        <v>0</v>
      </c>
      <c r="I122" s="479">
        <v>0.23863565195826089</v>
      </c>
    </row>
    <row r="123" spans="1:9" hidden="1">
      <c r="A123" s="161">
        <v>13</v>
      </c>
      <c r="B123" s="477" t="s">
        <v>283</v>
      </c>
      <c r="C123" s="478" t="s">
        <v>305</v>
      </c>
      <c r="D123" s="479">
        <v>0.30889886609431982</v>
      </c>
      <c r="E123" s="479">
        <v>0.377671748098035</v>
      </c>
      <c r="F123" s="479">
        <v>0.20396192968002785</v>
      </c>
      <c r="G123" s="479">
        <v>6.7054070235449292E-2</v>
      </c>
      <c r="H123" s="479">
        <v>0</v>
      </c>
      <c r="I123" s="479">
        <v>4.2413385892168122E-2</v>
      </c>
    </row>
    <row r="124" spans="1:9" hidden="1">
      <c r="A124" s="161">
        <v>16</v>
      </c>
      <c r="B124" s="477" t="s">
        <v>283</v>
      </c>
      <c r="C124" s="478" t="s">
        <v>305</v>
      </c>
      <c r="D124" s="479">
        <v>0.75649728135927718</v>
      </c>
      <c r="E124" s="479">
        <v>0.17536177444367934</v>
      </c>
      <c r="F124" s="479">
        <v>5.7382951480448363E-2</v>
      </c>
      <c r="G124" s="479">
        <v>0</v>
      </c>
      <c r="H124" s="479">
        <v>0</v>
      </c>
      <c r="I124" s="479">
        <v>1.0757992716595065E-2</v>
      </c>
    </row>
    <row r="125" spans="1:9" hidden="1">
      <c r="A125" s="161">
        <v>17</v>
      </c>
      <c r="B125" s="477" t="s">
        <v>283</v>
      </c>
      <c r="C125" s="478" t="s">
        <v>305</v>
      </c>
      <c r="D125" s="479">
        <v>0.69446869546374002</v>
      </c>
      <c r="E125" s="479">
        <v>0.19842781897428469</v>
      </c>
      <c r="F125" s="479">
        <v>0</v>
      </c>
      <c r="G125" s="479">
        <v>2.2131942533488571E-2</v>
      </c>
      <c r="H125" s="479">
        <v>0</v>
      </c>
      <c r="I125" s="479">
        <v>8.4971543028486737E-2</v>
      </c>
    </row>
  </sheetData>
  <mergeCells count="8">
    <mergeCell ref="A3:A18"/>
    <mergeCell ref="A1:E1"/>
    <mergeCell ref="W46:Y46"/>
    <mergeCell ref="C46:E46"/>
    <mergeCell ref="G46:I46"/>
    <mergeCell ref="K46:M46"/>
    <mergeCell ref="O46:Q46"/>
    <mergeCell ref="S46:U46"/>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C2528-244E-42F6-AB8E-307C68E3EB6B}">
  <sheetPr codeName="Sheet21"/>
  <dimension ref="A1:AB80"/>
  <sheetViews>
    <sheetView zoomScaleNormal="100" workbookViewId="0">
      <selection sqref="A1:G1"/>
    </sheetView>
  </sheetViews>
  <sheetFormatPr defaultColWidth="8.77734375" defaultRowHeight="13.2"/>
  <cols>
    <col min="1" max="2" width="12" style="154" customWidth="1"/>
    <col min="3" max="6" width="13.77734375" style="154" customWidth="1"/>
    <col min="7" max="7" width="13.21875" style="154" customWidth="1"/>
    <col min="8" max="8" width="12.77734375" style="154" bestFit="1" customWidth="1"/>
    <col min="9" max="9" width="8.77734375" style="154"/>
    <col min="10" max="10" width="12" style="154" customWidth="1"/>
    <col min="11" max="11" width="14.109375" style="154" customWidth="1"/>
    <col min="12" max="12" width="10.21875" style="154" customWidth="1"/>
    <col min="13" max="27" width="5.6640625" style="154" customWidth="1"/>
    <col min="28" max="16384" width="8.77734375" style="154"/>
  </cols>
  <sheetData>
    <row r="1" spans="1:28" ht="28.95" customHeight="1">
      <c r="A1" s="716" t="s">
        <v>1058</v>
      </c>
      <c r="B1" s="716"/>
      <c r="C1" s="716"/>
      <c r="D1" s="716"/>
      <c r="E1" s="716"/>
      <c r="F1" s="716"/>
      <c r="G1" s="716"/>
      <c r="J1" s="731" t="s">
        <v>1058</v>
      </c>
      <c r="K1" s="731"/>
      <c r="L1" s="731"/>
      <c r="M1" s="731"/>
      <c r="N1" s="731"/>
      <c r="O1" s="731"/>
      <c r="P1" s="731"/>
      <c r="Q1" s="731"/>
      <c r="R1" s="731"/>
      <c r="S1" s="731"/>
      <c r="T1" s="731"/>
      <c r="U1" s="731"/>
      <c r="V1" s="731"/>
      <c r="W1" s="731"/>
      <c r="X1" s="731"/>
      <c r="Y1" s="731"/>
      <c r="Z1" s="731"/>
      <c r="AA1" s="731"/>
    </row>
    <row r="2" spans="1:28" ht="21" customHeight="1">
      <c r="A2" s="886" t="s">
        <v>5</v>
      </c>
      <c r="B2" s="886" t="s">
        <v>256</v>
      </c>
      <c r="C2" s="886" t="s">
        <v>1120</v>
      </c>
      <c r="D2" s="886"/>
      <c r="E2" s="886"/>
      <c r="F2" s="886"/>
      <c r="G2" s="886"/>
      <c r="J2" s="886" t="s">
        <v>5</v>
      </c>
      <c r="K2" s="886" t="s">
        <v>1120</v>
      </c>
      <c r="L2" s="886" t="s">
        <v>256</v>
      </c>
      <c r="M2" s="886"/>
      <c r="N2" s="886"/>
      <c r="O2" s="886"/>
      <c r="P2" s="886"/>
      <c r="Q2" s="886"/>
      <c r="R2" s="886"/>
      <c r="S2" s="886"/>
      <c r="T2" s="886"/>
      <c r="U2" s="886"/>
      <c r="V2" s="886"/>
      <c r="W2" s="886"/>
      <c r="X2" s="886"/>
      <c r="Y2" s="886"/>
      <c r="Z2" s="886"/>
      <c r="AA2" s="886"/>
    </row>
    <row r="3" spans="1:28" ht="21" customHeight="1">
      <c r="A3" s="886"/>
      <c r="B3" s="886"/>
      <c r="C3" s="544" t="s">
        <v>262</v>
      </c>
      <c r="D3" s="544" t="s">
        <v>124</v>
      </c>
      <c r="E3" s="544" t="s">
        <v>126</v>
      </c>
      <c r="F3" s="544" t="s">
        <v>127</v>
      </c>
      <c r="G3" s="544" t="s">
        <v>1059</v>
      </c>
      <c r="J3" s="886"/>
      <c r="K3" s="886"/>
      <c r="L3" s="544">
        <v>1</v>
      </c>
      <c r="M3" s="544">
        <v>2</v>
      </c>
      <c r="N3" s="544">
        <v>3</v>
      </c>
      <c r="O3" s="544">
        <v>4</v>
      </c>
      <c r="P3" s="544">
        <v>5</v>
      </c>
      <c r="Q3" s="544">
        <v>6</v>
      </c>
      <c r="R3" s="544">
        <v>7</v>
      </c>
      <c r="S3" s="544">
        <v>8</v>
      </c>
      <c r="T3" s="544">
        <v>9</v>
      </c>
      <c r="U3" s="544">
        <v>10</v>
      </c>
      <c r="V3" s="544">
        <v>11</v>
      </c>
      <c r="W3" s="544">
        <v>12</v>
      </c>
      <c r="X3" s="544">
        <v>13</v>
      </c>
      <c r="Y3" s="544">
        <v>14</v>
      </c>
      <c r="Z3" s="544">
        <v>15</v>
      </c>
      <c r="AA3" s="544">
        <v>16</v>
      </c>
    </row>
    <row r="4" spans="1:28" ht="16.95" customHeight="1">
      <c r="A4" s="884" t="s">
        <v>130</v>
      </c>
      <c r="B4" s="647">
        <v>1</v>
      </c>
      <c r="C4" s="542">
        <v>0.34576478503428776</v>
      </c>
      <c r="D4" s="542">
        <v>0.34030751930301822</v>
      </c>
      <c r="E4" s="542">
        <v>0.18670741648595449</v>
      </c>
      <c r="F4" s="542">
        <v>7.4766653815595274E-2</v>
      </c>
      <c r="G4" s="543">
        <v>5.24536253611445E-2</v>
      </c>
      <c r="H4" s="650">
        <f>SUM(C4:G4)</f>
        <v>1.0000000000000002</v>
      </c>
      <c r="J4" s="878" t="s">
        <v>130</v>
      </c>
      <c r="K4" s="646" t="s">
        <v>262</v>
      </c>
      <c r="L4" s="403">
        <v>1.2201602162065289E-2</v>
      </c>
      <c r="M4" s="403">
        <v>3.5920994326309887E-2</v>
      </c>
      <c r="N4" s="403">
        <v>0.11488277605561587</v>
      </c>
      <c r="O4" s="403">
        <v>5.9110912463176138E-2</v>
      </c>
      <c r="P4" s="403">
        <v>1.2085250538201942E-2</v>
      </c>
      <c r="Q4" s="403">
        <v>7.6630983596364555E-2</v>
      </c>
      <c r="R4" s="403">
        <v>4.7722477670921214E-2</v>
      </c>
      <c r="S4" s="403">
        <v>0.13080281835521046</v>
      </c>
      <c r="T4" s="403">
        <v>0.17917405457969615</v>
      </c>
      <c r="U4" s="403">
        <v>5.0681921241005887E-2</v>
      </c>
      <c r="V4" s="403">
        <v>2.6683139780033911E-2</v>
      </c>
      <c r="W4" s="403">
        <v>0.12202025572137183</v>
      </c>
      <c r="X4" s="403">
        <v>3.9658727241401015E-2</v>
      </c>
      <c r="Y4" s="403">
        <v>1.7962892301148649E-2</v>
      </c>
      <c r="Z4" s="403">
        <v>1.8690167031636448E-2</v>
      </c>
      <c r="AA4" s="403">
        <v>5.5771026935840767E-2</v>
      </c>
      <c r="AB4" s="650">
        <f>SUM(L4:AA4)</f>
        <v>1</v>
      </c>
    </row>
    <row r="5" spans="1:28" ht="16.95" customHeight="1">
      <c r="A5" s="885"/>
      <c r="B5" s="648">
        <v>2</v>
      </c>
      <c r="C5" s="403">
        <v>0.46169047557755988</v>
      </c>
      <c r="D5" s="403">
        <v>0.33957225909737082</v>
      </c>
      <c r="E5" s="403">
        <v>0.12318701168229684</v>
      </c>
      <c r="F5" s="403">
        <v>5.1104100916774454E-2</v>
      </c>
      <c r="G5" s="509">
        <v>2.4446152725998052E-2</v>
      </c>
      <c r="H5" s="650">
        <f t="shared" ref="H5:H19" si="0">SUM(C5:G5)</f>
        <v>1</v>
      </c>
      <c r="J5" s="879"/>
      <c r="K5" s="646" t="s">
        <v>124</v>
      </c>
      <c r="L5" s="403">
        <v>1.3256142811483731E-2</v>
      </c>
      <c r="M5" s="403">
        <v>2.9163467955727756E-2</v>
      </c>
      <c r="N5" s="403">
        <v>7.8397037585757889E-2</v>
      </c>
      <c r="O5" s="403">
        <v>3.7900469582236015E-2</v>
      </c>
      <c r="P5" s="403">
        <v>1.1381292724943516E-2</v>
      </c>
      <c r="Q5" s="403">
        <v>6.7004413388867132E-2</v>
      </c>
      <c r="R5" s="403">
        <v>8.3818348012164534E-2</v>
      </c>
      <c r="S5" s="403">
        <v>8.1350811059711634E-2</v>
      </c>
      <c r="T5" s="403">
        <v>0.10055133027763939</v>
      </c>
      <c r="U5" s="403">
        <v>9.7068436776682976E-2</v>
      </c>
      <c r="V5" s="403">
        <v>3.9180977239544237E-2</v>
      </c>
      <c r="W5" s="403">
        <v>0.1649454104421286</v>
      </c>
      <c r="X5" s="403">
        <v>5.1375643020506692E-2</v>
      </c>
      <c r="Y5" s="403">
        <v>1.7808447702770985E-2</v>
      </c>
      <c r="Z5" s="403">
        <v>4.7522739180954759E-2</v>
      </c>
      <c r="AA5" s="403">
        <v>7.9275032238880203E-2</v>
      </c>
      <c r="AB5" s="650">
        <f t="shared" ref="AB5:AB8" si="1">SUM(L5:AA5)</f>
        <v>1</v>
      </c>
    </row>
    <row r="6" spans="1:28" ht="16.95" customHeight="1">
      <c r="A6" s="885"/>
      <c r="B6" s="648">
        <v>3</v>
      </c>
      <c r="C6" s="403">
        <v>0.47138085763779347</v>
      </c>
      <c r="D6" s="403">
        <v>0.29141180757467144</v>
      </c>
      <c r="E6" s="403">
        <v>0.10436316253731912</v>
      </c>
      <c r="F6" s="403">
        <v>4.0101721033734057E-2</v>
      </c>
      <c r="G6" s="509">
        <v>9.2742451216481975E-2</v>
      </c>
      <c r="H6" s="650">
        <f t="shared" si="0"/>
        <v>1.0000000000000002</v>
      </c>
      <c r="J6" s="879"/>
      <c r="K6" s="646" t="s">
        <v>126</v>
      </c>
      <c r="L6" s="403">
        <v>1.594674852583209E-2</v>
      </c>
      <c r="M6" s="403">
        <v>2.3197267457923408E-2</v>
      </c>
      <c r="N6" s="403">
        <v>6.1560861044458279E-2</v>
      </c>
      <c r="O6" s="403">
        <v>2.8743631726884107E-2</v>
      </c>
      <c r="P6" s="403">
        <v>6.4464086279789013E-3</v>
      </c>
      <c r="Q6" s="403">
        <v>2.9447494999581814E-2</v>
      </c>
      <c r="R6" s="403">
        <v>3.8045932137347534E-2</v>
      </c>
      <c r="S6" s="403">
        <v>3.6104502504745388E-2</v>
      </c>
      <c r="T6" s="403">
        <v>3.4072750862254322E-2</v>
      </c>
      <c r="U6" s="403">
        <v>0.10784068274977709</v>
      </c>
      <c r="V6" s="403">
        <v>7.0004298966298895E-2</v>
      </c>
      <c r="W6" s="403">
        <v>0.26013470800127025</v>
      </c>
      <c r="X6" s="403">
        <v>7.8750295292575337E-2</v>
      </c>
      <c r="Y6" s="403">
        <v>1.9927305086870781E-2</v>
      </c>
      <c r="Z6" s="403">
        <v>6.8353208300655527E-2</v>
      </c>
      <c r="AA6" s="403">
        <v>0.12142390371554646</v>
      </c>
      <c r="AB6" s="650">
        <f t="shared" si="1"/>
        <v>1.0000000000000002</v>
      </c>
    </row>
    <row r="7" spans="1:28" ht="16.95" customHeight="1">
      <c r="A7" s="885"/>
      <c r="B7" s="648">
        <v>4</v>
      </c>
      <c r="C7" s="403">
        <v>0.49260483729449767</v>
      </c>
      <c r="D7" s="403">
        <v>0.28613176347543934</v>
      </c>
      <c r="E7" s="403">
        <v>9.8968770147020324E-2</v>
      </c>
      <c r="F7" s="403">
        <v>4.0650901316920493E-2</v>
      </c>
      <c r="G7" s="509">
        <v>8.1643727766122109E-2</v>
      </c>
      <c r="H7" s="650">
        <f t="shared" si="0"/>
        <v>1</v>
      </c>
      <c r="J7" s="879"/>
      <c r="K7" s="646" t="s">
        <v>127</v>
      </c>
      <c r="L7" s="403">
        <v>1.6797989919947433E-2</v>
      </c>
      <c r="M7" s="403">
        <v>2.5314331197401764E-2</v>
      </c>
      <c r="N7" s="403">
        <v>6.2224191449523326E-2</v>
      </c>
      <c r="O7" s="403">
        <v>3.1056495111414652E-2</v>
      </c>
      <c r="P7" s="403">
        <v>6.7206824596290566E-3</v>
      </c>
      <c r="Q7" s="403">
        <v>4.771102290929978E-2</v>
      </c>
      <c r="R7" s="403">
        <v>3.2548365396600262E-2</v>
      </c>
      <c r="S7" s="403">
        <v>4.6937975555014694E-2</v>
      </c>
      <c r="T7" s="403">
        <v>8.5570595093229396E-2</v>
      </c>
      <c r="U7" s="403">
        <v>0.1171554491903998</v>
      </c>
      <c r="V7" s="403">
        <v>4.8691630713104818E-2</v>
      </c>
      <c r="W7" s="403">
        <v>0.17297759068977675</v>
      </c>
      <c r="X7" s="403">
        <v>8.1616368056693978E-2</v>
      </c>
      <c r="Y7" s="403">
        <v>1.9097656133553763E-2</v>
      </c>
      <c r="Z7" s="403">
        <v>9.2149570001169162E-2</v>
      </c>
      <c r="AA7" s="403">
        <v>0.11343008612324135</v>
      </c>
      <c r="AB7" s="650">
        <f t="shared" si="1"/>
        <v>0.99999999999999989</v>
      </c>
    </row>
    <row r="8" spans="1:28" ht="16.95" customHeight="1">
      <c r="A8" s="885"/>
      <c r="B8" s="648">
        <v>5</v>
      </c>
      <c r="C8" s="403">
        <v>0.37021221985568281</v>
      </c>
      <c r="D8" s="403">
        <v>0.31584729135020689</v>
      </c>
      <c r="E8" s="403">
        <v>8.1590284516946457E-2</v>
      </c>
      <c r="F8" s="403">
        <v>3.233666269119715E-2</v>
      </c>
      <c r="G8" s="509">
        <v>0.20001354158596671</v>
      </c>
      <c r="H8" s="650">
        <f t="shared" si="0"/>
        <v>1</v>
      </c>
      <c r="J8" s="879"/>
      <c r="K8" s="646" t="s">
        <v>1059</v>
      </c>
      <c r="L8" s="403">
        <v>7.8687744124386703E-3</v>
      </c>
      <c r="M8" s="403">
        <v>8.0854359121365123E-3</v>
      </c>
      <c r="N8" s="403">
        <v>9.6085318365264516E-2</v>
      </c>
      <c r="O8" s="403">
        <v>4.1647343131646503E-2</v>
      </c>
      <c r="P8" s="403">
        <v>2.7756186201224935E-2</v>
      </c>
      <c r="Q8" s="403">
        <v>5.3915455776456012E-2</v>
      </c>
      <c r="R8" s="403">
        <v>5.8414074975709919E-2</v>
      </c>
      <c r="S8" s="403">
        <v>9.2727501958666803E-2</v>
      </c>
      <c r="T8" s="403">
        <v>0.12449253026745098</v>
      </c>
      <c r="U8" s="403">
        <v>0.10953423345603223</v>
      </c>
      <c r="V8" s="403">
        <v>3.8682812497654373E-2</v>
      </c>
      <c r="W8" s="403">
        <v>0.11071077420124846</v>
      </c>
      <c r="X8" s="403">
        <v>5.332685232983031E-2</v>
      </c>
      <c r="Y8" s="403">
        <v>2.3946694437720541E-2</v>
      </c>
      <c r="Z8" s="403">
        <v>6.75586308772953E-2</v>
      </c>
      <c r="AA8" s="403">
        <v>8.5247381199224176E-2</v>
      </c>
      <c r="AB8" s="650">
        <f t="shared" si="1"/>
        <v>1.0000000000000002</v>
      </c>
    </row>
    <row r="9" spans="1:28" ht="16.95" customHeight="1">
      <c r="A9" s="885"/>
      <c r="B9" s="648">
        <v>6</v>
      </c>
      <c r="C9" s="403">
        <v>0.45163344441237113</v>
      </c>
      <c r="D9" s="403">
        <v>0.35774665033929159</v>
      </c>
      <c r="E9" s="403">
        <v>7.1706013130267587E-2</v>
      </c>
      <c r="F9" s="403">
        <v>4.4165906769986787E-2</v>
      </c>
      <c r="G9" s="509">
        <v>7.4747985348082885E-2</v>
      </c>
      <c r="H9" s="650">
        <f t="shared" si="0"/>
        <v>1</v>
      </c>
      <c r="J9" s="880"/>
      <c r="K9" s="646" t="s">
        <v>82</v>
      </c>
      <c r="L9" s="403">
        <v>1.3014987381387122E-2</v>
      </c>
      <c r="M9" s="403">
        <v>2.8694924411042121E-2</v>
      </c>
      <c r="N9" s="403">
        <v>8.9885705150626577E-2</v>
      </c>
      <c r="O9" s="403">
        <v>4.4256456867534835E-2</v>
      </c>
      <c r="P9" s="403">
        <v>1.2039613881879558E-2</v>
      </c>
      <c r="Q9" s="403">
        <v>6.2578616249403432E-2</v>
      </c>
      <c r="R9" s="403">
        <v>5.8356748797605308E-2</v>
      </c>
      <c r="S9" s="403">
        <v>9.1688230500518997E-2</v>
      </c>
      <c r="T9" s="403">
        <v>0.12062766872276441</v>
      </c>
      <c r="U9" s="403">
        <v>8.3847055280339824E-2</v>
      </c>
      <c r="V9" s="403">
        <v>3.9776231715361557E-2</v>
      </c>
      <c r="W9" s="403">
        <v>0.15937909955386872</v>
      </c>
      <c r="X9" s="403">
        <v>5.3146769791249916E-2</v>
      </c>
      <c r="Y9" s="403">
        <v>1.8795511936718318E-2</v>
      </c>
      <c r="Z9" s="403">
        <v>4.4386523957965641E-2</v>
      </c>
      <c r="AA9" s="403">
        <v>7.9525855801733672E-2</v>
      </c>
      <c r="AB9" s="297"/>
    </row>
    <row r="10" spans="1:28" ht="16.95" customHeight="1">
      <c r="A10" s="885"/>
      <c r="B10" s="648">
        <v>7</v>
      </c>
      <c r="C10" s="403">
        <v>0.30160570058345448</v>
      </c>
      <c r="D10" s="403">
        <v>0.47989489622560816</v>
      </c>
      <c r="E10" s="403">
        <v>9.9345984060776521E-2</v>
      </c>
      <c r="F10" s="403">
        <v>3.230966639787939E-2</v>
      </c>
      <c r="G10" s="509">
        <v>8.6843752732281426E-2</v>
      </c>
      <c r="H10" s="650">
        <f t="shared" si="0"/>
        <v>1</v>
      </c>
      <c r="J10" s="643"/>
      <c r="K10" s="644"/>
      <c r="L10" s="243"/>
      <c r="M10" s="243"/>
      <c r="N10" s="243"/>
      <c r="O10" s="243"/>
      <c r="P10" s="645"/>
    </row>
    <row r="11" spans="1:28" ht="16.95" customHeight="1">
      <c r="A11" s="885"/>
      <c r="B11" s="648">
        <v>8</v>
      </c>
      <c r="C11" s="403">
        <v>0.52615192169907243</v>
      </c>
      <c r="D11" s="403">
        <v>0.29644656213668569</v>
      </c>
      <c r="E11" s="403">
        <v>6.0004103166940347E-2</v>
      </c>
      <c r="F11" s="403">
        <v>2.9655492601488285E-2</v>
      </c>
      <c r="G11" s="509">
        <v>8.7741920395813411E-2</v>
      </c>
      <c r="H11" s="650">
        <f t="shared" si="0"/>
        <v>1</v>
      </c>
      <c r="J11" s="643"/>
      <c r="K11" s="644"/>
      <c r="L11" s="243"/>
      <c r="M11" s="243"/>
      <c r="N11" s="243"/>
      <c r="O11" s="243"/>
      <c r="P11" s="645"/>
    </row>
    <row r="12" spans="1:28" ht="16.95" customHeight="1">
      <c r="A12" s="885"/>
      <c r="B12" s="648">
        <v>9</v>
      </c>
      <c r="C12" s="403">
        <v>0.54781741913593318</v>
      </c>
      <c r="D12" s="403">
        <v>0.27850885535095304</v>
      </c>
      <c r="E12" s="403">
        <v>4.3042098637318664E-2</v>
      </c>
      <c r="F12" s="403">
        <v>4.1093392558374624E-2</v>
      </c>
      <c r="G12" s="509">
        <v>8.9538234317420626E-2</v>
      </c>
      <c r="H12" s="650">
        <f t="shared" si="0"/>
        <v>1.0000000000000002</v>
      </c>
      <c r="J12" s="643"/>
      <c r="K12" s="644"/>
      <c r="L12" s="243"/>
      <c r="M12" s="243"/>
      <c r="N12" s="243"/>
      <c r="O12" s="243"/>
      <c r="P12" s="645"/>
    </row>
    <row r="13" spans="1:28" ht="16.95" customHeight="1">
      <c r="A13" s="885"/>
      <c r="B13" s="648">
        <v>10</v>
      </c>
      <c r="C13" s="403">
        <v>0.22293225322384277</v>
      </c>
      <c r="D13" s="403">
        <v>0.38680167253894365</v>
      </c>
      <c r="E13" s="403">
        <v>0.19598732680835293</v>
      </c>
      <c r="F13" s="403">
        <v>8.0941091771612836E-2</v>
      </c>
      <c r="G13" s="509">
        <v>0.11333765565724779</v>
      </c>
      <c r="H13" s="650">
        <f t="shared" si="0"/>
        <v>1</v>
      </c>
      <c r="J13" s="643"/>
      <c r="K13" s="644"/>
      <c r="L13" s="243"/>
      <c r="M13" s="243"/>
      <c r="N13" s="243"/>
      <c r="O13" s="243"/>
      <c r="P13" s="645"/>
    </row>
    <row r="14" spans="1:28" ht="16.95" customHeight="1">
      <c r="A14" s="885"/>
      <c r="B14" s="648">
        <v>11</v>
      </c>
      <c r="C14" s="403">
        <v>0.24741210536132321</v>
      </c>
      <c r="D14" s="403">
        <v>0.3291165707984216</v>
      </c>
      <c r="E14" s="403">
        <v>0.26818485538125536</v>
      </c>
      <c r="F14" s="403">
        <v>7.0912869891764263E-2</v>
      </c>
      <c r="G14" s="509">
        <v>8.4373598567235586E-2</v>
      </c>
      <c r="H14" s="650">
        <f t="shared" si="0"/>
        <v>1</v>
      </c>
      <c r="J14" s="643"/>
      <c r="K14" s="644"/>
      <c r="L14" s="243"/>
      <c r="M14" s="243"/>
      <c r="N14" s="243"/>
      <c r="O14" s="243"/>
      <c r="P14" s="645"/>
    </row>
    <row r="15" spans="1:28" ht="16.95" customHeight="1">
      <c r="A15" s="885"/>
      <c r="B15" s="648">
        <v>12</v>
      </c>
      <c r="C15" s="403">
        <v>0.28236327638939929</v>
      </c>
      <c r="D15" s="403">
        <v>0.34578566850684178</v>
      </c>
      <c r="E15" s="403">
        <v>0.24871392856772373</v>
      </c>
      <c r="F15" s="403">
        <v>6.2871359899340465E-2</v>
      </c>
      <c r="G15" s="509">
        <v>6.0265766636694834E-2</v>
      </c>
      <c r="H15" s="650">
        <f t="shared" si="0"/>
        <v>1</v>
      </c>
      <c r="J15" s="643"/>
      <c r="K15" s="644"/>
      <c r="L15" s="243"/>
      <c r="M15" s="243"/>
      <c r="N15" s="243"/>
      <c r="O15" s="243"/>
      <c r="P15" s="645"/>
    </row>
    <row r="16" spans="1:28" ht="16.95" customHeight="1">
      <c r="A16" s="885"/>
      <c r="B16" s="648">
        <v>13</v>
      </c>
      <c r="C16" s="403">
        <v>0.27521338330909839</v>
      </c>
      <c r="D16" s="403">
        <v>0.32298214859677971</v>
      </c>
      <c r="E16" s="403">
        <v>0.2257919699249189</v>
      </c>
      <c r="F16" s="403">
        <v>8.8959999192243983E-2</v>
      </c>
      <c r="G16" s="509">
        <v>8.7052498976959075E-2</v>
      </c>
      <c r="H16" s="650">
        <f t="shared" si="0"/>
        <v>1</v>
      </c>
      <c r="J16" s="643"/>
      <c r="K16" s="644"/>
      <c r="L16" s="243"/>
      <c r="M16" s="243"/>
      <c r="N16" s="243"/>
      <c r="O16" s="243"/>
      <c r="P16" s="645"/>
    </row>
    <row r="17" spans="1:16" ht="16.95" customHeight="1">
      <c r="A17" s="885"/>
      <c r="B17" s="648">
        <v>14</v>
      </c>
      <c r="C17" s="403">
        <v>0.35247616730209674</v>
      </c>
      <c r="D17" s="403">
        <v>0.31657019845133683</v>
      </c>
      <c r="E17" s="403">
        <v>0.16155767183542619</v>
      </c>
      <c r="F17" s="403">
        <v>5.8860004289701409E-2</v>
      </c>
      <c r="G17" s="509">
        <v>0.11053595812143893</v>
      </c>
      <c r="H17" s="650">
        <f t="shared" si="0"/>
        <v>1</v>
      </c>
      <c r="J17" s="643"/>
      <c r="K17" s="644"/>
      <c r="L17" s="243"/>
      <c r="M17" s="243"/>
      <c r="N17" s="243"/>
      <c r="O17" s="243"/>
      <c r="P17" s="645"/>
    </row>
    <row r="18" spans="1:16" ht="16.95" customHeight="1">
      <c r="A18" s="885"/>
      <c r="B18" s="648">
        <v>15</v>
      </c>
      <c r="C18" s="403">
        <v>0.15529937137544797</v>
      </c>
      <c r="D18" s="403">
        <v>0.35772430788924786</v>
      </c>
      <c r="E18" s="403">
        <v>0.23466101442085027</v>
      </c>
      <c r="F18" s="403">
        <v>0.12026425265427662</v>
      </c>
      <c r="G18" s="509">
        <v>0.13205105366017714</v>
      </c>
      <c r="H18" s="650">
        <f t="shared" si="0"/>
        <v>0.99999999999999989</v>
      </c>
      <c r="J18" s="643"/>
      <c r="K18" s="644"/>
      <c r="L18" s="243"/>
      <c r="M18" s="243"/>
      <c r="N18" s="243"/>
      <c r="O18" s="243"/>
      <c r="P18" s="645"/>
    </row>
    <row r="19" spans="1:16" ht="16.95" customHeight="1">
      <c r="A19" s="885"/>
      <c r="B19" s="648">
        <v>16</v>
      </c>
      <c r="C19" s="509">
        <v>0.25864729490308325</v>
      </c>
      <c r="D19" s="509">
        <v>0.33306285334503105</v>
      </c>
      <c r="E19" s="509">
        <v>0.23266390611249038</v>
      </c>
      <c r="F19" s="509">
        <v>8.2625535983213094E-2</v>
      </c>
      <c r="G19" s="509">
        <v>9.3000409656182073E-2</v>
      </c>
      <c r="H19" s="650">
        <f t="shared" si="0"/>
        <v>0.99999999999999978</v>
      </c>
      <c r="J19" s="643"/>
      <c r="K19" s="644"/>
      <c r="L19" s="243"/>
      <c r="M19" s="243"/>
      <c r="N19" s="243"/>
      <c r="O19" s="243"/>
      <c r="P19" s="645"/>
    </row>
    <row r="20" spans="1:16">
      <c r="A20" s="885"/>
      <c r="B20" s="649" t="s">
        <v>282</v>
      </c>
      <c r="C20" s="509">
        <v>0.39771601360302894</v>
      </c>
      <c r="D20" s="509">
        <v>0.33444859854948428</v>
      </c>
      <c r="E20" s="509">
        <v>0.1343962566562083</v>
      </c>
      <c r="F20" s="509">
        <v>4.8175501556379154E-2</v>
      </c>
      <c r="G20" s="509">
        <v>8.5263629634900986E-2</v>
      </c>
    </row>
    <row r="22" spans="1:16">
      <c r="A22" s="154" t="s">
        <v>1060</v>
      </c>
    </row>
    <row r="29" spans="1:16" s="207" customFormat="1" hidden="1">
      <c r="A29" s="207" t="s">
        <v>76</v>
      </c>
      <c r="E29" s="208"/>
      <c r="F29" s="209"/>
      <c r="G29" s="210"/>
    </row>
    <row r="30" spans="1:16" hidden="1"/>
    <row r="31" spans="1:16" hidden="1">
      <c r="A31" s="154" t="s">
        <v>176</v>
      </c>
    </row>
    <row r="32" spans="1:16" ht="39.6" hidden="1">
      <c r="A32" s="304" t="s">
        <v>1061</v>
      </c>
      <c r="B32" s="480" t="s">
        <v>25</v>
      </c>
      <c r="C32" s="480" t="s">
        <v>262</v>
      </c>
      <c r="D32" s="480" t="s">
        <v>124</v>
      </c>
      <c r="E32" s="480" t="s">
        <v>126</v>
      </c>
      <c r="F32" s="480" t="s">
        <v>1054</v>
      </c>
      <c r="G32" s="480">
        <v>2018</v>
      </c>
      <c r="H32" s="304" t="s">
        <v>1055</v>
      </c>
      <c r="I32" s="481" t="s">
        <v>82</v>
      </c>
      <c r="K32" s="154" t="s">
        <v>127</v>
      </c>
      <c r="L32" t="s">
        <v>1144</v>
      </c>
    </row>
    <row r="33" spans="1:12" hidden="1">
      <c r="A33" s="161" t="s">
        <v>282</v>
      </c>
      <c r="B33" s="477" t="s">
        <v>283</v>
      </c>
      <c r="C33" s="479">
        <v>0.39055720125042798</v>
      </c>
      <c r="D33" s="479">
        <v>0.32054924195969953</v>
      </c>
      <c r="E33" s="479">
        <v>0.13196479727094398</v>
      </c>
      <c r="F33" s="479">
        <v>4.6532957819755125E-2</v>
      </c>
      <c r="G33" s="479">
        <v>4.6801205299373848E-4</v>
      </c>
      <c r="H33" s="479">
        <v>0.10992778964617919</v>
      </c>
      <c r="I33" s="482">
        <v>1</v>
      </c>
      <c r="K33" s="483">
        <f>F33+G33</f>
        <v>4.7000969872748863E-2</v>
      </c>
      <c r="L33" s="465">
        <f>SUM(L34:L49)</f>
        <v>729220.64292341308</v>
      </c>
    </row>
    <row r="34" spans="1:12" hidden="1">
      <c r="A34" s="161">
        <v>1</v>
      </c>
      <c r="B34" s="477" t="s">
        <v>283</v>
      </c>
      <c r="C34" s="479">
        <v>0.49229156602087693</v>
      </c>
      <c r="D34" s="479">
        <v>0.27621144100372907</v>
      </c>
      <c r="E34" s="479">
        <v>0.10186498453256364</v>
      </c>
      <c r="F34" s="479">
        <v>4.1901259350047626E-2</v>
      </c>
      <c r="G34" s="479">
        <v>0</v>
      </c>
      <c r="H34" s="479">
        <v>8.7730749092782695E-2</v>
      </c>
      <c r="I34" s="482">
        <v>0.99999999999999989</v>
      </c>
      <c r="K34" s="483">
        <f t="shared" ref="K34:K49" si="2">F34+G34</f>
        <v>4.1901259350047626E-2</v>
      </c>
      <c r="L34" s="465">
        <v>119595.577569407</v>
      </c>
    </row>
    <row r="35" spans="1:12" hidden="1">
      <c r="A35" s="161">
        <v>2</v>
      </c>
      <c r="B35" s="477" t="s">
        <v>283</v>
      </c>
      <c r="C35" s="479">
        <v>0.4616833435941215</v>
      </c>
      <c r="D35" s="479">
        <v>0.33779851515833248</v>
      </c>
      <c r="E35" s="479">
        <v>0.12287337564722189</v>
      </c>
      <c r="F35" s="479">
        <v>5.037888260720022E-2</v>
      </c>
      <c r="G35" s="479">
        <v>0</v>
      </c>
      <c r="H35" s="479">
        <v>2.7265882993123998E-2</v>
      </c>
      <c r="I35" s="482">
        <v>1</v>
      </c>
      <c r="K35" s="483">
        <f t="shared" si="2"/>
        <v>5.037888260720022E-2</v>
      </c>
      <c r="L35" s="465">
        <v>33616.997018630398</v>
      </c>
    </row>
    <row r="36" spans="1:12" hidden="1">
      <c r="A36" s="161">
        <v>3</v>
      </c>
      <c r="B36" s="477" t="s">
        <v>283</v>
      </c>
      <c r="C36" s="479">
        <v>0.35133698669636287</v>
      </c>
      <c r="D36" s="479">
        <v>0.29735123533889662</v>
      </c>
      <c r="E36" s="479">
        <v>0.15972187120791284</v>
      </c>
      <c r="F36" s="479">
        <v>5.9548007170190667E-2</v>
      </c>
      <c r="G36" s="479">
        <v>0</v>
      </c>
      <c r="H36" s="479">
        <v>0.13204189958663687</v>
      </c>
      <c r="I36" s="482">
        <v>0.99999999999999978</v>
      </c>
      <c r="K36" s="483">
        <f t="shared" si="2"/>
        <v>5.9548007170190667E-2</v>
      </c>
      <c r="L36" s="465">
        <v>9405.1639436092391</v>
      </c>
    </row>
    <row r="37" spans="1:12" hidden="1">
      <c r="A37" s="161">
        <v>4</v>
      </c>
      <c r="B37" s="477" t="s">
        <v>283</v>
      </c>
      <c r="C37" s="479">
        <v>0.1054345310140103</v>
      </c>
      <c r="D37" s="479">
        <v>0.33085784923676231</v>
      </c>
      <c r="E37" s="479">
        <v>0.44093491419994485</v>
      </c>
      <c r="F37" s="479">
        <v>4.5761264415698999E-2</v>
      </c>
      <c r="G37" s="479">
        <v>0</v>
      </c>
      <c r="H37" s="479">
        <v>7.7011441133583505E-2</v>
      </c>
      <c r="I37" s="482">
        <v>0.99999999999999989</v>
      </c>
      <c r="K37" s="483">
        <f t="shared" si="2"/>
        <v>4.5761264415698999E-2</v>
      </c>
      <c r="L37" s="465">
        <v>45237.817363033399</v>
      </c>
    </row>
    <row r="38" spans="1:12" hidden="1">
      <c r="A38" s="161">
        <v>5</v>
      </c>
      <c r="B38" s="477" t="s">
        <v>283</v>
      </c>
      <c r="C38" s="479">
        <v>0.27174546020805568</v>
      </c>
      <c r="D38" s="479">
        <v>0.34074192103795709</v>
      </c>
      <c r="E38" s="479">
        <v>0.22424547423259861</v>
      </c>
      <c r="F38" s="479">
        <v>8.8750291577199422E-2</v>
      </c>
      <c r="G38" s="479">
        <v>0</v>
      </c>
      <c r="H38" s="479">
        <v>7.4516852944189194E-2</v>
      </c>
      <c r="I38" s="482">
        <v>0.99999999999999989</v>
      </c>
      <c r="K38" s="483">
        <f t="shared" si="2"/>
        <v>8.8750291577199422E-2</v>
      </c>
      <c r="L38" s="465">
        <v>43153.105531319401</v>
      </c>
    </row>
    <row r="39" spans="1:12" hidden="1">
      <c r="A39" s="161">
        <v>6</v>
      </c>
      <c r="B39" s="477" t="s">
        <v>283</v>
      </c>
      <c r="C39" s="479">
        <v>0.36794135926948235</v>
      </c>
      <c r="D39" s="479">
        <v>0.31173018373562822</v>
      </c>
      <c r="E39" s="479">
        <v>7.3232661653941003E-2</v>
      </c>
      <c r="F39" s="479">
        <v>3.2108609780588292E-2</v>
      </c>
      <c r="G39" s="479">
        <v>0</v>
      </c>
      <c r="H39" s="479">
        <v>0.21498718556036014</v>
      </c>
      <c r="I39" s="482">
        <v>1</v>
      </c>
      <c r="K39" s="483">
        <f t="shared" si="2"/>
        <v>3.2108609780588292E-2</v>
      </c>
      <c r="L39" s="465">
        <v>34954.8250034964</v>
      </c>
    </row>
    <row r="40" spans="1:12" hidden="1">
      <c r="A40" s="161">
        <v>7</v>
      </c>
      <c r="B40" s="477" t="s">
        <v>283</v>
      </c>
      <c r="C40" s="479">
        <v>0.49357998544058496</v>
      </c>
      <c r="D40" s="479">
        <v>0.27608269401002911</v>
      </c>
      <c r="E40" s="479">
        <v>6.4239191661350004E-2</v>
      </c>
      <c r="F40" s="479">
        <v>2.7310472436036338E-2</v>
      </c>
      <c r="G40" s="479">
        <v>2.0299051498175917E-3</v>
      </c>
      <c r="H40" s="479">
        <v>0.13675775130218204</v>
      </c>
      <c r="I40" s="482">
        <v>1</v>
      </c>
      <c r="K40" s="483">
        <f t="shared" si="2"/>
        <v>2.9340377585853929E-2</v>
      </c>
      <c r="L40" s="465">
        <v>168128.07741813399</v>
      </c>
    </row>
    <row r="41" spans="1:12" hidden="1">
      <c r="A41" s="161">
        <v>8</v>
      </c>
      <c r="B41" s="477" t="s">
        <v>283</v>
      </c>
      <c r="C41" s="479">
        <v>0.26930889645050166</v>
      </c>
      <c r="D41" s="479">
        <v>0.48402865259070987</v>
      </c>
      <c r="E41" s="479">
        <v>9.7879686240195884E-2</v>
      </c>
      <c r="F41" s="479">
        <v>9.0458863759883046E-2</v>
      </c>
      <c r="G41" s="479">
        <v>0</v>
      </c>
      <c r="H41" s="479">
        <v>5.8323900958709644E-2</v>
      </c>
      <c r="I41" s="482">
        <v>1</v>
      </c>
      <c r="K41" s="483">
        <f t="shared" si="2"/>
        <v>9.0458863759883046E-2</v>
      </c>
      <c r="L41" s="465">
        <v>24229.8711410219</v>
      </c>
    </row>
    <row r="42" spans="1:12" hidden="1">
      <c r="A42" s="161">
        <v>9</v>
      </c>
      <c r="B42" s="477" t="s">
        <v>283</v>
      </c>
      <c r="C42" s="479">
        <v>0.26610117258756211</v>
      </c>
      <c r="D42" s="479">
        <v>0.24380818684659047</v>
      </c>
      <c r="E42" s="479">
        <v>0.23268647056622224</v>
      </c>
      <c r="F42" s="479">
        <v>8.9894983109559498E-2</v>
      </c>
      <c r="G42" s="479">
        <v>0</v>
      </c>
      <c r="H42" s="479">
        <v>0.16750918689006558</v>
      </c>
      <c r="I42" s="482">
        <v>0.99999999999999989</v>
      </c>
      <c r="K42" s="483">
        <f t="shared" si="2"/>
        <v>8.9894983109559498E-2</v>
      </c>
      <c r="L42" s="465">
        <v>11692.4715124552</v>
      </c>
    </row>
    <row r="43" spans="1:12" hidden="1">
      <c r="A43" s="161">
        <v>10</v>
      </c>
      <c r="B43" s="477" t="s">
        <v>283</v>
      </c>
      <c r="C43" s="479">
        <v>0.23333439676499831</v>
      </c>
      <c r="D43" s="479">
        <v>0.31235343489152267</v>
      </c>
      <c r="E43" s="479">
        <v>0.22634974217709103</v>
      </c>
      <c r="F43" s="479">
        <v>7.8500252068401583E-2</v>
      </c>
      <c r="G43" s="479">
        <v>0</v>
      </c>
      <c r="H43" s="479">
        <v>0.14946217409798648</v>
      </c>
      <c r="I43" s="482">
        <v>1.0000000000000002</v>
      </c>
      <c r="K43" s="483">
        <f t="shared" si="2"/>
        <v>7.8500252068401583E-2</v>
      </c>
      <c r="L43" s="465">
        <v>33664.067962068999</v>
      </c>
    </row>
    <row r="44" spans="1:12" hidden="1">
      <c r="A44" s="161">
        <v>11</v>
      </c>
      <c r="B44" s="477" t="s">
        <v>283</v>
      </c>
      <c r="C44" s="479">
        <v>0.15071273269320182</v>
      </c>
      <c r="D44" s="479">
        <v>0.31828928020856179</v>
      </c>
      <c r="E44" s="479">
        <v>0.2353499666465371</v>
      </c>
      <c r="F44" s="479">
        <v>0.12159304215498382</v>
      </c>
      <c r="G44" s="479">
        <v>0</v>
      </c>
      <c r="H44" s="479">
        <v>0.17405497829671537</v>
      </c>
      <c r="I44" s="482">
        <v>0.99999999999999978</v>
      </c>
      <c r="K44" s="483">
        <f t="shared" si="2"/>
        <v>0.12159304215498382</v>
      </c>
      <c r="L44" s="465">
        <v>35588.191164836702</v>
      </c>
    </row>
    <row r="45" spans="1:12" hidden="1">
      <c r="A45" s="161" t="s">
        <v>1056</v>
      </c>
      <c r="B45" s="477" t="s">
        <v>283</v>
      </c>
      <c r="C45" s="479">
        <v>0.27133901509099106</v>
      </c>
      <c r="D45" s="479">
        <v>0.51706159038885724</v>
      </c>
      <c r="E45" s="479">
        <v>8.6642331839518361E-2</v>
      </c>
      <c r="F45" s="479">
        <v>3.9424143817435447E-2</v>
      </c>
      <c r="G45" s="479">
        <v>0</v>
      </c>
      <c r="H45" s="479">
        <v>8.5532918863197874E-2</v>
      </c>
      <c r="I45" s="482">
        <v>1</v>
      </c>
      <c r="K45" s="483">
        <f t="shared" si="2"/>
        <v>3.9424143817435447E-2</v>
      </c>
      <c r="L45" s="465">
        <v>66439.552526901098</v>
      </c>
    </row>
    <row r="46" spans="1:12" hidden="1">
      <c r="A46" s="161" t="s">
        <v>1057</v>
      </c>
      <c r="B46" s="477" t="s">
        <v>283</v>
      </c>
      <c r="C46" s="479">
        <v>0.33099060756255672</v>
      </c>
      <c r="D46" s="479">
        <v>0.25225531947529478</v>
      </c>
      <c r="E46" s="479">
        <v>0.10310907180993627</v>
      </c>
      <c r="F46" s="479">
        <v>6.9768474467105709E-3</v>
      </c>
      <c r="G46" s="479">
        <v>0</v>
      </c>
      <c r="H46" s="479">
        <v>0.30666815370550166</v>
      </c>
      <c r="I46" s="482">
        <v>1</v>
      </c>
      <c r="K46" s="483">
        <f t="shared" si="2"/>
        <v>6.9768474467105709E-3</v>
      </c>
      <c r="L46" s="465">
        <v>21127.579698825699</v>
      </c>
    </row>
    <row r="47" spans="1:12" hidden="1">
      <c r="A47" s="161">
        <v>13</v>
      </c>
      <c r="B47" s="477" t="s">
        <v>283</v>
      </c>
      <c r="C47" s="479">
        <v>0.32632305309109705</v>
      </c>
      <c r="D47" s="479">
        <v>0.41747371686932522</v>
      </c>
      <c r="E47" s="479">
        <v>0.1875124167563573</v>
      </c>
      <c r="F47" s="479">
        <v>3.6549681307580462E-2</v>
      </c>
      <c r="G47" s="479">
        <v>0</v>
      </c>
      <c r="H47" s="479">
        <v>3.2141131975639961E-2</v>
      </c>
      <c r="I47" s="482">
        <v>1</v>
      </c>
      <c r="K47" s="483">
        <f t="shared" si="2"/>
        <v>3.6549681307580462E-2</v>
      </c>
      <c r="L47" s="465">
        <v>29100.3242667962</v>
      </c>
    </row>
    <row r="48" spans="1:12" hidden="1">
      <c r="A48" s="161">
        <v>16</v>
      </c>
      <c r="B48" s="477" t="s">
        <v>283</v>
      </c>
      <c r="C48" s="479">
        <v>0.74894659337207037</v>
      </c>
      <c r="D48" s="479">
        <v>0.2123471506508848</v>
      </c>
      <c r="E48" s="479">
        <v>2.4644793841334337E-2</v>
      </c>
      <c r="F48" s="479">
        <v>0</v>
      </c>
      <c r="G48" s="479">
        <v>0</v>
      </c>
      <c r="H48" s="479">
        <v>1.4061462135710375E-2</v>
      </c>
      <c r="I48" s="482">
        <v>0.99999999999999989</v>
      </c>
      <c r="K48" s="483">
        <f t="shared" si="2"/>
        <v>0</v>
      </c>
      <c r="L48" s="465">
        <v>38649.953145301697</v>
      </c>
    </row>
    <row r="49" spans="1:20" hidden="1">
      <c r="A49" s="161">
        <v>17</v>
      </c>
      <c r="B49" s="477" t="s">
        <v>283</v>
      </c>
      <c r="C49" s="479">
        <v>0.57666003242367558</v>
      </c>
      <c r="D49" s="479">
        <v>0.21316775843059591</v>
      </c>
      <c r="E49" s="479">
        <v>0</v>
      </c>
      <c r="F49" s="479">
        <v>6.9057190237551511E-2</v>
      </c>
      <c r="G49" s="479">
        <v>0</v>
      </c>
      <c r="H49" s="479">
        <v>0.14111501890817699</v>
      </c>
      <c r="I49" s="482">
        <v>1</v>
      </c>
      <c r="K49" s="483">
        <f t="shared" si="2"/>
        <v>6.9057190237551511E-2</v>
      </c>
      <c r="L49" s="465">
        <v>14637.067657575701</v>
      </c>
    </row>
    <row r="50" spans="1:20" hidden="1"/>
    <row r="51" spans="1:20" hidden="1"/>
    <row r="52" spans="1:20" hidden="1"/>
    <row r="53" spans="1:20" hidden="1">
      <c r="E53" s="154" t="s">
        <v>1062</v>
      </c>
    </row>
    <row r="54" spans="1:20" hidden="1">
      <c r="A54" s="881" t="s">
        <v>2</v>
      </c>
      <c r="B54" s="883" t="s">
        <v>1063</v>
      </c>
      <c r="C54" s="883"/>
      <c r="D54" s="883"/>
      <c r="E54" s="484">
        <v>61112.2</v>
      </c>
    </row>
    <row r="55" spans="1:20" hidden="1">
      <c r="A55" s="881"/>
      <c r="B55" s="883" t="s">
        <v>1064</v>
      </c>
      <c r="C55" s="883"/>
      <c r="D55" s="883"/>
      <c r="E55" s="485">
        <v>297298.7</v>
      </c>
    </row>
    <row r="56" spans="1:20" hidden="1">
      <c r="A56" s="882" t="s">
        <v>176</v>
      </c>
      <c r="B56" s="329" t="s">
        <v>1065</v>
      </c>
      <c r="C56" s="329"/>
      <c r="D56" s="329"/>
      <c r="E56" s="486">
        <v>771141.35002315126</v>
      </c>
    </row>
    <row r="57" spans="1:20" hidden="1">
      <c r="A57" s="882"/>
      <c r="B57" s="329" t="s">
        <v>1066</v>
      </c>
      <c r="C57" s="329"/>
      <c r="D57" s="329"/>
      <c r="E57" s="485">
        <f>F57*E56</f>
        <v>304706.35579540255</v>
      </c>
      <c r="F57" s="479">
        <v>0.3951368394215336</v>
      </c>
    </row>
    <row r="58" spans="1:20" hidden="1">
      <c r="B58" s="329"/>
      <c r="C58" s="329"/>
      <c r="D58" s="329"/>
      <c r="E58" s="329"/>
    </row>
    <row r="59" spans="1:20" hidden="1">
      <c r="B59" s="329" t="s">
        <v>1067</v>
      </c>
      <c r="C59" s="329"/>
      <c r="D59" s="329"/>
      <c r="E59" s="487">
        <f>E54/E57</f>
        <v>0.20056096250592903</v>
      </c>
    </row>
    <row r="60" spans="1:20" hidden="1"/>
    <row r="61" spans="1:20" ht="13.8" hidden="1" thickBot="1"/>
    <row r="62" spans="1:20" ht="18.600000000000001" hidden="1" thickBot="1">
      <c r="A62" s="641" t="s">
        <v>176</v>
      </c>
      <c r="B62" s="642"/>
      <c r="C62" s="875" t="s">
        <v>1118</v>
      </c>
      <c r="D62" s="876"/>
      <c r="E62" s="876"/>
      <c r="F62" s="876"/>
      <c r="G62" s="876"/>
      <c r="H62" s="877"/>
      <c r="I62" s="875" t="s">
        <v>1119</v>
      </c>
      <c r="J62" s="876"/>
      <c r="K62" s="876"/>
      <c r="L62" s="876"/>
      <c r="M62" s="876"/>
      <c r="N62" s="877"/>
      <c r="O62" s="875" t="s">
        <v>82</v>
      </c>
      <c r="P62" s="876"/>
      <c r="Q62" s="876"/>
      <c r="R62" s="876"/>
      <c r="S62" s="876"/>
      <c r="T62" s="877"/>
    </row>
    <row r="63" spans="1:20" ht="42" hidden="1" thickBot="1">
      <c r="A63" s="629" t="s">
        <v>332</v>
      </c>
      <c r="B63" s="630" t="s">
        <v>25</v>
      </c>
      <c r="C63" s="631" t="s">
        <v>262</v>
      </c>
      <c r="D63" s="632" t="s">
        <v>124</v>
      </c>
      <c r="E63" s="632" t="s">
        <v>126</v>
      </c>
      <c r="F63" s="633" t="s">
        <v>127</v>
      </c>
      <c r="G63" s="634" t="s">
        <v>264</v>
      </c>
      <c r="H63" s="635" t="s">
        <v>82</v>
      </c>
      <c r="I63" s="631" t="s">
        <v>262</v>
      </c>
      <c r="J63" s="632" t="s">
        <v>124</v>
      </c>
      <c r="K63" s="632" t="s">
        <v>126</v>
      </c>
      <c r="L63" s="633" t="s">
        <v>127</v>
      </c>
      <c r="M63" s="634" t="s">
        <v>264</v>
      </c>
      <c r="N63" s="635" t="s">
        <v>82</v>
      </c>
      <c r="O63" s="631" t="s">
        <v>262</v>
      </c>
      <c r="P63" s="632" t="s">
        <v>124</v>
      </c>
      <c r="Q63" s="632" t="s">
        <v>126</v>
      </c>
      <c r="R63" s="633" t="s">
        <v>127</v>
      </c>
      <c r="S63" s="634" t="s">
        <v>264</v>
      </c>
      <c r="T63" s="635" t="s">
        <v>82</v>
      </c>
    </row>
    <row r="64" spans="1:20" ht="13.8" hidden="1">
      <c r="A64" s="636" t="s">
        <v>282</v>
      </c>
      <c r="B64" s="637" t="s">
        <v>283</v>
      </c>
      <c r="C64" s="638">
        <v>276678.50943546015</v>
      </c>
      <c r="D64" s="639">
        <v>241828.11236100906</v>
      </c>
      <c r="E64" s="639">
        <v>95988.859947190154</v>
      </c>
      <c r="F64" s="639">
        <v>35630.299474390566</v>
      </c>
      <c r="G64" s="639">
        <v>61102.024891377885</v>
      </c>
      <c r="H64" s="640">
        <v>711227.80610942654</v>
      </c>
      <c r="I64" s="638">
        <v>29971.080187286479</v>
      </c>
      <c r="J64" s="639">
        <v>16040.623086662659</v>
      </c>
      <c r="K64" s="639">
        <v>7634.2166724879353</v>
      </c>
      <c r="L64" s="639">
        <v>1514.2893197608907</v>
      </c>
      <c r="M64" s="639">
        <v>4638.4938280552424</v>
      </c>
      <c r="N64" s="640">
        <v>59798.703094253251</v>
      </c>
      <c r="O64" s="524">
        <f>C64+I64</f>
        <v>306649.58962274663</v>
      </c>
      <c r="P64" s="524">
        <f t="shared" ref="P64:T79" si="3">D64+J64</f>
        <v>257868.73544767173</v>
      </c>
      <c r="Q64" s="524">
        <f t="shared" si="3"/>
        <v>103623.07661967809</v>
      </c>
      <c r="R64" s="524">
        <f t="shared" si="3"/>
        <v>37144.588794151459</v>
      </c>
      <c r="S64" s="524">
        <f t="shared" si="3"/>
        <v>65740.518719433123</v>
      </c>
      <c r="T64" s="524">
        <f t="shared" si="3"/>
        <v>771026.50920367974</v>
      </c>
    </row>
    <row r="65" spans="1:20" ht="13.8" hidden="1">
      <c r="A65" s="636" t="s">
        <v>337</v>
      </c>
      <c r="B65" s="637" t="s">
        <v>283</v>
      </c>
      <c r="C65" s="638">
        <v>53784.871797377891</v>
      </c>
      <c r="D65" s="639">
        <v>32999.721957680755</v>
      </c>
      <c r="E65" s="639">
        <v>10936.753366416111</v>
      </c>
      <c r="F65" s="639">
        <v>4585.3403267772846</v>
      </c>
      <c r="G65" s="639">
        <v>7468.4344883178173</v>
      </c>
      <c r="H65" s="640">
        <v>109775.12193656982</v>
      </c>
      <c r="I65" s="638">
        <v>7268.2041495836174</v>
      </c>
      <c r="J65" s="639">
        <v>694.39613092875175</v>
      </c>
      <c r="K65" s="639">
        <v>1204.1481292206493</v>
      </c>
      <c r="L65" s="639">
        <v>425.8628165440017</v>
      </c>
      <c r="M65" s="639">
        <v>186.1316306324054</v>
      </c>
      <c r="N65" s="640">
        <v>9778.7428569094209</v>
      </c>
      <c r="O65" s="524">
        <f t="shared" ref="O65:O80" si="4">C65+I65</f>
        <v>61053.075946961508</v>
      </c>
      <c r="P65" s="524">
        <f t="shared" si="3"/>
        <v>33694.11808860951</v>
      </c>
      <c r="Q65" s="524">
        <f t="shared" si="3"/>
        <v>12140.901495636761</v>
      </c>
      <c r="R65" s="524">
        <f t="shared" si="3"/>
        <v>5011.203143321286</v>
      </c>
      <c r="S65" s="524">
        <f t="shared" si="3"/>
        <v>7654.5661189502225</v>
      </c>
      <c r="T65" s="524">
        <f t="shared" si="3"/>
        <v>119553.86479347924</v>
      </c>
    </row>
    <row r="66" spans="1:20" ht="13.8" hidden="1">
      <c r="A66" s="636" t="s">
        <v>339</v>
      </c>
      <c r="B66" s="637" t="s">
        <v>283</v>
      </c>
      <c r="C66" s="638">
        <v>13352.817618318822</v>
      </c>
      <c r="D66" s="639">
        <v>9647.915966147466</v>
      </c>
      <c r="E66" s="639">
        <v>3659.6977019968758</v>
      </c>
      <c r="F66" s="639">
        <v>1714.0382895377147</v>
      </c>
      <c r="G66" s="639">
        <v>731.30135970610877</v>
      </c>
      <c r="H66" s="640">
        <v>29105.770935707005</v>
      </c>
      <c r="I66" s="638">
        <v>2187.0680015745816</v>
      </c>
      <c r="J66" s="639">
        <v>1767.358728191396</v>
      </c>
      <c r="K66" s="639">
        <v>470.93507215983493</v>
      </c>
      <c r="L66" s="639">
        <v>0</v>
      </c>
      <c r="M66" s="639">
        <v>85.855789588602278</v>
      </c>
      <c r="N66" s="640">
        <v>4511.2175915144153</v>
      </c>
      <c r="O66" s="524">
        <f t="shared" si="4"/>
        <v>15539.885619893405</v>
      </c>
      <c r="P66" s="524">
        <f t="shared" si="3"/>
        <v>11415.274694338863</v>
      </c>
      <c r="Q66" s="524">
        <f t="shared" si="3"/>
        <v>4130.6327741567111</v>
      </c>
      <c r="R66" s="524">
        <f t="shared" si="3"/>
        <v>1714.0382895377147</v>
      </c>
      <c r="S66" s="524">
        <f t="shared" si="3"/>
        <v>817.15714929471108</v>
      </c>
      <c r="T66" s="524">
        <f t="shared" si="3"/>
        <v>33616.988527221423</v>
      </c>
    </row>
    <row r="67" spans="1:20" ht="13.8" hidden="1">
      <c r="A67" s="636" t="s">
        <v>341</v>
      </c>
      <c r="B67" s="637" t="s">
        <v>283</v>
      </c>
      <c r="C67" s="638">
        <v>3193.2901698164151</v>
      </c>
      <c r="D67" s="639">
        <v>2796.6371171970573</v>
      </c>
      <c r="E67" s="639">
        <v>1418.2922608412782</v>
      </c>
      <c r="F67" s="639">
        <v>560.05876995086192</v>
      </c>
      <c r="G67" s="639">
        <v>1184.7169520952884</v>
      </c>
      <c r="H67" s="640">
        <v>9152.9952699009009</v>
      </c>
      <c r="I67" s="638">
        <v>111.09178951653708</v>
      </c>
      <c r="J67" s="639">
        <v>0</v>
      </c>
      <c r="K67" s="639">
        <v>83.918123249182642</v>
      </c>
      <c r="L67" s="639">
        <v>0</v>
      </c>
      <c r="M67" s="639">
        <v>57.15894282975929</v>
      </c>
      <c r="N67" s="640">
        <v>252.16885559547899</v>
      </c>
      <c r="O67" s="524">
        <f t="shared" si="4"/>
        <v>3304.3819593329522</v>
      </c>
      <c r="P67" s="524">
        <f t="shared" si="3"/>
        <v>2796.6371171970573</v>
      </c>
      <c r="Q67" s="524">
        <f t="shared" si="3"/>
        <v>1502.2103840904608</v>
      </c>
      <c r="R67" s="524">
        <f t="shared" si="3"/>
        <v>560.05876995086192</v>
      </c>
      <c r="S67" s="524">
        <f t="shared" si="3"/>
        <v>1241.8758949250478</v>
      </c>
      <c r="T67" s="524">
        <f t="shared" si="3"/>
        <v>9405.1641254963797</v>
      </c>
    </row>
    <row r="68" spans="1:20" ht="13.8" hidden="1">
      <c r="A68" s="636" t="s">
        <v>343</v>
      </c>
      <c r="B68" s="637" t="s">
        <v>283</v>
      </c>
      <c r="C68" s="638">
        <v>4769.6280577688785</v>
      </c>
      <c r="D68" s="639">
        <v>13172.607264945389</v>
      </c>
      <c r="E68" s="639">
        <v>17791.129909999563</v>
      </c>
      <c r="F68" s="639">
        <v>2050.2791221276198</v>
      </c>
      <c r="G68" s="639">
        <v>3043.2602561528465</v>
      </c>
      <c r="H68" s="640">
        <v>40826.904610994294</v>
      </c>
      <c r="I68" s="638">
        <v>0</v>
      </c>
      <c r="J68" s="639">
        <v>1794.6778108670169</v>
      </c>
      <c r="K68" s="639">
        <v>2167.3134849844846</v>
      </c>
      <c r="L68" s="639">
        <v>19.860599811251383</v>
      </c>
      <c r="M68" s="639">
        <v>440.56610135313628</v>
      </c>
      <c r="N68" s="640">
        <v>4422.4179970158893</v>
      </c>
      <c r="O68" s="524">
        <f t="shared" si="4"/>
        <v>4769.6280577688785</v>
      </c>
      <c r="P68" s="524">
        <f t="shared" si="3"/>
        <v>14967.285075812406</v>
      </c>
      <c r="Q68" s="524">
        <f t="shared" si="3"/>
        <v>19958.443394984046</v>
      </c>
      <c r="R68" s="524">
        <f t="shared" si="3"/>
        <v>2070.1397219388709</v>
      </c>
      <c r="S68" s="524">
        <f t="shared" si="3"/>
        <v>3483.8263575059827</v>
      </c>
      <c r="T68" s="524">
        <f t="shared" si="3"/>
        <v>45249.322608010181</v>
      </c>
    </row>
    <row r="69" spans="1:20" ht="13.8" hidden="1">
      <c r="A69" s="636" t="s">
        <v>345</v>
      </c>
      <c r="B69" s="637" t="s">
        <v>283</v>
      </c>
      <c r="C69" s="638">
        <v>11153.23918134357</v>
      </c>
      <c r="D69" s="639">
        <v>13330.880056440594</v>
      </c>
      <c r="E69" s="639">
        <v>9354.7826426589454</v>
      </c>
      <c r="F69" s="639">
        <v>3829.8506983662564</v>
      </c>
      <c r="G69" s="639">
        <v>2977.7771926170335</v>
      </c>
      <c r="H69" s="640">
        <v>40646.529771426402</v>
      </c>
      <c r="I69" s="638">
        <v>811.27776701699383</v>
      </c>
      <c r="J69" s="639">
        <v>1373.1990686526913</v>
      </c>
      <c r="K69" s="639">
        <v>322.10597182115447</v>
      </c>
      <c r="L69" s="639">
        <v>0</v>
      </c>
      <c r="M69" s="639">
        <v>0</v>
      </c>
      <c r="N69" s="640">
        <v>2506.5828074908391</v>
      </c>
      <c r="O69" s="524">
        <f t="shared" si="4"/>
        <v>11964.516948360564</v>
      </c>
      <c r="P69" s="524">
        <f t="shared" si="3"/>
        <v>14704.079125093285</v>
      </c>
      <c r="Q69" s="524">
        <f t="shared" si="3"/>
        <v>9676.8886144800999</v>
      </c>
      <c r="R69" s="524">
        <f t="shared" si="3"/>
        <v>3829.8506983662564</v>
      </c>
      <c r="S69" s="524">
        <f t="shared" si="3"/>
        <v>2977.7771926170335</v>
      </c>
      <c r="T69" s="524">
        <f t="shared" si="3"/>
        <v>43153.112578917244</v>
      </c>
    </row>
    <row r="70" spans="1:20" ht="13.8" hidden="1">
      <c r="A70" s="636" t="s">
        <v>346</v>
      </c>
      <c r="B70" s="637" t="s">
        <v>283</v>
      </c>
      <c r="C70" s="638">
        <v>11881.936651869441</v>
      </c>
      <c r="D70" s="639">
        <v>10003.91621148376</v>
      </c>
      <c r="E70" s="639">
        <v>2831.2619452424615</v>
      </c>
      <c r="F70" s="639">
        <v>1071.4579372409655</v>
      </c>
      <c r="G70" s="639">
        <v>6770.1529249104369</v>
      </c>
      <c r="H70" s="640">
        <v>32558.72567074707</v>
      </c>
      <c r="I70" s="638">
        <v>1071.7011271086483</v>
      </c>
      <c r="J70" s="639">
        <v>1012.7015797987644</v>
      </c>
      <c r="K70" s="639">
        <v>18.466682783849109</v>
      </c>
      <c r="L70" s="639">
        <v>50.893401592746116</v>
      </c>
      <c r="M70" s="639">
        <v>242.33329188609821</v>
      </c>
      <c r="N70" s="640">
        <v>2396.0960831701063</v>
      </c>
      <c r="O70" s="524">
        <f t="shared" si="4"/>
        <v>12953.637778978089</v>
      </c>
      <c r="P70" s="524">
        <f t="shared" si="3"/>
        <v>11016.617791282524</v>
      </c>
      <c r="Q70" s="524">
        <f t="shared" si="3"/>
        <v>2849.7286280263106</v>
      </c>
      <c r="R70" s="524">
        <f t="shared" si="3"/>
        <v>1122.3513388337117</v>
      </c>
      <c r="S70" s="524">
        <f t="shared" si="3"/>
        <v>7012.4862167965348</v>
      </c>
      <c r="T70" s="524">
        <f t="shared" si="3"/>
        <v>34954.821753917175</v>
      </c>
    </row>
    <row r="71" spans="1:20" ht="13.8" hidden="1">
      <c r="A71" s="636" t="s">
        <v>347</v>
      </c>
      <c r="B71" s="637" t="s">
        <v>283</v>
      </c>
      <c r="C71" s="638">
        <v>79852.487890634235</v>
      </c>
      <c r="D71" s="639">
        <v>49086.818373038222</v>
      </c>
      <c r="E71" s="639">
        <v>10354.364803989591</v>
      </c>
      <c r="F71" s="639">
        <v>5701.2154339954186</v>
      </c>
      <c r="G71" s="639">
        <v>16153.721443705144</v>
      </c>
      <c r="H71" s="640">
        <v>161148.60794536266</v>
      </c>
      <c r="I71" s="638">
        <v>3985.9000624435462</v>
      </c>
      <c r="J71" s="639">
        <v>2093.1092069247748</v>
      </c>
      <c r="K71" s="639">
        <v>446.04651823462962</v>
      </c>
      <c r="L71" s="639">
        <v>0</v>
      </c>
      <c r="M71" s="639">
        <v>403.53432468736685</v>
      </c>
      <c r="N71" s="640">
        <v>6928.5901122903178</v>
      </c>
      <c r="O71" s="524">
        <f t="shared" si="4"/>
        <v>83838.387953077778</v>
      </c>
      <c r="P71" s="524">
        <f t="shared" si="3"/>
        <v>51179.927579962998</v>
      </c>
      <c r="Q71" s="524">
        <f t="shared" si="3"/>
        <v>10800.411322224219</v>
      </c>
      <c r="R71" s="524">
        <f t="shared" si="3"/>
        <v>5701.2154339954186</v>
      </c>
      <c r="S71" s="524">
        <f t="shared" si="3"/>
        <v>16557.255768392512</v>
      </c>
      <c r="T71" s="524">
        <f t="shared" si="3"/>
        <v>168077.19805765297</v>
      </c>
    </row>
    <row r="72" spans="1:20" ht="13.8" hidden="1">
      <c r="A72" s="636" t="s">
        <v>348</v>
      </c>
      <c r="B72" s="637" t="s">
        <v>283</v>
      </c>
      <c r="C72" s="638">
        <v>6673.1279007423627</v>
      </c>
      <c r="D72" s="639">
        <v>10968.355036489755</v>
      </c>
      <c r="E72" s="639">
        <v>2306.1578987433923</v>
      </c>
      <c r="F72" s="639">
        <v>2050.2475039919823</v>
      </c>
      <c r="G72" s="639">
        <v>586.49540426124372</v>
      </c>
      <c r="H72" s="640">
        <v>22584.383744228726</v>
      </c>
      <c r="I72" s="638">
        <v>0</v>
      </c>
      <c r="J72" s="639">
        <v>877.84072674025026</v>
      </c>
      <c r="K72" s="639">
        <v>65.454111519472747</v>
      </c>
      <c r="L72" s="639">
        <v>141.55910847324157</v>
      </c>
      <c r="M72" s="639">
        <v>533.14052158190668</v>
      </c>
      <c r="N72" s="640">
        <v>1617.9944683148713</v>
      </c>
      <c r="O72" s="524">
        <f t="shared" si="4"/>
        <v>6673.1279007423627</v>
      </c>
      <c r="P72" s="524">
        <f t="shared" si="3"/>
        <v>11846.195763230005</v>
      </c>
      <c r="Q72" s="524">
        <f t="shared" si="3"/>
        <v>2371.6120102628652</v>
      </c>
      <c r="R72" s="524">
        <f t="shared" si="3"/>
        <v>2191.8066124652237</v>
      </c>
      <c r="S72" s="524">
        <f t="shared" si="3"/>
        <v>1119.6359258431503</v>
      </c>
      <c r="T72" s="524">
        <f t="shared" si="3"/>
        <v>24202.378212543597</v>
      </c>
    </row>
    <row r="73" spans="1:20" ht="13.8" hidden="1">
      <c r="A73" s="636" t="s">
        <v>349</v>
      </c>
      <c r="B73" s="637" t="s">
        <v>283</v>
      </c>
      <c r="C73" s="638">
        <v>2791.165376195032</v>
      </c>
      <c r="D73" s="639">
        <v>2824.4311314125794</v>
      </c>
      <c r="E73" s="639">
        <v>2664.3978681879853</v>
      </c>
      <c r="F73" s="639">
        <v>951.79973030611598</v>
      </c>
      <c r="G73" s="639">
        <v>1958.5963957866206</v>
      </c>
      <c r="H73" s="640">
        <v>11190.390501888336</v>
      </c>
      <c r="I73" s="638">
        <v>320.21883452073644</v>
      </c>
      <c r="J73" s="639">
        <v>26.28914779452667</v>
      </c>
      <c r="K73" s="639">
        <v>56.282998291277671</v>
      </c>
      <c r="L73" s="639">
        <v>99.294798815047102</v>
      </c>
      <c r="M73" s="639">
        <v>0</v>
      </c>
      <c r="N73" s="640">
        <v>502.08577942158792</v>
      </c>
      <c r="O73" s="524">
        <f t="shared" si="4"/>
        <v>3111.3842107157684</v>
      </c>
      <c r="P73" s="524">
        <f t="shared" si="3"/>
        <v>2850.7202792071062</v>
      </c>
      <c r="Q73" s="524">
        <f t="shared" si="3"/>
        <v>2720.6808664792629</v>
      </c>
      <c r="R73" s="524">
        <f t="shared" si="3"/>
        <v>1051.0945291211631</v>
      </c>
      <c r="S73" s="524">
        <f t="shared" si="3"/>
        <v>1958.5963957866206</v>
      </c>
      <c r="T73" s="524">
        <f t="shared" si="3"/>
        <v>11692.476281309924</v>
      </c>
    </row>
    <row r="74" spans="1:20" ht="13.8" hidden="1">
      <c r="A74" s="636" t="s">
        <v>350</v>
      </c>
      <c r="B74" s="637" t="s">
        <v>283</v>
      </c>
      <c r="C74" s="638">
        <v>7579.1686274047861</v>
      </c>
      <c r="D74" s="639">
        <v>10386.010993909897</v>
      </c>
      <c r="E74" s="639">
        <v>7421.6188471942942</v>
      </c>
      <c r="F74" s="639">
        <v>2642.637820670222</v>
      </c>
      <c r="G74" s="639">
        <v>3481.0138609830233</v>
      </c>
      <c r="H74" s="640">
        <v>31510.450150162214</v>
      </c>
      <c r="I74" s="638">
        <v>336.44067197769493</v>
      </c>
      <c r="J74" s="639">
        <v>681.73025969666105</v>
      </c>
      <c r="K74" s="639">
        <v>795.98880502661473</v>
      </c>
      <c r="L74" s="639">
        <v>0</v>
      </c>
      <c r="M74" s="639">
        <v>339.44771661452131</v>
      </c>
      <c r="N74" s="640">
        <v>2153.607453315492</v>
      </c>
      <c r="O74" s="524">
        <f t="shared" si="4"/>
        <v>7915.6092993824814</v>
      </c>
      <c r="P74" s="524">
        <f t="shared" si="3"/>
        <v>11067.741253606557</v>
      </c>
      <c r="Q74" s="524">
        <f t="shared" si="3"/>
        <v>8217.6076522209096</v>
      </c>
      <c r="R74" s="524">
        <f t="shared" si="3"/>
        <v>2642.637820670222</v>
      </c>
      <c r="S74" s="524">
        <f t="shared" si="3"/>
        <v>3820.4615775975444</v>
      </c>
      <c r="T74" s="524">
        <f t="shared" si="3"/>
        <v>33664.057603477704</v>
      </c>
    </row>
    <row r="75" spans="1:20" ht="13.8" hidden="1">
      <c r="A75" s="636" t="s">
        <v>351</v>
      </c>
      <c r="B75" s="637" t="s">
        <v>283</v>
      </c>
      <c r="C75" s="638">
        <v>5363.5935420605965</v>
      </c>
      <c r="D75" s="639">
        <v>12676.290359257242</v>
      </c>
      <c r="E75" s="639">
        <v>7990.6575004744682</v>
      </c>
      <c r="F75" s="639">
        <v>4097.6865638964509</v>
      </c>
      <c r="G75" s="639">
        <v>4780.4586498121407</v>
      </c>
      <c r="H75" s="640">
        <v>34908.686615500919</v>
      </c>
      <c r="I75" s="638">
        <v>0</v>
      </c>
      <c r="J75" s="639">
        <v>64.892409389122648</v>
      </c>
      <c r="K75" s="639">
        <v>385.02210318042978</v>
      </c>
      <c r="L75" s="639">
        <v>229.58833032386153</v>
      </c>
      <c r="M75" s="639">
        <v>0</v>
      </c>
      <c r="N75" s="640">
        <v>679.50284289341391</v>
      </c>
      <c r="O75" s="524">
        <f t="shared" si="4"/>
        <v>5363.5935420605965</v>
      </c>
      <c r="P75" s="524">
        <f t="shared" si="3"/>
        <v>12741.182768646364</v>
      </c>
      <c r="Q75" s="524">
        <f t="shared" si="3"/>
        <v>8375.6796036548985</v>
      </c>
      <c r="R75" s="524">
        <f t="shared" si="3"/>
        <v>4327.2748942203125</v>
      </c>
      <c r="S75" s="524">
        <f t="shared" si="3"/>
        <v>4780.4586498121407</v>
      </c>
      <c r="T75" s="524">
        <f t="shared" si="3"/>
        <v>35588.189458394336</v>
      </c>
    </row>
    <row r="76" spans="1:20" ht="13.8" hidden="1">
      <c r="A76" s="636" t="s">
        <v>352</v>
      </c>
      <c r="B76" s="637" t="s">
        <v>283</v>
      </c>
      <c r="C76" s="638">
        <v>15294.645648398549</v>
      </c>
      <c r="D76" s="639">
        <v>33670.859979968074</v>
      </c>
      <c r="E76" s="639">
        <v>6158.0382724230894</v>
      </c>
      <c r="F76" s="639">
        <v>2245.6254361515726</v>
      </c>
      <c r="G76" s="639">
        <v>2607.6682298140699</v>
      </c>
      <c r="H76" s="640">
        <v>59976.837566755414</v>
      </c>
      <c r="I76" s="638">
        <v>3368.2913868132864</v>
      </c>
      <c r="J76" s="639">
        <v>2076.6405880434086</v>
      </c>
      <c r="K76" s="639">
        <v>362.9596291584491</v>
      </c>
      <c r="L76" s="639">
        <v>436.23499075002923</v>
      </c>
      <c r="M76" s="639">
        <v>218.58919315904882</v>
      </c>
      <c r="N76" s="640">
        <v>6462.715787924225</v>
      </c>
      <c r="O76" s="524">
        <f t="shared" si="4"/>
        <v>18662.937035211835</v>
      </c>
      <c r="P76" s="524">
        <f t="shared" si="3"/>
        <v>35747.500568011485</v>
      </c>
      <c r="Q76" s="524">
        <f t="shared" si="3"/>
        <v>6520.9979015815388</v>
      </c>
      <c r="R76" s="524">
        <f t="shared" si="3"/>
        <v>2681.8604269016018</v>
      </c>
      <c r="S76" s="524">
        <f t="shared" si="3"/>
        <v>2826.257422973119</v>
      </c>
      <c r="T76" s="524">
        <f t="shared" si="3"/>
        <v>66439.553354679636</v>
      </c>
    </row>
    <row r="77" spans="1:20" ht="13.8" hidden="1">
      <c r="A77" s="636" t="s">
        <v>353</v>
      </c>
      <c r="B77" s="637" t="s">
        <v>283</v>
      </c>
      <c r="C77" s="638">
        <v>6659.2890374103326</v>
      </c>
      <c r="D77" s="639">
        <v>5920.1395908987997</v>
      </c>
      <c r="E77" s="639">
        <v>2160.3566863970491</v>
      </c>
      <c r="F77" s="639">
        <v>143.21594523859827</v>
      </c>
      <c r="G77" s="639">
        <v>3679.7168455295136</v>
      </c>
      <c r="H77" s="640">
        <v>18562.718105474298</v>
      </c>
      <c r="I77" s="638">
        <v>1088.5205291278387</v>
      </c>
      <c r="J77" s="639">
        <v>355.38021228671977</v>
      </c>
      <c r="K77" s="639">
        <v>18.08844593931893</v>
      </c>
      <c r="L77" s="639">
        <v>4.1884937781899065</v>
      </c>
      <c r="M77" s="639">
        <v>1098.6842075153841</v>
      </c>
      <c r="N77" s="640">
        <v>2564.861888647451</v>
      </c>
      <c r="O77" s="524">
        <f t="shared" si="4"/>
        <v>7747.8095665381716</v>
      </c>
      <c r="P77" s="524">
        <f t="shared" si="3"/>
        <v>6275.5198031855198</v>
      </c>
      <c r="Q77" s="524">
        <f t="shared" si="3"/>
        <v>2178.4451323363678</v>
      </c>
      <c r="R77" s="524">
        <f t="shared" si="3"/>
        <v>147.40443901678816</v>
      </c>
      <c r="S77" s="524">
        <f t="shared" si="3"/>
        <v>4778.4010530448977</v>
      </c>
      <c r="T77" s="524">
        <f t="shared" si="3"/>
        <v>21127.579994121748</v>
      </c>
    </row>
    <row r="78" spans="1:20" ht="13.8" hidden="1">
      <c r="A78" s="636" t="s">
        <v>354</v>
      </c>
      <c r="B78" s="637" t="s">
        <v>283</v>
      </c>
      <c r="C78" s="638">
        <v>8736.9076696496231</v>
      </c>
      <c r="D78" s="639">
        <v>10325.815710979356</v>
      </c>
      <c r="E78" s="639">
        <v>4770.6935408574054</v>
      </c>
      <c r="F78" s="639">
        <v>1039.1204391532453</v>
      </c>
      <c r="G78" s="639">
        <v>501.91351245108672</v>
      </c>
      <c r="H78" s="640">
        <v>25374.450873090707</v>
      </c>
      <c r="I78" s="638">
        <v>957.28989387577553</v>
      </c>
      <c r="J78" s="639">
        <v>1894.5277138910096</v>
      </c>
      <c r="K78" s="639">
        <v>822.47609196551105</v>
      </c>
      <c r="L78" s="639">
        <v>24.487138745404625</v>
      </c>
      <c r="M78" s="639">
        <v>27.085205142878113</v>
      </c>
      <c r="N78" s="640">
        <v>3725.8660436205791</v>
      </c>
      <c r="O78" s="524">
        <f t="shared" si="4"/>
        <v>9694.1975635253984</v>
      </c>
      <c r="P78" s="524">
        <f t="shared" si="3"/>
        <v>12220.343424870365</v>
      </c>
      <c r="Q78" s="524">
        <f t="shared" si="3"/>
        <v>5593.1696328229164</v>
      </c>
      <c r="R78" s="524">
        <f t="shared" si="3"/>
        <v>1063.6075778986499</v>
      </c>
      <c r="S78" s="524">
        <f t="shared" si="3"/>
        <v>528.99871759396478</v>
      </c>
      <c r="T78" s="524">
        <f t="shared" si="3"/>
        <v>29100.316916711286</v>
      </c>
    </row>
    <row r="79" spans="1:20" ht="13.8" hidden="1">
      <c r="A79" s="636" t="s">
        <v>355</v>
      </c>
      <c r="B79" s="637" t="s">
        <v>283</v>
      </c>
      <c r="C79" s="638">
        <v>22110.959560331481</v>
      </c>
      <c r="D79" s="639">
        <v>8207.2074231950155</v>
      </c>
      <c r="E79" s="639">
        <v>952.52012724319161</v>
      </c>
      <c r="F79" s="639">
        <v>0</v>
      </c>
      <c r="G79" s="639">
        <v>543.47485269963977</v>
      </c>
      <c r="H79" s="640">
        <v>31814.161963469323</v>
      </c>
      <c r="I79" s="638">
        <v>6835.7911818323537</v>
      </c>
      <c r="J79" s="639">
        <v>0</v>
      </c>
      <c r="K79" s="639">
        <v>0</v>
      </c>
      <c r="L79" s="639">
        <v>0</v>
      </c>
      <c r="M79" s="639">
        <v>0</v>
      </c>
      <c r="N79" s="640">
        <v>6835.7911818323537</v>
      </c>
      <c r="O79" s="524">
        <f t="shared" si="4"/>
        <v>28946.750742163837</v>
      </c>
      <c r="P79" s="524">
        <f t="shared" si="3"/>
        <v>8207.2074231950155</v>
      </c>
      <c r="Q79" s="524">
        <f t="shared" si="3"/>
        <v>952.52012724319161</v>
      </c>
      <c r="R79" s="524">
        <f t="shared" si="3"/>
        <v>0</v>
      </c>
      <c r="S79" s="524">
        <f t="shared" si="3"/>
        <v>543.47485269963977</v>
      </c>
      <c r="T79" s="524">
        <f t="shared" si="3"/>
        <v>38649.953145301675</v>
      </c>
    </row>
    <row r="80" spans="1:20" ht="13.8" hidden="1">
      <c r="A80" s="636" t="s">
        <v>356</v>
      </c>
      <c r="B80" s="637" t="s">
        <v>283</v>
      </c>
      <c r="C80" s="638">
        <v>8440.6119100051619</v>
      </c>
      <c r="D80" s="639">
        <v>2664.270108670979</v>
      </c>
      <c r="E80" s="639">
        <v>0</v>
      </c>
      <c r="F80" s="639">
        <v>1010.7947657491204</v>
      </c>
      <c r="G80" s="639">
        <v>1311.7005026617444</v>
      </c>
      <c r="H80" s="640">
        <v>13427.377287087003</v>
      </c>
      <c r="I80" s="638">
        <v>0</v>
      </c>
      <c r="J80" s="639">
        <v>455.88079389141535</v>
      </c>
      <c r="K80" s="639">
        <v>0</v>
      </c>
      <c r="L80" s="639">
        <v>0</v>
      </c>
      <c r="M80" s="639">
        <v>753.80957659732212</v>
      </c>
      <c r="N80" s="640">
        <v>1209.6903704887375</v>
      </c>
      <c r="O80" s="524">
        <f t="shared" si="4"/>
        <v>8440.6119100051619</v>
      </c>
      <c r="P80" s="524">
        <f t="shared" ref="P80" si="5">D80+J80</f>
        <v>3120.1509025623945</v>
      </c>
      <c r="Q80" s="524">
        <f t="shared" ref="Q80" si="6">E80+K80</f>
        <v>0</v>
      </c>
      <c r="R80" s="524">
        <f t="shared" ref="R80" si="7">F80+L80</f>
        <v>1010.7947657491204</v>
      </c>
      <c r="S80" s="524">
        <f t="shared" ref="S80" si="8">G80+M80</f>
        <v>2065.5100792590665</v>
      </c>
      <c r="T80" s="524">
        <f t="shared" ref="T80" si="9">H80+N80</f>
        <v>14637.067657575741</v>
      </c>
    </row>
  </sheetData>
  <mergeCells count="17">
    <mergeCell ref="J1:AA1"/>
    <mergeCell ref="C2:G2"/>
    <mergeCell ref="L2:AA2"/>
    <mergeCell ref="K2:K3"/>
    <mergeCell ref="J2:J3"/>
    <mergeCell ref="A1:G1"/>
    <mergeCell ref="B2:B3"/>
    <mergeCell ref="A2:A3"/>
    <mergeCell ref="C62:H62"/>
    <mergeCell ref="I62:N62"/>
    <mergeCell ref="O62:T62"/>
    <mergeCell ref="J4:J9"/>
    <mergeCell ref="A54:A55"/>
    <mergeCell ref="A56:A57"/>
    <mergeCell ref="B54:D54"/>
    <mergeCell ref="B55:D55"/>
    <mergeCell ref="A4:A20"/>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638C3-9269-4523-B14B-D8D22DE74C86}">
  <dimension ref="A1:J1"/>
  <sheetViews>
    <sheetView workbookViewId="0">
      <selection sqref="A1:J1"/>
    </sheetView>
  </sheetViews>
  <sheetFormatPr defaultRowHeight="14.4"/>
  <sheetData>
    <row r="1" spans="1:10" ht="15.6" customHeight="1">
      <c r="A1" s="819" t="s">
        <v>1068</v>
      </c>
      <c r="B1" s="819"/>
      <c r="C1" s="819"/>
      <c r="D1" s="819"/>
      <c r="E1" s="819"/>
      <c r="F1" s="819"/>
      <c r="G1" s="819"/>
      <c r="H1" s="819"/>
      <c r="I1" s="819"/>
      <c r="J1" s="819"/>
    </row>
  </sheetData>
  <mergeCells count="1">
    <mergeCell ref="A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A2FF8-E67F-4AF9-A6F9-E2B7AE862021}">
  <sheetPr codeName="Sheet1"/>
  <dimension ref="A1:I29"/>
  <sheetViews>
    <sheetView tabSelected="1" zoomScaleNormal="100" workbookViewId="0">
      <selection sqref="A1:C1"/>
    </sheetView>
  </sheetViews>
  <sheetFormatPr defaultColWidth="9.21875" defaultRowHeight="13.8"/>
  <cols>
    <col min="1" max="1" width="25" style="152" customWidth="1"/>
    <col min="2" max="2" width="51.21875" style="152" customWidth="1"/>
    <col min="3" max="3" width="49.77734375" style="152" customWidth="1"/>
    <col min="4" max="9" width="8.77734375" style="152" customWidth="1"/>
    <col min="10" max="16384" width="9.21875" style="152"/>
  </cols>
  <sheetData>
    <row r="1" spans="1:9" ht="17.399999999999999">
      <c r="A1" s="682" t="s">
        <v>1141</v>
      </c>
      <c r="B1" s="682"/>
      <c r="C1" s="682"/>
      <c r="D1" s="171"/>
      <c r="E1" s="171"/>
      <c r="F1" s="171"/>
    </row>
    <row r="2" spans="1:9" ht="25.2" customHeight="1">
      <c r="A2" s="683" t="s">
        <v>130</v>
      </c>
      <c r="B2" s="684"/>
      <c r="C2" s="684"/>
      <c r="D2" s="171"/>
      <c r="E2" s="171"/>
      <c r="F2" s="171"/>
    </row>
    <row r="3" spans="1:9" ht="20.399999999999999" customHeight="1">
      <c r="A3" s="180" t="s">
        <v>23</v>
      </c>
      <c r="B3" s="181" t="s">
        <v>24</v>
      </c>
      <c r="C3" s="182" t="s">
        <v>0</v>
      </c>
    </row>
    <row r="4" spans="1:9" ht="16.2" customHeight="1">
      <c r="A4" s="176" t="s">
        <v>25</v>
      </c>
      <c r="B4" s="177" t="s">
        <v>26</v>
      </c>
      <c r="C4" s="176"/>
    </row>
    <row r="5" spans="1:9" ht="16.2" customHeight="1">
      <c r="A5" s="176" t="s">
        <v>27</v>
      </c>
      <c r="B5" s="177" t="s">
        <v>28</v>
      </c>
      <c r="C5" s="176"/>
    </row>
    <row r="6" spans="1:9" ht="28.95" customHeight="1">
      <c r="A6" s="176" t="s">
        <v>29</v>
      </c>
      <c r="B6" s="178" t="s">
        <v>30</v>
      </c>
      <c r="C6" s="179" t="s">
        <v>1142</v>
      </c>
      <c r="D6" s="628" t="s">
        <v>1116</v>
      </c>
    </row>
    <row r="7" spans="1:9" ht="97.2" customHeight="1">
      <c r="A7" s="176" t="s">
        <v>31</v>
      </c>
      <c r="B7" s="177"/>
      <c r="C7" s="179" t="s">
        <v>32</v>
      </c>
      <c r="I7" s="153"/>
    </row>
    <row r="8" spans="1:9" ht="16.2" customHeight="1">
      <c r="A8" s="172" t="s">
        <v>33</v>
      </c>
      <c r="B8" s="173" t="s">
        <v>34</v>
      </c>
      <c r="C8" s="226" t="s">
        <v>35</v>
      </c>
    </row>
    <row r="9" spans="1:9" ht="16.2" customHeight="1">
      <c r="A9" s="172" t="s">
        <v>36</v>
      </c>
      <c r="B9" s="620">
        <v>1.5</v>
      </c>
      <c r="C9" s="226" t="s">
        <v>37</v>
      </c>
    </row>
    <row r="10" spans="1:9" ht="43.5" customHeight="1">
      <c r="A10" s="174" t="s">
        <v>38</v>
      </c>
      <c r="B10" s="177">
        <v>1</v>
      </c>
      <c r="C10" s="225" t="s">
        <v>39</v>
      </c>
    </row>
    <row r="11" spans="1:9" ht="24.75" customHeight="1">
      <c r="A11" s="174" t="s">
        <v>40</v>
      </c>
      <c r="B11" s="177" t="s">
        <v>1117</v>
      </c>
      <c r="C11" s="651" t="s">
        <v>1121</v>
      </c>
    </row>
    <row r="12" spans="1:9" ht="44.55" customHeight="1">
      <c r="A12" s="174" t="s">
        <v>41</v>
      </c>
      <c r="B12" s="178" t="s">
        <v>42</v>
      </c>
      <c r="C12" s="179" t="s">
        <v>43</v>
      </c>
    </row>
    <row r="13" spans="1:9">
      <c r="A13" s="172" t="s">
        <v>44</v>
      </c>
      <c r="B13" s="177" t="s">
        <v>45</v>
      </c>
      <c r="C13" s="176" t="s">
        <v>37</v>
      </c>
    </row>
    <row r="14" spans="1:9" ht="14.55" customHeight="1">
      <c r="A14" s="172" t="s">
        <v>46</v>
      </c>
      <c r="B14" s="175" t="s">
        <v>47</v>
      </c>
      <c r="C14" s="176" t="s">
        <v>37</v>
      </c>
    </row>
    <row r="15" spans="1:9" ht="14.55" customHeight="1">
      <c r="A15" s="172" t="s">
        <v>48</v>
      </c>
      <c r="B15" s="177">
        <v>10</v>
      </c>
      <c r="C15" s="176" t="s">
        <v>37</v>
      </c>
    </row>
    <row r="16" spans="1:9" ht="16.2" customHeight="1">
      <c r="A16" s="172" t="s">
        <v>49</v>
      </c>
      <c r="B16" s="177">
        <v>10</v>
      </c>
      <c r="C16" s="176" t="s">
        <v>37</v>
      </c>
    </row>
    <row r="17" spans="1:3" ht="26.4">
      <c r="A17" s="172" t="s">
        <v>50</v>
      </c>
      <c r="B17" s="178" t="s">
        <v>51</v>
      </c>
      <c r="C17" s="176" t="s">
        <v>37</v>
      </c>
    </row>
    <row r="20" spans="1:3" ht="14.55" customHeight="1"/>
    <row r="21" spans="1:3" ht="14.55" customHeight="1"/>
    <row r="23" spans="1:3" ht="14.55" customHeight="1"/>
    <row r="24" spans="1:3" ht="14.55" customHeight="1"/>
    <row r="25" spans="1:3" ht="14.55" customHeight="1"/>
    <row r="28" spans="1:3" ht="14.55" customHeight="1"/>
    <row r="29" spans="1:3" ht="14.55" customHeight="1"/>
  </sheetData>
  <mergeCells count="2">
    <mergeCell ref="A1:C1"/>
    <mergeCell ref="A2:C2"/>
  </mergeCells>
  <hyperlinks>
    <hyperlink ref="D6" r:id="rId1" display="https://2050partners.sharepoint.com/:w:/r/sites/CalBEMCollaborativeEfforts/Shared Documents/Working Group 1 - Streamlined Process/D - Complexity of Compliance/Prototype Unification/Project Development/Phase 2 (Collect Inputs) Development/NonRes-Vintage bins-Draft Report-30Nov2023-Final.docx?d=w8560be34ea9744e086bccf7767b0a3cf&amp;csf=1&amp;web=1&amp;e=tpxacv" xr:uid="{9B264631-F0F0-4192-B5C5-F574CB46B1DA}"/>
  </hyperlinks>
  <pageMargins left="0.7" right="0.7" top="0.75" bottom="0.75" header="0.3" footer="0.3"/>
  <pageSetup orientation="portrait" r:id="rId2"/>
  <drawing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B9E4-8E7A-41B8-B067-A47E2307C7E6}">
  <sheetPr codeName="Sheet22"/>
  <dimension ref="A1:BC34"/>
  <sheetViews>
    <sheetView zoomScaleNormal="70" workbookViewId="0">
      <selection sqref="A1:H1"/>
    </sheetView>
  </sheetViews>
  <sheetFormatPr defaultColWidth="8.77734375" defaultRowHeight="13.2"/>
  <cols>
    <col min="1" max="1" width="21" style="154" customWidth="1"/>
    <col min="2" max="2" width="14.21875" style="154" customWidth="1"/>
    <col min="3" max="3" width="14.5546875" style="154" customWidth="1"/>
    <col min="4" max="8" width="8.77734375" style="154"/>
    <col min="9" max="9" width="13.77734375" style="154" customWidth="1"/>
    <col min="10" max="10" width="14.44140625" style="154" customWidth="1"/>
    <col min="11" max="16384" width="8.77734375" style="154"/>
  </cols>
  <sheetData>
    <row r="1" spans="1:55" ht="15.6">
      <c r="A1" s="716" t="s">
        <v>1069</v>
      </c>
      <c r="B1" s="716"/>
      <c r="C1" s="716"/>
      <c r="D1" s="716"/>
      <c r="E1" s="716"/>
      <c r="F1" s="716"/>
      <c r="G1" s="716"/>
      <c r="H1" s="716"/>
    </row>
    <row r="2" spans="1:55">
      <c r="B2" s="489"/>
      <c r="C2" s="490"/>
      <c r="D2" s="491"/>
      <c r="E2" s="491"/>
    </row>
    <row r="3" spans="1:55">
      <c r="A3" s="368" t="s">
        <v>1070</v>
      </c>
      <c r="B3" s="478"/>
      <c r="C3" s="161"/>
      <c r="D3" s="492"/>
      <c r="E3" s="492"/>
    </row>
    <row r="11" spans="1:55" s="207" customFormat="1" hidden="1">
      <c r="A11" s="207" t="s">
        <v>76</v>
      </c>
      <c r="E11" s="208"/>
      <c r="F11" s="209"/>
      <c r="G11" s="210"/>
    </row>
    <row r="12" spans="1:55" hidden="1"/>
    <row r="13" spans="1:55" hidden="1"/>
    <row r="14" spans="1:55" s="494" customFormat="1" ht="13.8" hidden="1" thickBot="1">
      <c r="A14" s="493" t="s">
        <v>1071</v>
      </c>
      <c r="K14" s="494" t="s">
        <v>1072</v>
      </c>
    </row>
    <row r="15" spans="1:55" ht="13.8" hidden="1" thickBot="1">
      <c r="A15" s="156"/>
      <c r="B15" s="156"/>
      <c r="C15" s="156"/>
      <c r="D15" s="890" t="s">
        <v>1073</v>
      </c>
      <c r="E15" s="891"/>
      <c r="F15" s="892"/>
      <c r="I15" s="488"/>
      <c r="J15" s="495"/>
      <c r="K15" s="887" t="s">
        <v>1074</v>
      </c>
      <c r="L15" s="888"/>
      <c r="M15" s="888"/>
      <c r="N15" s="888"/>
      <c r="O15" s="888"/>
      <c r="P15" s="888"/>
      <c r="Q15" s="888"/>
      <c r="R15" s="888"/>
      <c r="S15" s="889"/>
      <c r="T15" s="888" t="s">
        <v>1075</v>
      </c>
      <c r="U15" s="888"/>
      <c r="V15" s="888"/>
      <c r="W15" s="888"/>
      <c r="X15" s="888"/>
      <c r="Y15" s="888"/>
      <c r="Z15" s="888"/>
      <c r="AA15" s="888"/>
      <c r="AB15" s="889"/>
      <c r="AC15" s="887" t="s">
        <v>1076</v>
      </c>
      <c r="AD15" s="888"/>
      <c r="AE15" s="888"/>
      <c r="AF15" s="888"/>
      <c r="AG15" s="888"/>
      <c r="AH15" s="888"/>
      <c r="AI15" s="888"/>
      <c r="AJ15" s="888"/>
      <c r="AK15" s="889"/>
      <c r="AL15" s="887" t="s">
        <v>1077</v>
      </c>
      <c r="AM15" s="888"/>
      <c r="AN15" s="888"/>
      <c r="AO15" s="888"/>
      <c r="AP15" s="888"/>
      <c r="AQ15" s="888"/>
      <c r="AR15" s="888"/>
      <c r="AS15" s="888"/>
      <c r="AT15" s="889"/>
      <c r="AU15" s="887" t="s">
        <v>1078</v>
      </c>
      <c r="AV15" s="888"/>
      <c r="AW15" s="888"/>
      <c r="AX15" s="888"/>
      <c r="AY15" s="888"/>
      <c r="AZ15" s="888"/>
      <c r="BA15" s="888"/>
      <c r="BB15" s="888"/>
      <c r="BC15" s="889"/>
    </row>
    <row r="16" spans="1:55" ht="39.6" hidden="1">
      <c r="A16" s="302" t="s">
        <v>359</v>
      </c>
      <c r="B16" s="302" t="s">
        <v>332</v>
      </c>
      <c r="C16" s="303" t="s">
        <v>25</v>
      </c>
      <c r="D16" s="496" t="s">
        <v>1079</v>
      </c>
      <c r="E16" s="496" t="s">
        <v>60</v>
      </c>
      <c r="F16" s="496" t="s">
        <v>82</v>
      </c>
      <c r="I16" s="497" t="s">
        <v>332</v>
      </c>
      <c r="J16" s="498" t="s">
        <v>25</v>
      </c>
      <c r="K16" s="499" t="s">
        <v>1080</v>
      </c>
      <c r="L16" s="500" t="s">
        <v>1081</v>
      </c>
      <c r="M16" s="500" t="s">
        <v>1082</v>
      </c>
      <c r="N16" s="500" t="s">
        <v>1083</v>
      </c>
      <c r="O16" s="500" t="s">
        <v>1084</v>
      </c>
      <c r="P16" s="500" t="s">
        <v>1085</v>
      </c>
      <c r="Q16" s="500" t="s">
        <v>1086</v>
      </c>
      <c r="R16" s="500" t="s">
        <v>280</v>
      </c>
      <c r="S16" s="501" t="s">
        <v>1087</v>
      </c>
      <c r="T16" s="502" t="s">
        <v>1080</v>
      </c>
      <c r="U16" s="500" t="s">
        <v>1081</v>
      </c>
      <c r="V16" s="500" t="s">
        <v>1082</v>
      </c>
      <c r="W16" s="500" t="s">
        <v>1083</v>
      </c>
      <c r="X16" s="500" t="s">
        <v>1084</v>
      </c>
      <c r="Y16" s="500" t="s">
        <v>1085</v>
      </c>
      <c r="Z16" s="500" t="s">
        <v>1086</v>
      </c>
      <c r="AA16" s="500" t="s">
        <v>280</v>
      </c>
      <c r="AB16" s="500" t="s">
        <v>1088</v>
      </c>
      <c r="AC16" s="500" t="s">
        <v>1080</v>
      </c>
      <c r="AD16" s="500" t="s">
        <v>1081</v>
      </c>
      <c r="AE16" s="500" t="s">
        <v>1082</v>
      </c>
      <c r="AF16" s="500" t="s">
        <v>1083</v>
      </c>
      <c r="AG16" s="500" t="s">
        <v>1084</v>
      </c>
      <c r="AH16" s="500" t="s">
        <v>1085</v>
      </c>
      <c r="AI16" s="500" t="s">
        <v>1086</v>
      </c>
      <c r="AJ16" s="500" t="s">
        <v>280</v>
      </c>
      <c r="AK16" s="500" t="s">
        <v>1089</v>
      </c>
      <c r="AL16" s="500" t="s">
        <v>1080</v>
      </c>
      <c r="AM16" s="500" t="s">
        <v>1081</v>
      </c>
      <c r="AN16" s="500" t="s">
        <v>1082</v>
      </c>
      <c r="AO16" s="500" t="s">
        <v>1083</v>
      </c>
      <c r="AP16" s="500" t="s">
        <v>1084</v>
      </c>
      <c r="AQ16" s="500" t="s">
        <v>1085</v>
      </c>
      <c r="AR16" s="500" t="s">
        <v>1086</v>
      </c>
      <c r="AS16" s="500" t="s">
        <v>280</v>
      </c>
      <c r="AT16" s="500" t="s">
        <v>1090</v>
      </c>
      <c r="AU16" s="500" t="s">
        <v>1080</v>
      </c>
      <c r="AV16" s="500" t="s">
        <v>1081</v>
      </c>
      <c r="AW16" s="500" t="s">
        <v>1082</v>
      </c>
      <c r="AX16" s="500" t="s">
        <v>1083</v>
      </c>
      <c r="AY16" s="500" t="s">
        <v>1084</v>
      </c>
      <c r="AZ16" s="500" t="s">
        <v>1085</v>
      </c>
      <c r="BA16" s="500" t="s">
        <v>1086</v>
      </c>
      <c r="BB16" s="500" t="s">
        <v>280</v>
      </c>
      <c r="BC16" s="500" t="s">
        <v>82</v>
      </c>
    </row>
    <row r="17" spans="1:55" hidden="1">
      <c r="A17" s="306" t="s">
        <v>714</v>
      </c>
      <c r="B17" s="307" t="s">
        <v>282</v>
      </c>
      <c r="C17" s="308" t="s">
        <v>283</v>
      </c>
      <c r="D17" s="310">
        <v>0.91629083545529211</v>
      </c>
      <c r="E17" s="309">
        <v>8.3709164544707934E-2</v>
      </c>
      <c r="F17" s="311">
        <v>1</v>
      </c>
      <c r="I17" s="307" t="s">
        <v>282</v>
      </c>
      <c r="J17" s="308" t="s">
        <v>283</v>
      </c>
      <c r="K17" s="503">
        <v>234.63109419938075</v>
      </c>
      <c r="L17" s="504">
        <v>257.26071009531398</v>
      </c>
      <c r="M17" s="504">
        <v>0</v>
      </c>
      <c r="N17" s="504">
        <v>514.26458157647869</v>
      </c>
      <c r="O17" s="504">
        <v>0</v>
      </c>
      <c r="P17" s="504">
        <v>22.221663997801063</v>
      </c>
      <c r="Q17" s="504">
        <v>197.98307335443729</v>
      </c>
      <c r="R17" s="504">
        <v>0</v>
      </c>
      <c r="S17" s="505">
        <v>1226.3611232234116</v>
      </c>
      <c r="T17" s="503">
        <v>108.94502133589977</v>
      </c>
      <c r="U17" s="504">
        <v>831.31991634954227</v>
      </c>
      <c r="V17" s="504">
        <v>0</v>
      </c>
      <c r="W17" s="504">
        <v>1332.4399257375558</v>
      </c>
      <c r="X17" s="504">
        <v>101.16411121740421</v>
      </c>
      <c r="Y17" s="504">
        <v>78.502372667385458</v>
      </c>
      <c r="Z17" s="504">
        <v>360.40603758226268</v>
      </c>
      <c r="AA17" s="504">
        <v>0</v>
      </c>
      <c r="AB17" s="505">
        <v>2812.7773848900501</v>
      </c>
      <c r="AC17" s="503">
        <v>21.375883128638311</v>
      </c>
      <c r="AD17" s="504">
        <v>0</v>
      </c>
      <c r="AE17" s="504">
        <v>0</v>
      </c>
      <c r="AF17" s="504">
        <v>15.713800739862089</v>
      </c>
      <c r="AG17" s="504">
        <v>0</v>
      </c>
      <c r="AH17" s="504">
        <v>0</v>
      </c>
      <c r="AI17" s="504">
        <v>0</v>
      </c>
      <c r="AJ17" s="504">
        <v>0</v>
      </c>
      <c r="AK17" s="505">
        <v>37.089683868500401</v>
      </c>
      <c r="AL17" s="503">
        <v>56.949890324869315</v>
      </c>
      <c r="AM17" s="504">
        <v>42.147584318104094</v>
      </c>
      <c r="AN17" s="504">
        <v>0</v>
      </c>
      <c r="AO17" s="504">
        <v>212.11012713552492</v>
      </c>
      <c r="AP17" s="504">
        <v>0</v>
      </c>
      <c r="AQ17" s="504">
        <v>25.7419607619861</v>
      </c>
      <c r="AR17" s="504">
        <v>0</v>
      </c>
      <c r="AS17" s="504">
        <v>0</v>
      </c>
      <c r="AT17" s="505">
        <v>336.94956254048441</v>
      </c>
      <c r="AU17" s="503">
        <v>421.90188898878813</v>
      </c>
      <c r="AV17" s="504">
        <v>1130.7282107629603</v>
      </c>
      <c r="AW17" s="504">
        <v>0</v>
      </c>
      <c r="AX17" s="504">
        <v>2074.5284351894215</v>
      </c>
      <c r="AY17" s="504">
        <v>101.16411121740421</v>
      </c>
      <c r="AZ17" s="504">
        <v>126.46599742717262</v>
      </c>
      <c r="BA17" s="504">
        <v>558.38911093670004</v>
      </c>
      <c r="BB17" s="504">
        <v>0</v>
      </c>
      <c r="BC17" s="505">
        <v>4413.1777545224468</v>
      </c>
    </row>
    <row r="18" spans="1:55" hidden="1">
      <c r="A18" s="306" t="s">
        <v>714</v>
      </c>
      <c r="B18" s="307" t="s">
        <v>337</v>
      </c>
      <c r="C18" s="308" t="s">
        <v>283</v>
      </c>
      <c r="D18" s="310">
        <v>0.88474891999606764</v>
      </c>
      <c r="E18" s="309">
        <v>0.11525108000393226</v>
      </c>
      <c r="F18" s="311">
        <v>1</v>
      </c>
      <c r="I18" s="307" t="s">
        <v>337</v>
      </c>
      <c r="J18" s="308" t="s">
        <v>283</v>
      </c>
      <c r="K18" s="503">
        <v>0</v>
      </c>
      <c r="L18" s="504">
        <v>0</v>
      </c>
      <c r="M18" s="504">
        <v>0</v>
      </c>
      <c r="N18" s="504">
        <v>92.114773643401861</v>
      </c>
      <c r="O18" s="504">
        <v>0</v>
      </c>
      <c r="P18" s="504">
        <v>0</v>
      </c>
      <c r="Q18" s="504">
        <v>5.6273316566652944</v>
      </c>
      <c r="R18" s="504">
        <v>0</v>
      </c>
      <c r="S18" s="505">
        <v>97.742105300067152</v>
      </c>
      <c r="T18" s="503">
        <v>0</v>
      </c>
      <c r="U18" s="504">
        <v>290.15374486882479</v>
      </c>
      <c r="V18" s="504">
        <v>0</v>
      </c>
      <c r="W18" s="504">
        <v>73.027736781594768</v>
      </c>
      <c r="X18" s="504">
        <v>95.664638163310002</v>
      </c>
      <c r="Y18" s="504">
        <v>65.739866280452532</v>
      </c>
      <c r="Z18" s="504">
        <v>24.342578927198254</v>
      </c>
      <c r="AA18" s="504">
        <v>0</v>
      </c>
      <c r="AB18" s="505">
        <v>548.92856502138034</v>
      </c>
      <c r="AC18" s="503">
        <v>0</v>
      </c>
      <c r="AD18" s="504">
        <v>0</v>
      </c>
      <c r="AE18" s="504">
        <v>0</v>
      </c>
      <c r="AF18" s="504">
        <v>0</v>
      </c>
      <c r="AG18" s="504">
        <v>0</v>
      </c>
      <c r="AH18" s="504">
        <v>0</v>
      </c>
      <c r="AI18" s="504">
        <v>0</v>
      </c>
      <c r="AJ18" s="504">
        <v>0</v>
      </c>
      <c r="AK18" s="505">
        <v>0</v>
      </c>
      <c r="AL18" s="503">
        <v>0</v>
      </c>
      <c r="AM18" s="504">
        <v>0</v>
      </c>
      <c r="AN18" s="504">
        <v>0</v>
      </c>
      <c r="AO18" s="504">
        <v>27.974784997679031</v>
      </c>
      <c r="AP18" s="504">
        <v>0</v>
      </c>
      <c r="AQ18" s="504">
        <v>24.342578927198254</v>
      </c>
      <c r="AR18" s="504">
        <v>0</v>
      </c>
      <c r="AS18" s="504">
        <v>0</v>
      </c>
      <c r="AT18" s="505">
        <v>52.317363924877284</v>
      </c>
      <c r="AU18" s="503">
        <v>0</v>
      </c>
      <c r="AV18" s="504">
        <v>290.15374486882479</v>
      </c>
      <c r="AW18" s="504">
        <v>0</v>
      </c>
      <c r="AX18" s="504">
        <v>193.11729542267565</v>
      </c>
      <c r="AY18" s="504">
        <v>95.664638163310002</v>
      </c>
      <c r="AZ18" s="504">
        <v>90.082445207650778</v>
      </c>
      <c r="BA18" s="504">
        <v>29.969910583863548</v>
      </c>
      <c r="BB18" s="504">
        <v>0</v>
      </c>
      <c r="BC18" s="505">
        <v>698.98803424632479</v>
      </c>
    </row>
    <row r="19" spans="1:55" hidden="1">
      <c r="A19" s="306" t="s">
        <v>714</v>
      </c>
      <c r="B19" s="307" t="s">
        <v>339</v>
      </c>
      <c r="C19" s="308" t="s">
        <v>283</v>
      </c>
      <c r="D19" s="310">
        <v>0.87664054902524069</v>
      </c>
      <c r="E19" s="309">
        <v>0.12335945097475935</v>
      </c>
      <c r="F19" s="311">
        <v>1</v>
      </c>
      <c r="I19" s="307" t="s">
        <v>339</v>
      </c>
      <c r="J19" s="308" t="s">
        <v>283</v>
      </c>
      <c r="K19" s="503">
        <v>0</v>
      </c>
      <c r="L19" s="504">
        <v>0</v>
      </c>
      <c r="M19" s="504">
        <v>0</v>
      </c>
      <c r="N19" s="504">
        <v>0</v>
      </c>
      <c r="O19" s="504">
        <v>0</v>
      </c>
      <c r="P19" s="504">
        <v>21.013652175205049</v>
      </c>
      <c r="Q19" s="504">
        <v>0</v>
      </c>
      <c r="R19" s="504">
        <v>0</v>
      </c>
      <c r="S19" s="505">
        <v>21.013652175205049</v>
      </c>
      <c r="T19" s="503">
        <v>0</v>
      </c>
      <c r="U19" s="504">
        <v>189.12286957684543</v>
      </c>
      <c r="V19" s="504">
        <v>0</v>
      </c>
      <c r="W19" s="504">
        <v>21.156124021741039</v>
      </c>
      <c r="X19" s="504">
        <v>0</v>
      </c>
      <c r="Y19" s="504">
        <v>0</v>
      </c>
      <c r="Z19" s="504">
        <v>0</v>
      </c>
      <c r="AA19" s="504">
        <v>0</v>
      </c>
      <c r="AB19" s="505">
        <v>210.27899359858648</v>
      </c>
      <c r="AC19" s="503">
        <v>0</v>
      </c>
      <c r="AD19" s="504">
        <v>0</v>
      </c>
      <c r="AE19" s="504">
        <v>0</v>
      </c>
      <c r="AF19" s="504">
        <v>0</v>
      </c>
      <c r="AG19" s="504">
        <v>0</v>
      </c>
      <c r="AH19" s="504">
        <v>0</v>
      </c>
      <c r="AI19" s="504">
        <v>0</v>
      </c>
      <c r="AJ19" s="504">
        <v>0</v>
      </c>
      <c r="AK19" s="505">
        <v>0</v>
      </c>
      <c r="AL19" s="503">
        <v>0</v>
      </c>
      <c r="AM19" s="504">
        <v>0</v>
      </c>
      <c r="AN19" s="504">
        <v>0</v>
      </c>
      <c r="AO19" s="504">
        <v>0</v>
      </c>
      <c r="AP19" s="504">
        <v>0</v>
      </c>
      <c r="AQ19" s="504">
        <v>0</v>
      </c>
      <c r="AR19" s="504">
        <v>0</v>
      </c>
      <c r="AS19" s="504">
        <v>0</v>
      </c>
      <c r="AT19" s="505">
        <v>0</v>
      </c>
      <c r="AU19" s="503">
        <v>0</v>
      </c>
      <c r="AV19" s="504">
        <v>189.12286957684543</v>
      </c>
      <c r="AW19" s="504">
        <v>0</v>
      </c>
      <c r="AX19" s="504">
        <v>21.156124021741039</v>
      </c>
      <c r="AY19" s="504">
        <v>0</v>
      </c>
      <c r="AZ19" s="504">
        <v>21.013652175205049</v>
      </c>
      <c r="BA19" s="504">
        <v>0</v>
      </c>
      <c r="BB19" s="504">
        <v>0</v>
      </c>
      <c r="BC19" s="505">
        <v>231.29264577379152</v>
      </c>
    </row>
    <row r="20" spans="1:55" hidden="1">
      <c r="A20" s="306" t="s">
        <v>714</v>
      </c>
      <c r="B20" s="307" t="s">
        <v>341</v>
      </c>
      <c r="C20" s="308" t="s">
        <v>283</v>
      </c>
      <c r="D20" s="310">
        <v>0.93389783863693032</v>
      </c>
      <c r="E20" s="309">
        <v>6.6102161363069678E-2</v>
      </c>
      <c r="F20" s="311">
        <v>1</v>
      </c>
      <c r="I20" s="307" t="s">
        <v>341</v>
      </c>
      <c r="J20" s="308" t="s">
        <v>283</v>
      </c>
      <c r="K20" s="503">
        <v>0</v>
      </c>
      <c r="L20" s="504">
        <v>78.750981979029874</v>
      </c>
      <c r="M20" s="504">
        <v>0</v>
      </c>
      <c r="N20" s="504">
        <v>0</v>
      </c>
      <c r="O20" s="504">
        <v>0</v>
      </c>
      <c r="P20" s="504">
        <v>0</v>
      </c>
      <c r="Q20" s="504">
        <v>0</v>
      </c>
      <c r="R20" s="504">
        <v>0</v>
      </c>
      <c r="S20" s="505">
        <v>78.750981979029874</v>
      </c>
      <c r="T20" s="503">
        <v>0</v>
      </c>
      <c r="U20" s="504">
        <v>0</v>
      </c>
      <c r="V20" s="504">
        <v>0</v>
      </c>
      <c r="W20" s="504">
        <v>0</v>
      </c>
      <c r="X20" s="504">
        <v>0</v>
      </c>
      <c r="Y20" s="504">
        <v>0</v>
      </c>
      <c r="Z20" s="504">
        <v>0</v>
      </c>
      <c r="AA20" s="504">
        <v>0</v>
      </c>
      <c r="AB20" s="505">
        <v>0</v>
      </c>
      <c r="AC20" s="503">
        <v>0</v>
      </c>
      <c r="AD20" s="504">
        <v>0</v>
      </c>
      <c r="AE20" s="504">
        <v>0</v>
      </c>
      <c r="AF20" s="504">
        <v>0</v>
      </c>
      <c r="AG20" s="504">
        <v>0</v>
      </c>
      <c r="AH20" s="504">
        <v>0</v>
      </c>
      <c r="AI20" s="504">
        <v>0</v>
      </c>
      <c r="AJ20" s="504">
        <v>0</v>
      </c>
      <c r="AK20" s="505">
        <v>0</v>
      </c>
      <c r="AL20" s="503">
        <v>0</v>
      </c>
      <c r="AM20" s="504">
        <v>12.871851042494857</v>
      </c>
      <c r="AN20" s="504">
        <v>0</v>
      </c>
      <c r="AO20" s="504">
        <v>0</v>
      </c>
      <c r="AP20" s="504">
        <v>0</v>
      </c>
      <c r="AQ20" s="504">
        <v>0</v>
      </c>
      <c r="AR20" s="504">
        <v>0</v>
      </c>
      <c r="AS20" s="504">
        <v>0</v>
      </c>
      <c r="AT20" s="505">
        <v>12.871851042494857</v>
      </c>
      <c r="AU20" s="503">
        <v>0</v>
      </c>
      <c r="AV20" s="504">
        <v>91.622833021524727</v>
      </c>
      <c r="AW20" s="504">
        <v>0</v>
      </c>
      <c r="AX20" s="504">
        <v>0</v>
      </c>
      <c r="AY20" s="504">
        <v>0</v>
      </c>
      <c r="AZ20" s="504">
        <v>0</v>
      </c>
      <c r="BA20" s="504">
        <v>0</v>
      </c>
      <c r="BB20" s="504">
        <v>0</v>
      </c>
      <c r="BC20" s="505">
        <v>91.622833021524727</v>
      </c>
    </row>
    <row r="21" spans="1:55" hidden="1">
      <c r="A21" s="306" t="s">
        <v>714</v>
      </c>
      <c r="B21" s="307" t="s">
        <v>343</v>
      </c>
      <c r="C21" s="308" t="s">
        <v>283</v>
      </c>
      <c r="D21" s="310">
        <v>0.82696528750038811</v>
      </c>
      <c r="E21" s="309">
        <v>0.1730347124996118</v>
      </c>
      <c r="F21" s="311">
        <v>1</v>
      </c>
      <c r="I21" s="307" t="s">
        <v>343</v>
      </c>
      <c r="J21" s="308" t="s">
        <v>283</v>
      </c>
      <c r="K21" s="503">
        <v>0</v>
      </c>
      <c r="L21" s="504">
        <v>0</v>
      </c>
      <c r="M21" s="504">
        <v>0</v>
      </c>
      <c r="N21" s="504">
        <v>0</v>
      </c>
      <c r="O21" s="504">
        <v>0</v>
      </c>
      <c r="P21" s="504">
        <v>0</v>
      </c>
      <c r="Q21" s="504">
        <v>0</v>
      </c>
      <c r="R21" s="504">
        <v>0</v>
      </c>
      <c r="S21" s="505">
        <v>0</v>
      </c>
      <c r="T21" s="503">
        <v>0</v>
      </c>
      <c r="U21" s="504">
        <v>0</v>
      </c>
      <c r="V21" s="504">
        <v>0</v>
      </c>
      <c r="W21" s="504">
        <v>44.110009786486408</v>
      </c>
      <c r="X21" s="504">
        <v>0</v>
      </c>
      <c r="Y21" s="504">
        <v>0</v>
      </c>
      <c r="Z21" s="504">
        <v>0</v>
      </c>
      <c r="AA21" s="504">
        <v>0</v>
      </c>
      <c r="AB21" s="505">
        <v>44.110009786486408</v>
      </c>
      <c r="AC21" s="503">
        <v>0</v>
      </c>
      <c r="AD21" s="504">
        <v>0</v>
      </c>
      <c r="AE21" s="504">
        <v>0</v>
      </c>
      <c r="AF21" s="504">
        <v>0</v>
      </c>
      <c r="AG21" s="504">
        <v>0</v>
      </c>
      <c r="AH21" s="504">
        <v>0</v>
      </c>
      <c r="AI21" s="504">
        <v>0</v>
      </c>
      <c r="AJ21" s="504">
        <v>0</v>
      </c>
      <c r="AK21" s="505">
        <v>0</v>
      </c>
      <c r="AL21" s="503">
        <v>0</v>
      </c>
      <c r="AM21" s="504">
        <v>26.98451061311329</v>
      </c>
      <c r="AN21" s="504">
        <v>0</v>
      </c>
      <c r="AO21" s="504">
        <v>0</v>
      </c>
      <c r="AP21" s="504">
        <v>0</v>
      </c>
      <c r="AQ21" s="504">
        <v>0</v>
      </c>
      <c r="AR21" s="504">
        <v>0</v>
      </c>
      <c r="AS21" s="504">
        <v>0</v>
      </c>
      <c r="AT21" s="505">
        <v>26.98451061311329</v>
      </c>
      <c r="AU21" s="503">
        <v>0</v>
      </c>
      <c r="AV21" s="504">
        <v>26.98451061311329</v>
      </c>
      <c r="AW21" s="504">
        <v>0</v>
      </c>
      <c r="AX21" s="504">
        <v>44.110009786486408</v>
      </c>
      <c r="AY21" s="504">
        <v>0</v>
      </c>
      <c r="AZ21" s="504">
        <v>0</v>
      </c>
      <c r="BA21" s="504">
        <v>0</v>
      </c>
      <c r="BB21" s="504">
        <v>0</v>
      </c>
      <c r="BC21" s="505">
        <v>71.094520399599702</v>
      </c>
    </row>
    <row r="22" spans="1:55" hidden="1">
      <c r="A22" s="306" t="s">
        <v>714</v>
      </c>
      <c r="B22" s="307" t="s">
        <v>345</v>
      </c>
      <c r="C22" s="308" t="s">
        <v>283</v>
      </c>
      <c r="D22" s="310">
        <v>0.9639940765832945</v>
      </c>
      <c r="E22" s="309">
        <v>3.6005923416705561E-2</v>
      </c>
      <c r="F22" s="311">
        <v>1</v>
      </c>
      <c r="I22" s="307" t="s">
        <v>345</v>
      </c>
      <c r="J22" s="308" t="s">
        <v>283</v>
      </c>
      <c r="K22" s="503">
        <v>0</v>
      </c>
      <c r="L22" s="504">
        <v>0</v>
      </c>
      <c r="M22" s="504">
        <v>0</v>
      </c>
      <c r="N22" s="504">
        <v>0</v>
      </c>
      <c r="O22" s="504">
        <v>0</v>
      </c>
      <c r="P22" s="504">
        <v>0</v>
      </c>
      <c r="Q22" s="504">
        <v>0</v>
      </c>
      <c r="R22" s="504">
        <v>0</v>
      </c>
      <c r="S22" s="505">
        <v>0</v>
      </c>
      <c r="T22" s="503">
        <v>0</v>
      </c>
      <c r="U22" s="504">
        <v>0</v>
      </c>
      <c r="V22" s="504">
        <v>0</v>
      </c>
      <c r="W22" s="504">
        <v>19.634672986614149</v>
      </c>
      <c r="X22" s="504">
        <v>0</v>
      </c>
      <c r="Y22" s="504">
        <v>0</v>
      </c>
      <c r="Z22" s="504">
        <v>0</v>
      </c>
      <c r="AA22" s="504">
        <v>0</v>
      </c>
      <c r="AB22" s="505">
        <v>19.634672986614149</v>
      </c>
      <c r="AC22" s="503">
        <v>0</v>
      </c>
      <c r="AD22" s="504">
        <v>0</v>
      </c>
      <c r="AE22" s="504">
        <v>0</v>
      </c>
      <c r="AF22" s="504">
        <v>0</v>
      </c>
      <c r="AG22" s="504">
        <v>0</v>
      </c>
      <c r="AH22" s="504">
        <v>0</v>
      </c>
      <c r="AI22" s="504">
        <v>0</v>
      </c>
      <c r="AJ22" s="504">
        <v>0</v>
      </c>
      <c r="AK22" s="505">
        <v>0</v>
      </c>
      <c r="AL22" s="503">
        <v>0</v>
      </c>
      <c r="AM22" s="504">
        <v>0</v>
      </c>
      <c r="AN22" s="504">
        <v>0</v>
      </c>
      <c r="AO22" s="504">
        <v>0</v>
      </c>
      <c r="AP22" s="504">
        <v>0</v>
      </c>
      <c r="AQ22" s="504">
        <v>0</v>
      </c>
      <c r="AR22" s="504">
        <v>0</v>
      </c>
      <c r="AS22" s="504">
        <v>0</v>
      </c>
      <c r="AT22" s="505">
        <v>0</v>
      </c>
      <c r="AU22" s="503">
        <v>0</v>
      </c>
      <c r="AV22" s="504">
        <v>0</v>
      </c>
      <c r="AW22" s="504">
        <v>0</v>
      </c>
      <c r="AX22" s="504">
        <v>19.634672986614149</v>
      </c>
      <c r="AY22" s="504">
        <v>0</v>
      </c>
      <c r="AZ22" s="504">
        <v>0</v>
      </c>
      <c r="BA22" s="504">
        <v>0</v>
      </c>
      <c r="BB22" s="504">
        <v>0</v>
      </c>
      <c r="BC22" s="505">
        <v>19.634672986614149</v>
      </c>
    </row>
    <row r="23" spans="1:55" hidden="1">
      <c r="A23" s="306" t="s">
        <v>714</v>
      </c>
      <c r="B23" s="307" t="s">
        <v>346</v>
      </c>
      <c r="C23" s="308" t="s">
        <v>283</v>
      </c>
      <c r="D23" s="310">
        <v>0.93408299941780015</v>
      </c>
      <c r="E23" s="309">
        <v>6.5917000582199917E-2</v>
      </c>
      <c r="F23" s="311">
        <v>1</v>
      </c>
      <c r="I23" s="307" t="s">
        <v>346</v>
      </c>
      <c r="J23" s="308" t="s">
        <v>283</v>
      </c>
      <c r="K23" s="503">
        <v>0</v>
      </c>
      <c r="L23" s="504">
        <v>0</v>
      </c>
      <c r="M23" s="504">
        <v>0</v>
      </c>
      <c r="N23" s="504">
        <v>0</v>
      </c>
      <c r="O23" s="504">
        <v>0</v>
      </c>
      <c r="P23" s="504">
        <v>0</v>
      </c>
      <c r="Q23" s="504">
        <v>0</v>
      </c>
      <c r="R23" s="504">
        <v>0</v>
      </c>
      <c r="S23" s="505">
        <v>0</v>
      </c>
      <c r="T23" s="503">
        <v>0</v>
      </c>
      <c r="U23" s="504">
        <v>0</v>
      </c>
      <c r="V23" s="504">
        <v>0</v>
      </c>
      <c r="W23" s="504">
        <v>0</v>
      </c>
      <c r="X23" s="504">
        <v>0</v>
      </c>
      <c r="Y23" s="504">
        <v>0</v>
      </c>
      <c r="Z23" s="504">
        <v>0</v>
      </c>
      <c r="AA23" s="504">
        <v>0</v>
      </c>
      <c r="AB23" s="505">
        <v>0</v>
      </c>
      <c r="AC23" s="503">
        <v>0</v>
      </c>
      <c r="AD23" s="504">
        <v>0</v>
      </c>
      <c r="AE23" s="504">
        <v>0</v>
      </c>
      <c r="AF23" s="504">
        <v>0</v>
      </c>
      <c r="AG23" s="504">
        <v>0</v>
      </c>
      <c r="AH23" s="504">
        <v>0</v>
      </c>
      <c r="AI23" s="504">
        <v>0</v>
      </c>
      <c r="AJ23" s="504">
        <v>0</v>
      </c>
      <c r="AK23" s="505">
        <v>0</v>
      </c>
      <c r="AL23" s="503">
        <v>0</v>
      </c>
      <c r="AM23" s="504">
        <v>0</v>
      </c>
      <c r="AN23" s="504">
        <v>0</v>
      </c>
      <c r="AO23" s="504">
        <v>50.284769574735037</v>
      </c>
      <c r="AP23" s="504">
        <v>0</v>
      </c>
      <c r="AQ23" s="504">
        <v>0</v>
      </c>
      <c r="AR23" s="504">
        <v>0</v>
      </c>
      <c r="AS23" s="504">
        <v>0</v>
      </c>
      <c r="AT23" s="505">
        <v>50.284769574735037</v>
      </c>
      <c r="AU23" s="503">
        <v>0</v>
      </c>
      <c r="AV23" s="504">
        <v>0</v>
      </c>
      <c r="AW23" s="504">
        <v>0</v>
      </c>
      <c r="AX23" s="504">
        <v>50.284769574735037</v>
      </c>
      <c r="AY23" s="504">
        <v>0</v>
      </c>
      <c r="AZ23" s="504">
        <v>0</v>
      </c>
      <c r="BA23" s="504">
        <v>0</v>
      </c>
      <c r="BB23" s="504">
        <v>0</v>
      </c>
      <c r="BC23" s="505">
        <v>50.284769574735037</v>
      </c>
    </row>
    <row r="24" spans="1:55" hidden="1">
      <c r="A24" s="306" t="s">
        <v>714</v>
      </c>
      <c r="B24" s="307" t="s">
        <v>347</v>
      </c>
      <c r="C24" s="308" t="s">
        <v>283</v>
      </c>
      <c r="D24" s="310">
        <v>0.91769059534017872</v>
      </c>
      <c r="E24" s="309">
        <v>8.23094046598212E-2</v>
      </c>
      <c r="F24" s="311">
        <v>1</v>
      </c>
      <c r="I24" s="307" t="s">
        <v>347</v>
      </c>
      <c r="J24" s="308" t="s">
        <v>283</v>
      </c>
      <c r="K24" s="503">
        <v>0</v>
      </c>
      <c r="L24" s="504">
        <v>0</v>
      </c>
      <c r="M24" s="504">
        <v>0</v>
      </c>
      <c r="N24" s="504">
        <v>199.11719821988763</v>
      </c>
      <c r="O24" s="504">
        <v>0</v>
      </c>
      <c r="P24" s="504">
        <v>0</v>
      </c>
      <c r="Q24" s="504">
        <v>0</v>
      </c>
      <c r="R24" s="504">
        <v>0</v>
      </c>
      <c r="S24" s="505">
        <v>199.11719821988763</v>
      </c>
      <c r="T24" s="503">
        <v>0</v>
      </c>
      <c r="U24" s="504">
        <v>229.22224785316547</v>
      </c>
      <c r="V24" s="504">
        <v>0</v>
      </c>
      <c r="W24" s="504">
        <v>397.49954616357195</v>
      </c>
      <c r="X24" s="504">
        <v>0</v>
      </c>
      <c r="Y24" s="504">
        <v>0</v>
      </c>
      <c r="Z24" s="504">
        <v>0</v>
      </c>
      <c r="AA24" s="504">
        <v>0</v>
      </c>
      <c r="AB24" s="505">
        <v>626.72179401673748</v>
      </c>
      <c r="AC24" s="503">
        <v>0</v>
      </c>
      <c r="AD24" s="504">
        <v>0</v>
      </c>
      <c r="AE24" s="504">
        <v>0</v>
      </c>
      <c r="AF24" s="504">
        <v>0</v>
      </c>
      <c r="AG24" s="504">
        <v>0</v>
      </c>
      <c r="AH24" s="504">
        <v>0</v>
      </c>
      <c r="AI24" s="504">
        <v>0</v>
      </c>
      <c r="AJ24" s="504">
        <v>0</v>
      </c>
      <c r="AK24" s="505">
        <v>0</v>
      </c>
      <c r="AL24" s="503">
        <v>0</v>
      </c>
      <c r="AM24" s="504">
        <v>0</v>
      </c>
      <c r="AN24" s="504">
        <v>0</v>
      </c>
      <c r="AO24" s="504">
        <v>0</v>
      </c>
      <c r="AP24" s="504">
        <v>0</v>
      </c>
      <c r="AQ24" s="504">
        <v>0</v>
      </c>
      <c r="AR24" s="504">
        <v>0</v>
      </c>
      <c r="AS24" s="504">
        <v>0</v>
      </c>
      <c r="AT24" s="505">
        <v>0</v>
      </c>
      <c r="AU24" s="503">
        <v>0</v>
      </c>
      <c r="AV24" s="504">
        <v>229.22224785316547</v>
      </c>
      <c r="AW24" s="504">
        <v>0</v>
      </c>
      <c r="AX24" s="504">
        <v>596.6167443834596</v>
      </c>
      <c r="AY24" s="504">
        <v>0</v>
      </c>
      <c r="AZ24" s="504">
        <v>0</v>
      </c>
      <c r="BA24" s="504">
        <v>0</v>
      </c>
      <c r="BB24" s="504">
        <v>0</v>
      </c>
      <c r="BC24" s="505">
        <v>825.83899223662513</v>
      </c>
    </row>
    <row r="25" spans="1:55" hidden="1">
      <c r="A25" s="306" t="s">
        <v>714</v>
      </c>
      <c r="B25" s="307" t="s">
        <v>348</v>
      </c>
      <c r="C25" s="308" t="s">
        <v>283</v>
      </c>
      <c r="D25" s="310">
        <v>0.86719579734784979</v>
      </c>
      <c r="E25" s="309">
        <v>0.13280420265215021</v>
      </c>
      <c r="F25" s="311">
        <v>1</v>
      </c>
      <c r="I25" s="307" t="s">
        <v>348</v>
      </c>
      <c r="J25" s="308" t="s">
        <v>283</v>
      </c>
      <c r="K25" s="503">
        <v>0</v>
      </c>
      <c r="L25" s="504">
        <v>0</v>
      </c>
      <c r="M25" s="504">
        <v>0</v>
      </c>
      <c r="N25" s="504">
        <v>0</v>
      </c>
      <c r="O25" s="504">
        <v>0</v>
      </c>
      <c r="P25" s="504">
        <v>0</v>
      </c>
      <c r="Q25" s="504">
        <v>0</v>
      </c>
      <c r="R25" s="504">
        <v>0</v>
      </c>
      <c r="S25" s="505">
        <v>0</v>
      </c>
      <c r="T25" s="503">
        <v>0</v>
      </c>
      <c r="U25" s="504">
        <v>77.628925891035308</v>
      </c>
      <c r="V25" s="504">
        <v>0</v>
      </c>
      <c r="W25" s="504">
        <v>0</v>
      </c>
      <c r="X25" s="504">
        <v>0</v>
      </c>
      <c r="Y25" s="504">
        <v>0</v>
      </c>
      <c r="Z25" s="504">
        <v>0</v>
      </c>
      <c r="AA25" s="504">
        <v>0</v>
      </c>
      <c r="AB25" s="505">
        <v>77.628925891035308</v>
      </c>
      <c r="AC25" s="503">
        <v>0</v>
      </c>
      <c r="AD25" s="504">
        <v>0</v>
      </c>
      <c r="AE25" s="504">
        <v>0</v>
      </c>
      <c r="AF25" s="504">
        <v>14.859568713243839</v>
      </c>
      <c r="AG25" s="504">
        <v>0</v>
      </c>
      <c r="AH25" s="504">
        <v>0</v>
      </c>
      <c r="AI25" s="504">
        <v>0</v>
      </c>
      <c r="AJ25" s="504">
        <v>0</v>
      </c>
      <c r="AK25" s="505">
        <v>14.859568713243839</v>
      </c>
      <c r="AL25" s="503">
        <v>0</v>
      </c>
      <c r="AM25" s="504">
        <v>0</v>
      </c>
      <c r="AN25" s="504">
        <v>0</v>
      </c>
      <c r="AO25" s="504">
        <v>0</v>
      </c>
      <c r="AP25" s="504">
        <v>0</v>
      </c>
      <c r="AQ25" s="504">
        <v>0</v>
      </c>
      <c r="AR25" s="504">
        <v>0</v>
      </c>
      <c r="AS25" s="504">
        <v>0</v>
      </c>
      <c r="AT25" s="505">
        <v>0</v>
      </c>
      <c r="AU25" s="503">
        <v>0</v>
      </c>
      <c r="AV25" s="504">
        <v>77.628925891035308</v>
      </c>
      <c r="AW25" s="504">
        <v>0</v>
      </c>
      <c r="AX25" s="504">
        <v>14.859568713243839</v>
      </c>
      <c r="AY25" s="504">
        <v>0</v>
      </c>
      <c r="AZ25" s="504">
        <v>0</v>
      </c>
      <c r="BA25" s="504">
        <v>0</v>
      </c>
      <c r="BB25" s="504">
        <v>0</v>
      </c>
      <c r="BC25" s="505">
        <v>92.48849460427914</v>
      </c>
    </row>
    <row r="26" spans="1:55" hidden="1">
      <c r="A26" s="306" t="s">
        <v>714</v>
      </c>
      <c r="B26" s="307" t="s">
        <v>349</v>
      </c>
      <c r="C26" s="308" t="s">
        <v>283</v>
      </c>
      <c r="D26" s="310">
        <v>0.90936489436209378</v>
      </c>
      <c r="E26" s="309">
        <v>9.063510563790618E-2</v>
      </c>
      <c r="F26" s="311">
        <v>1</v>
      </c>
      <c r="I26" s="307" t="s">
        <v>349</v>
      </c>
      <c r="J26" s="308" t="s">
        <v>283</v>
      </c>
      <c r="K26" s="503">
        <v>0</v>
      </c>
      <c r="L26" s="504">
        <v>0</v>
      </c>
      <c r="M26" s="504">
        <v>0</v>
      </c>
      <c r="N26" s="504">
        <v>0</v>
      </c>
      <c r="O26" s="504">
        <v>0</v>
      </c>
      <c r="P26" s="504">
        <v>0</v>
      </c>
      <c r="Q26" s="504">
        <v>0</v>
      </c>
      <c r="R26" s="504">
        <v>0</v>
      </c>
      <c r="S26" s="505">
        <v>0</v>
      </c>
      <c r="T26" s="503">
        <v>0</v>
      </c>
      <c r="U26" s="504">
        <v>0</v>
      </c>
      <c r="V26" s="504">
        <v>0</v>
      </c>
      <c r="W26" s="504">
        <v>0</v>
      </c>
      <c r="X26" s="504">
        <v>0</v>
      </c>
      <c r="Y26" s="504">
        <v>0</v>
      </c>
      <c r="Z26" s="504">
        <v>0</v>
      </c>
      <c r="AA26" s="504">
        <v>0</v>
      </c>
      <c r="AB26" s="505">
        <v>0</v>
      </c>
      <c r="AC26" s="503">
        <v>0</v>
      </c>
      <c r="AD26" s="504">
        <v>0</v>
      </c>
      <c r="AE26" s="504">
        <v>0</v>
      </c>
      <c r="AF26" s="504">
        <v>0</v>
      </c>
      <c r="AG26" s="504">
        <v>0</v>
      </c>
      <c r="AH26" s="504">
        <v>0</v>
      </c>
      <c r="AI26" s="504">
        <v>0</v>
      </c>
      <c r="AJ26" s="504">
        <v>0</v>
      </c>
      <c r="AK26" s="505">
        <v>0</v>
      </c>
      <c r="AL26" s="503">
        <v>0</v>
      </c>
      <c r="AM26" s="504">
        <v>0</v>
      </c>
      <c r="AN26" s="504">
        <v>0</v>
      </c>
      <c r="AO26" s="504">
        <v>0</v>
      </c>
      <c r="AP26" s="504">
        <v>0</v>
      </c>
      <c r="AQ26" s="504">
        <v>0</v>
      </c>
      <c r="AR26" s="504">
        <v>0</v>
      </c>
      <c r="AS26" s="504">
        <v>0</v>
      </c>
      <c r="AT26" s="505">
        <v>0</v>
      </c>
      <c r="AU26" s="503">
        <v>0</v>
      </c>
      <c r="AV26" s="504">
        <v>0</v>
      </c>
      <c r="AW26" s="504">
        <v>0</v>
      </c>
      <c r="AX26" s="504">
        <v>0</v>
      </c>
      <c r="AY26" s="504">
        <v>0</v>
      </c>
      <c r="AZ26" s="504">
        <v>0</v>
      </c>
      <c r="BA26" s="504">
        <v>0</v>
      </c>
      <c r="BB26" s="504">
        <v>0</v>
      </c>
      <c r="BC26" s="505">
        <v>0</v>
      </c>
    </row>
    <row r="27" spans="1:55" hidden="1">
      <c r="A27" s="306" t="s">
        <v>714</v>
      </c>
      <c r="B27" s="307" t="s">
        <v>350</v>
      </c>
      <c r="C27" s="308" t="s">
        <v>283</v>
      </c>
      <c r="D27" s="310">
        <v>0.95601441298306766</v>
      </c>
      <c r="E27" s="309">
        <v>4.3985587016932386E-2</v>
      </c>
      <c r="F27" s="311">
        <v>1</v>
      </c>
      <c r="I27" s="307" t="s">
        <v>350</v>
      </c>
      <c r="J27" s="308" t="s">
        <v>283</v>
      </c>
      <c r="K27" s="503">
        <v>0</v>
      </c>
      <c r="L27" s="504">
        <v>0</v>
      </c>
      <c r="M27" s="504">
        <v>0</v>
      </c>
      <c r="N27" s="504">
        <v>27.526762610065123</v>
      </c>
      <c r="O27" s="504">
        <v>0</v>
      </c>
      <c r="P27" s="504">
        <v>0</v>
      </c>
      <c r="Q27" s="504">
        <v>0</v>
      </c>
      <c r="R27" s="504">
        <v>0</v>
      </c>
      <c r="S27" s="505">
        <v>27.526762610065123</v>
      </c>
      <c r="T27" s="503">
        <v>0</v>
      </c>
      <c r="U27" s="504">
        <v>0</v>
      </c>
      <c r="V27" s="504">
        <v>0</v>
      </c>
      <c r="W27" s="504">
        <v>0</v>
      </c>
      <c r="X27" s="504">
        <v>0</v>
      </c>
      <c r="Y27" s="504">
        <v>0</v>
      </c>
      <c r="Z27" s="504">
        <v>0</v>
      </c>
      <c r="AA27" s="504">
        <v>0</v>
      </c>
      <c r="AB27" s="505">
        <v>0</v>
      </c>
      <c r="AC27" s="503">
        <v>0</v>
      </c>
      <c r="AD27" s="504">
        <v>0</v>
      </c>
      <c r="AE27" s="504">
        <v>0</v>
      </c>
      <c r="AF27" s="504">
        <v>0</v>
      </c>
      <c r="AG27" s="504">
        <v>0</v>
      </c>
      <c r="AH27" s="504">
        <v>0</v>
      </c>
      <c r="AI27" s="504">
        <v>0</v>
      </c>
      <c r="AJ27" s="504">
        <v>0</v>
      </c>
      <c r="AK27" s="505">
        <v>0</v>
      </c>
      <c r="AL27" s="503">
        <v>0</v>
      </c>
      <c r="AM27" s="504">
        <v>0</v>
      </c>
      <c r="AN27" s="504">
        <v>0</v>
      </c>
      <c r="AO27" s="504">
        <v>50.160792280915594</v>
      </c>
      <c r="AP27" s="504">
        <v>0</v>
      </c>
      <c r="AQ27" s="504">
        <v>0</v>
      </c>
      <c r="AR27" s="504">
        <v>0</v>
      </c>
      <c r="AS27" s="504">
        <v>0</v>
      </c>
      <c r="AT27" s="505">
        <v>50.160792280915594</v>
      </c>
      <c r="AU27" s="503">
        <v>0</v>
      </c>
      <c r="AV27" s="504">
        <v>0</v>
      </c>
      <c r="AW27" s="504">
        <v>0</v>
      </c>
      <c r="AX27" s="504">
        <v>77.687554890980721</v>
      </c>
      <c r="AY27" s="504">
        <v>0</v>
      </c>
      <c r="AZ27" s="504">
        <v>0</v>
      </c>
      <c r="BA27" s="504">
        <v>0</v>
      </c>
      <c r="BB27" s="504">
        <v>0</v>
      </c>
      <c r="BC27" s="505">
        <v>77.687554890980721</v>
      </c>
    </row>
    <row r="28" spans="1:55" hidden="1">
      <c r="A28" s="306" t="s">
        <v>714</v>
      </c>
      <c r="B28" s="307" t="s">
        <v>351</v>
      </c>
      <c r="C28" s="308" t="s">
        <v>283</v>
      </c>
      <c r="D28" s="310">
        <v>0.87588518856182296</v>
      </c>
      <c r="E28" s="309">
        <v>0.124114811438177</v>
      </c>
      <c r="F28" s="311">
        <v>1</v>
      </c>
      <c r="I28" s="307" t="s">
        <v>351</v>
      </c>
      <c r="J28" s="308" t="s">
        <v>283</v>
      </c>
      <c r="K28" s="503">
        <v>0</v>
      </c>
      <c r="L28" s="504">
        <v>0</v>
      </c>
      <c r="M28" s="504">
        <v>0</v>
      </c>
      <c r="N28" s="504">
        <v>0</v>
      </c>
      <c r="O28" s="504">
        <v>0</v>
      </c>
      <c r="P28" s="504">
        <v>0</v>
      </c>
      <c r="Q28" s="504">
        <v>0</v>
      </c>
      <c r="R28" s="504">
        <v>0</v>
      </c>
      <c r="S28" s="505">
        <v>0</v>
      </c>
      <c r="T28" s="503">
        <v>0</v>
      </c>
      <c r="U28" s="504">
        <v>0</v>
      </c>
      <c r="V28" s="504">
        <v>0</v>
      </c>
      <c r="W28" s="504">
        <v>89.176218358381661</v>
      </c>
      <c r="X28" s="504">
        <v>0</v>
      </c>
      <c r="Y28" s="504">
        <v>0</v>
      </c>
      <c r="Z28" s="504">
        <v>0</v>
      </c>
      <c r="AA28" s="504">
        <v>0</v>
      </c>
      <c r="AB28" s="505">
        <v>89.176218358381661</v>
      </c>
      <c r="AC28" s="503">
        <v>0</v>
      </c>
      <c r="AD28" s="504">
        <v>0</v>
      </c>
      <c r="AE28" s="504">
        <v>0</v>
      </c>
      <c r="AF28" s="504">
        <v>0</v>
      </c>
      <c r="AG28" s="504">
        <v>0</v>
      </c>
      <c r="AH28" s="504">
        <v>0</v>
      </c>
      <c r="AI28" s="504">
        <v>0</v>
      </c>
      <c r="AJ28" s="504">
        <v>0</v>
      </c>
      <c r="AK28" s="505">
        <v>0</v>
      </c>
      <c r="AL28" s="503">
        <v>0</v>
      </c>
      <c r="AM28" s="504">
        <v>0</v>
      </c>
      <c r="AN28" s="504">
        <v>0</v>
      </c>
      <c r="AO28" s="504">
        <v>0</v>
      </c>
      <c r="AP28" s="504">
        <v>0</v>
      </c>
      <c r="AQ28" s="504">
        <v>0</v>
      </c>
      <c r="AR28" s="504">
        <v>0</v>
      </c>
      <c r="AS28" s="504">
        <v>0</v>
      </c>
      <c r="AT28" s="505">
        <v>0</v>
      </c>
      <c r="AU28" s="503">
        <v>0</v>
      </c>
      <c r="AV28" s="504">
        <v>0</v>
      </c>
      <c r="AW28" s="504">
        <v>0</v>
      </c>
      <c r="AX28" s="504">
        <v>89.176218358381661</v>
      </c>
      <c r="AY28" s="504">
        <v>0</v>
      </c>
      <c r="AZ28" s="504">
        <v>0</v>
      </c>
      <c r="BA28" s="504">
        <v>0</v>
      </c>
      <c r="BB28" s="504">
        <v>0</v>
      </c>
      <c r="BC28" s="505">
        <v>89.176218358381661</v>
      </c>
    </row>
    <row r="29" spans="1:55" hidden="1">
      <c r="A29" s="306" t="s">
        <v>714</v>
      </c>
      <c r="B29" s="307" t="s">
        <v>352</v>
      </c>
      <c r="C29" s="308" t="s">
        <v>283</v>
      </c>
      <c r="D29" s="310">
        <v>0.84944115724381652</v>
      </c>
      <c r="E29" s="309">
        <v>0.15055884275618342</v>
      </c>
      <c r="F29" s="311">
        <v>1</v>
      </c>
      <c r="I29" s="307" t="s">
        <v>352</v>
      </c>
      <c r="J29" s="308" t="s">
        <v>283</v>
      </c>
      <c r="K29" s="503">
        <v>148.2735501254345</v>
      </c>
      <c r="L29" s="504">
        <v>164.52454773936284</v>
      </c>
      <c r="M29" s="504">
        <v>0</v>
      </c>
      <c r="N29" s="504">
        <v>144.74774163312946</v>
      </c>
      <c r="O29" s="504">
        <v>0</v>
      </c>
      <c r="P29" s="504">
        <v>0</v>
      </c>
      <c r="Q29" s="504">
        <v>181.59300613891733</v>
      </c>
      <c r="R29" s="504">
        <v>0</v>
      </c>
      <c r="S29" s="505">
        <v>639.13884563684417</v>
      </c>
      <c r="T29" s="503">
        <v>6.1824646651855133</v>
      </c>
      <c r="U29" s="504">
        <v>0</v>
      </c>
      <c r="V29" s="504">
        <v>0</v>
      </c>
      <c r="W29" s="504">
        <v>246.20211949089779</v>
      </c>
      <c r="X29" s="504">
        <v>0</v>
      </c>
      <c r="Y29" s="504">
        <v>8.4949684431757166</v>
      </c>
      <c r="Z29" s="504">
        <v>316.47110254809434</v>
      </c>
      <c r="AA29" s="504">
        <v>0</v>
      </c>
      <c r="AB29" s="505">
        <v>577.35065514735334</v>
      </c>
      <c r="AC29" s="503">
        <v>0</v>
      </c>
      <c r="AD29" s="504">
        <v>0</v>
      </c>
      <c r="AE29" s="504">
        <v>0</v>
      </c>
      <c r="AF29" s="504">
        <v>0</v>
      </c>
      <c r="AG29" s="504">
        <v>0</v>
      </c>
      <c r="AH29" s="504">
        <v>0</v>
      </c>
      <c r="AI29" s="504">
        <v>0</v>
      </c>
      <c r="AJ29" s="504">
        <v>0</v>
      </c>
      <c r="AK29" s="505">
        <v>0</v>
      </c>
      <c r="AL29" s="503">
        <v>0</v>
      </c>
      <c r="AM29" s="504">
        <v>0</v>
      </c>
      <c r="AN29" s="504">
        <v>0</v>
      </c>
      <c r="AO29" s="504">
        <v>49.357364321808859</v>
      </c>
      <c r="AP29" s="504">
        <v>0</v>
      </c>
      <c r="AQ29" s="504">
        <v>0</v>
      </c>
      <c r="AR29" s="504">
        <v>0</v>
      </c>
      <c r="AS29" s="504">
        <v>0</v>
      </c>
      <c r="AT29" s="505">
        <v>49.357364321808859</v>
      </c>
      <c r="AU29" s="503">
        <v>154.45601479062</v>
      </c>
      <c r="AV29" s="504">
        <v>164.52454773936284</v>
      </c>
      <c r="AW29" s="504">
        <v>0</v>
      </c>
      <c r="AX29" s="504">
        <v>440.30722544583614</v>
      </c>
      <c r="AY29" s="504">
        <v>0</v>
      </c>
      <c r="AZ29" s="504">
        <v>8.4949684431757166</v>
      </c>
      <c r="BA29" s="504">
        <v>498.06410868701164</v>
      </c>
      <c r="BB29" s="504">
        <v>0</v>
      </c>
      <c r="BC29" s="505">
        <v>1265.8468651060061</v>
      </c>
    </row>
    <row r="30" spans="1:55" hidden="1">
      <c r="A30" s="306" t="s">
        <v>714</v>
      </c>
      <c r="B30" s="307" t="s">
        <v>353</v>
      </c>
      <c r="C30" s="308" t="s">
        <v>283</v>
      </c>
      <c r="D30" s="310">
        <v>0.94563669068213607</v>
      </c>
      <c r="E30" s="309">
        <v>5.436330931786388E-2</v>
      </c>
      <c r="F30" s="311">
        <v>1</v>
      </c>
      <c r="I30" s="307" t="s">
        <v>353</v>
      </c>
      <c r="J30" s="308" t="s">
        <v>283</v>
      </c>
      <c r="K30" s="503">
        <v>73.602552558930171</v>
      </c>
      <c r="L30" s="504">
        <v>0</v>
      </c>
      <c r="M30" s="504">
        <v>0</v>
      </c>
      <c r="N30" s="504">
        <v>0</v>
      </c>
      <c r="O30" s="504">
        <v>0</v>
      </c>
      <c r="P30" s="504">
        <v>0</v>
      </c>
      <c r="Q30" s="504">
        <v>0</v>
      </c>
      <c r="R30" s="504">
        <v>0</v>
      </c>
      <c r="S30" s="505">
        <v>73.602552558930171</v>
      </c>
      <c r="T30" s="503">
        <v>0</v>
      </c>
      <c r="U30" s="504">
        <v>0</v>
      </c>
      <c r="V30" s="504">
        <v>0</v>
      </c>
      <c r="W30" s="504">
        <v>369.19953535640911</v>
      </c>
      <c r="X30" s="504">
        <v>0</v>
      </c>
      <c r="Y30" s="504">
        <v>0</v>
      </c>
      <c r="Z30" s="504">
        <v>0</v>
      </c>
      <c r="AA30" s="504">
        <v>0</v>
      </c>
      <c r="AB30" s="505">
        <v>369.19953535640911</v>
      </c>
      <c r="AC30" s="503">
        <v>0</v>
      </c>
      <c r="AD30" s="504">
        <v>0</v>
      </c>
      <c r="AE30" s="504">
        <v>0</v>
      </c>
      <c r="AF30" s="504">
        <v>0</v>
      </c>
      <c r="AG30" s="504">
        <v>0</v>
      </c>
      <c r="AH30" s="504">
        <v>0</v>
      </c>
      <c r="AI30" s="504">
        <v>0</v>
      </c>
      <c r="AJ30" s="504">
        <v>0</v>
      </c>
      <c r="AK30" s="505">
        <v>0</v>
      </c>
      <c r="AL30" s="503">
        <v>53.853986219092349</v>
      </c>
      <c r="AM30" s="504">
        <v>0</v>
      </c>
      <c r="AN30" s="504">
        <v>0</v>
      </c>
      <c r="AO30" s="504">
        <v>0</v>
      </c>
      <c r="AP30" s="504">
        <v>0</v>
      </c>
      <c r="AQ30" s="504">
        <v>0</v>
      </c>
      <c r="AR30" s="504">
        <v>0</v>
      </c>
      <c r="AS30" s="504">
        <v>0</v>
      </c>
      <c r="AT30" s="505">
        <v>53.853986219092349</v>
      </c>
      <c r="AU30" s="503">
        <v>127.45653877802252</v>
      </c>
      <c r="AV30" s="504">
        <v>0</v>
      </c>
      <c r="AW30" s="504">
        <v>0</v>
      </c>
      <c r="AX30" s="504">
        <v>369.19953535640911</v>
      </c>
      <c r="AY30" s="504">
        <v>0</v>
      </c>
      <c r="AZ30" s="504">
        <v>0</v>
      </c>
      <c r="BA30" s="504">
        <v>0</v>
      </c>
      <c r="BB30" s="504">
        <v>0</v>
      </c>
      <c r="BC30" s="505">
        <v>496.65607413443161</v>
      </c>
    </row>
    <row r="31" spans="1:55" hidden="1">
      <c r="A31" s="306" t="s">
        <v>714</v>
      </c>
      <c r="B31" s="307" t="s">
        <v>354</v>
      </c>
      <c r="C31" s="308" t="s">
        <v>283</v>
      </c>
      <c r="D31" s="310">
        <v>0.96480768386842664</v>
      </c>
      <c r="E31" s="309">
        <v>3.5192316131573469E-2</v>
      </c>
      <c r="F31" s="311">
        <v>1</v>
      </c>
      <c r="I31" s="307" t="s">
        <v>354</v>
      </c>
      <c r="J31" s="308" t="s">
        <v>283</v>
      </c>
      <c r="K31" s="503">
        <v>0</v>
      </c>
      <c r="L31" s="504">
        <v>0</v>
      </c>
      <c r="M31" s="504">
        <v>0</v>
      </c>
      <c r="N31" s="504">
        <v>22.8017069505925</v>
      </c>
      <c r="O31" s="504">
        <v>0</v>
      </c>
      <c r="P31" s="504">
        <v>0</v>
      </c>
      <c r="Q31" s="504">
        <v>0</v>
      </c>
      <c r="R31" s="504">
        <v>0</v>
      </c>
      <c r="S31" s="505">
        <v>22.8017069505925</v>
      </c>
      <c r="T31" s="503">
        <v>36.198549900463831</v>
      </c>
      <c r="U31" s="504">
        <v>0</v>
      </c>
      <c r="V31" s="504">
        <v>0</v>
      </c>
      <c r="W31" s="504">
        <v>0</v>
      </c>
      <c r="X31" s="504">
        <v>0</v>
      </c>
      <c r="Y31" s="504">
        <v>0</v>
      </c>
      <c r="Z31" s="504">
        <v>0</v>
      </c>
      <c r="AA31" s="504">
        <v>0</v>
      </c>
      <c r="AB31" s="505">
        <v>36.198549900463831</v>
      </c>
      <c r="AC31" s="503">
        <v>0</v>
      </c>
      <c r="AD31" s="504">
        <v>0</v>
      </c>
      <c r="AE31" s="504">
        <v>0</v>
      </c>
      <c r="AF31" s="504">
        <v>0</v>
      </c>
      <c r="AG31" s="504">
        <v>0</v>
      </c>
      <c r="AH31" s="504">
        <v>0</v>
      </c>
      <c r="AI31" s="504">
        <v>0</v>
      </c>
      <c r="AJ31" s="504">
        <v>0</v>
      </c>
      <c r="AK31" s="505">
        <v>0</v>
      </c>
      <c r="AL31" s="503">
        <v>0</v>
      </c>
      <c r="AM31" s="504">
        <v>0</v>
      </c>
      <c r="AN31" s="504">
        <v>0</v>
      </c>
      <c r="AO31" s="504">
        <v>22.8017069505925</v>
      </c>
      <c r="AP31" s="504">
        <v>0</v>
      </c>
      <c r="AQ31" s="504">
        <v>0</v>
      </c>
      <c r="AR31" s="504">
        <v>0</v>
      </c>
      <c r="AS31" s="504">
        <v>0</v>
      </c>
      <c r="AT31" s="505">
        <v>22.8017069505925</v>
      </c>
      <c r="AU31" s="503">
        <v>36.198549900463831</v>
      </c>
      <c r="AV31" s="504">
        <v>0</v>
      </c>
      <c r="AW31" s="504">
        <v>0</v>
      </c>
      <c r="AX31" s="504">
        <v>45.603413901185</v>
      </c>
      <c r="AY31" s="504">
        <v>0</v>
      </c>
      <c r="AZ31" s="504">
        <v>0</v>
      </c>
      <c r="BA31" s="504">
        <v>0</v>
      </c>
      <c r="BB31" s="504">
        <v>0</v>
      </c>
      <c r="BC31" s="505">
        <v>81.801963801648839</v>
      </c>
    </row>
    <row r="32" spans="1:55" hidden="1">
      <c r="A32" s="306" t="s">
        <v>714</v>
      </c>
      <c r="B32" s="307" t="s">
        <v>355</v>
      </c>
      <c r="C32" s="308" t="s">
        <v>283</v>
      </c>
      <c r="D32" s="310">
        <v>0.99338694798732041</v>
      </c>
      <c r="E32" s="309">
        <v>6.6130520126795201E-3</v>
      </c>
      <c r="F32" s="311">
        <v>1</v>
      </c>
      <c r="I32" s="307" t="s">
        <v>355</v>
      </c>
      <c r="J32" s="308" t="s">
        <v>283</v>
      </c>
      <c r="K32" s="503">
        <v>0</v>
      </c>
      <c r="L32" s="504">
        <v>0</v>
      </c>
      <c r="M32" s="504">
        <v>0</v>
      </c>
      <c r="N32" s="504">
        <v>0</v>
      </c>
      <c r="O32" s="504">
        <v>0</v>
      </c>
      <c r="P32" s="504">
        <v>0</v>
      </c>
      <c r="Q32" s="504">
        <v>0</v>
      </c>
      <c r="R32" s="504">
        <v>0</v>
      </c>
      <c r="S32" s="505">
        <v>0</v>
      </c>
      <c r="T32" s="503">
        <v>60.64154867711369</v>
      </c>
      <c r="U32" s="504">
        <v>0</v>
      </c>
      <c r="V32" s="504">
        <v>0</v>
      </c>
      <c r="W32" s="504">
        <v>0</v>
      </c>
      <c r="X32" s="504">
        <v>0</v>
      </c>
      <c r="Y32" s="504">
        <v>0</v>
      </c>
      <c r="Z32" s="504">
        <v>0</v>
      </c>
      <c r="AA32" s="504">
        <v>0</v>
      </c>
      <c r="AB32" s="505">
        <v>60.64154867711369</v>
      </c>
      <c r="AC32" s="503">
        <v>20.213849559037897</v>
      </c>
      <c r="AD32" s="504">
        <v>0</v>
      </c>
      <c r="AE32" s="504">
        <v>0</v>
      </c>
      <c r="AF32" s="504">
        <v>0</v>
      </c>
      <c r="AG32" s="504">
        <v>0</v>
      </c>
      <c r="AH32" s="504">
        <v>0</v>
      </c>
      <c r="AI32" s="504">
        <v>0</v>
      </c>
      <c r="AJ32" s="504">
        <v>0</v>
      </c>
      <c r="AK32" s="505">
        <v>20.213849559037897</v>
      </c>
      <c r="AL32" s="503">
        <v>0</v>
      </c>
      <c r="AM32" s="504">
        <v>0</v>
      </c>
      <c r="AN32" s="504">
        <v>0</v>
      </c>
      <c r="AO32" s="504">
        <v>0</v>
      </c>
      <c r="AP32" s="504">
        <v>0</v>
      </c>
      <c r="AQ32" s="504">
        <v>0</v>
      </c>
      <c r="AR32" s="504">
        <v>0</v>
      </c>
      <c r="AS32" s="504">
        <v>0</v>
      </c>
      <c r="AT32" s="505">
        <v>0</v>
      </c>
      <c r="AU32" s="503">
        <v>80.855398236151586</v>
      </c>
      <c r="AV32" s="504">
        <v>0</v>
      </c>
      <c r="AW32" s="504">
        <v>0</v>
      </c>
      <c r="AX32" s="504">
        <v>0</v>
      </c>
      <c r="AY32" s="504">
        <v>0</v>
      </c>
      <c r="AZ32" s="504">
        <v>0</v>
      </c>
      <c r="BA32" s="504">
        <v>0</v>
      </c>
      <c r="BB32" s="504">
        <v>0</v>
      </c>
      <c r="BC32" s="505">
        <v>80.855398236151586</v>
      </c>
    </row>
    <row r="33" spans="1:55" hidden="1">
      <c r="A33" s="306" t="s">
        <v>714</v>
      </c>
      <c r="B33" s="307" t="s">
        <v>356</v>
      </c>
      <c r="C33" s="308" t="s">
        <v>283</v>
      </c>
      <c r="D33" s="310">
        <v>0.98526125005623133</v>
      </c>
      <c r="E33" s="309">
        <v>1.4738749943768739E-2</v>
      </c>
      <c r="F33" s="311">
        <v>1</v>
      </c>
      <c r="I33" s="307" t="s">
        <v>356</v>
      </c>
      <c r="J33" s="308" t="s">
        <v>283</v>
      </c>
      <c r="K33" s="503">
        <v>0</v>
      </c>
      <c r="L33" s="504">
        <v>0</v>
      </c>
      <c r="M33" s="504">
        <v>0</v>
      </c>
      <c r="N33" s="504">
        <v>0</v>
      </c>
      <c r="O33" s="504">
        <v>0</v>
      </c>
      <c r="P33" s="504">
        <v>0</v>
      </c>
      <c r="Q33" s="504">
        <v>0</v>
      </c>
      <c r="R33" s="504">
        <v>0</v>
      </c>
      <c r="S33" s="505">
        <v>0</v>
      </c>
      <c r="T33" s="503">
        <v>0</v>
      </c>
      <c r="U33" s="504">
        <v>0</v>
      </c>
      <c r="V33" s="504">
        <v>0</v>
      </c>
      <c r="W33" s="504">
        <v>0</v>
      </c>
      <c r="X33" s="504">
        <v>0</v>
      </c>
      <c r="Y33" s="504">
        <v>0</v>
      </c>
      <c r="Z33" s="504">
        <v>0</v>
      </c>
      <c r="AA33" s="504">
        <v>0</v>
      </c>
      <c r="AB33" s="505">
        <v>0</v>
      </c>
      <c r="AC33" s="503">
        <v>0</v>
      </c>
      <c r="AD33" s="504">
        <v>0</v>
      </c>
      <c r="AE33" s="504">
        <v>0</v>
      </c>
      <c r="AF33" s="504">
        <v>0</v>
      </c>
      <c r="AG33" s="504">
        <v>0</v>
      </c>
      <c r="AH33" s="504">
        <v>0</v>
      </c>
      <c r="AI33" s="504">
        <v>0</v>
      </c>
      <c r="AJ33" s="504">
        <v>0</v>
      </c>
      <c r="AK33" s="505">
        <v>0</v>
      </c>
      <c r="AL33" s="503">
        <v>0</v>
      </c>
      <c r="AM33" s="504">
        <v>0</v>
      </c>
      <c r="AN33" s="504">
        <v>0</v>
      </c>
      <c r="AO33" s="504">
        <v>0</v>
      </c>
      <c r="AP33" s="504">
        <v>0</v>
      </c>
      <c r="AQ33" s="504">
        <v>0</v>
      </c>
      <c r="AR33" s="504">
        <v>0</v>
      </c>
      <c r="AS33" s="504">
        <v>0</v>
      </c>
      <c r="AT33" s="505">
        <v>0</v>
      </c>
      <c r="AU33" s="503">
        <v>0</v>
      </c>
      <c r="AV33" s="504">
        <v>0</v>
      </c>
      <c r="AW33" s="504">
        <v>0</v>
      </c>
      <c r="AX33" s="504">
        <v>0</v>
      </c>
      <c r="AY33" s="504">
        <v>0</v>
      </c>
      <c r="AZ33" s="504">
        <v>0</v>
      </c>
      <c r="BA33" s="504">
        <v>0</v>
      </c>
      <c r="BB33" s="504">
        <v>0</v>
      </c>
      <c r="BC33" s="505">
        <v>0</v>
      </c>
    </row>
    <row r="34" spans="1:55" hidden="1"/>
  </sheetData>
  <mergeCells count="7">
    <mergeCell ref="A1:H1"/>
    <mergeCell ref="AU15:BC15"/>
    <mergeCell ref="D15:F15"/>
    <mergeCell ref="K15:S15"/>
    <mergeCell ref="T15:AB15"/>
    <mergeCell ref="AC15:AK15"/>
    <mergeCell ref="AL15:AT1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DD0DB-5976-4B16-A2D1-5C67F7144236}">
  <sheetPr codeName="Sheet23"/>
  <dimension ref="B2:Y50"/>
  <sheetViews>
    <sheetView topLeftCell="A24" zoomScale="85" zoomScaleNormal="85" workbookViewId="0">
      <selection activeCell="I56" sqref="I56"/>
    </sheetView>
  </sheetViews>
  <sheetFormatPr defaultRowHeight="14.4"/>
  <cols>
    <col min="3" max="3" width="14.77734375" customWidth="1"/>
    <col min="4" max="4" width="12.77734375" customWidth="1"/>
    <col min="5" max="5" width="13.21875" customWidth="1"/>
    <col min="6" max="6" width="12.77734375" customWidth="1"/>
  </cols>
  <sheetData>
    <row r="2" spans="2:23" ht="18">
      <c r="B2" s="25"/>
      <c r="C2" s="25"/>
      <c r="D2" s="25"/>
      <c r="E2" s="25"/>
      <c r="F2" s="25"/>
      <c r="G2" s="25"/>
      <c r="H2" s="26" t="s">
        <v>1091</v>
      </c>
      <c r="I2" s="27"/>
      <c r="J2" s="27"/>
      <c r="K2" s="27"/>
      <c r="L2" s="27"/>
      <c r="M2" s="27"/>
      <c r="N2" s="27"/>
      <c r="O2" s="27"/>
      <c r="P2" s="27"/>
      <c r="Q2" s="27"/>
      <c r="R2" s="27"/>
      <c r="S2" s="27"/>
      <c r="T2" s="27"/>
      <c r="U2" s="27"/>
      <c r="V2" s="27"/>
      <c r="W2" s="27"/>
    </row>
    <row r="3" spans="2:23">
      <c r="B3" s="25"/>
      <c r="C3" s="25"/>
      <c r="D3" s="25"/>
      <c r="E3" s="25"/>
      <c r="F3" s="25"/>
      <c r="G3" s="25"/>
      <c r="H3" s="25"/>
      <c r="I3" s="25"/>
      <c r="J3" s="25"/>
      <c r="K3" s="28" t="s">
        <v>1092</v>
      </c>
      <c r="L3" s="25"/>
      <c r="M3" s="25"/>
      <c r="N3" s="25"/>
      <c r="O3" s="25"/>
      <c r="P3" s="25"/>
      <c r="Q3" s="25"/>
      <c r="R3" s="25"/>
      <c r="S3" s="25"/>
      <c r="T3" s="25"/>
      <c r="U3" s="25"/>
      <c r="V3" s="25"/>
      <c r="W3" s="25"/>
    </row>
    <row r="4" spans="2:23" ht="15.6">
      <c r="B4" s="25"/>
      <c r="C4" s="893" t="s">
        <v>1093</v>
      </c>
      <c r="D4" s="894"/>
      <c r="E4" s="894"/>
      <c r="F4" s="894"/>
      <c r="G4" s="894"/>
      <c r="H4" s="894"/>
      <c r="I4" s="894"/>
      <c r="J4" s="894"/>
      <c r="K4" s="894"/>
      <c r="L4" s="894"/>
      <c r="M4" s="894"/>
      <c r="N4" s="894"/>
      <c r="O4" s="894"/>
      <c r="P4" s="894"/>
      <c r="Q4" s="894"/>
      <c r="R4" s="894"/>
      <c r="S4" s="894"/>
      <c r="T4" s="894"/>
      <c r="U4" s="894"/>
      <c r="V4" s="894"/>
      <c r="W4" s="895"/>
    </row>
    <row r="5" spans="2:23">
      <c r="B5" s="25"/>
      <c r="C5" s="29">
        <v>0</v>
      </c>
      <c r="D5" s="29">
        <v>1</v>
      </c>
      <c r="E5" s="29">
        <v>2</v>
      </c>
      <c r="F5" s="29">
        <v>3</v>
      </c>
      <c r="G5" s="29">
        <v>4</v>
      </c>
      <c r="H5" s="29">
        <v>5</v>
      </c>
      <c r="I5" s="29">
        <v>6</v>
      </c>
      <c r="J5" s="29">
        <v>7</v>
      </c>
      <c r="K5" s="29">
        <v>8</v>
      </c>
      <c r="L5" s="29">
        <v>9</v>
      </c>
      <c r="M5" s="29">
        <v>10</v>
      </c>
      <c r="N5" s="29">
        <v>11</v>
      </c>
      <c r="O5" s="29">
        <v>12</v>
      </c>
      <c r="P5" s="29">
        <v>13</v>
      </c>
      <c r="Q5" s="29">
        <v>14</v>
      </c>
      <c r="R5" s="29">
        <v>15</v>
      </c>
      <c r="S5" s="29">
        <v>16</v>
      </c>
      <c r="T5" s="29">
        <v>17</v>
      </c>
      <c r="U5" s="29">
        <v>18</v>
      </c>
      <c r="V5" s="29">
        <v>19</v>
      </c>
      <c r="W5" s="29">
        <v>20</v>
      </c>
    </row>
    <row r="6" spans="2:23">
      <c r="B6" s="30">
        <v>1</v>
      </c>
      <c r="C6" s="31">
        <v>0.17899006944895177</v>
      </c>
      <c r="D6" s="32">
        <v>0</v>
      </c>
      <c r="E6" s="32">
        <v>0.13511428796260186</v>
      </c>
      <c r="F6" s="32">
        <v>0</v>
      </c>
      <c r="G6" s="32">
        <v>0</v>
      </c>
      <c r="H6" s="32">
        <v>0</v>
      </c>
      <c r="I6" s="32">
        <v>0</v>
      </c>
      <c r="J6" s="32">
        <v>0</v>
      </c>
      <c r="K6" s="32">
        <v>0</v>
      </c>
      <c r="L6" s="32">
        <v>0</v>
      </c>
      <c r="M6" s="32">
        <v>0</v>
      </c>
      <c r="N6" s="32">
        <v>0</v>
      </c>
      <c r="O6" s="32">
        <v>0</v>
      </c>
      <c r="P6" s="32">
        <v>0</v>
      </c>
      <c r="Q6" s="32">
        <v>0</v>
      </c>
      <c r="R6" s="32">
        <v>0</v>
      </c>
      <c r="S6" s="32">
        <v>0</v>
      </c>
      <c r="T6" s="32">
        <v>0</v>
      </c>
      <c r="U6" s="32">
        <v>0</v>
      </c>
      <c r="V6" s="32">
        <v>0</v>
      </c>
      <c r="W6" s="33">
        <v>0</v>
      </c>
    </row>
    <row r="7" spans="2:23">
      <c r="B7" s="34">
        <v>2</v>
      </c>
      <c r="C7" s="35">
        <v>0</v>
      </c>
      <c r="D7" s="36">
        <v>0</v>
      </c>
      <c r="E7" s="36">
        <v>0.80198042062536046</v>
      </c>
      <c r="F7" s="36">
        <v>0</v>
      </c>
      <c r="G7" s="36">
        <v>0</v>
      </c>
      <c r="H7" s="36">
        <v>0</v>
      </c>
      <c r="I7" s="36">
        <v>0</v>
      </c>
      <c r="J7" s="36">
        <v>0</v>
      </c>
      <c r="K7" s="36">
        <v>0</v>
      </c>
      <c r="L7" s="36">
        <v>0</v>
      </c>
      <c r="M7" s="36">
        <v>0</v>
      </c>
      <c r="N7" s="36">
        <v>0</v>
      </c>
      <c r="O7" s="36">
        <v>0</v>
      </c>
      <c r="P7" s="36">
        <v>0</v>
      </c>
      <c r="Q7" s="36">
        <v>0</v>
      </c>
      <c r="R7" s="36">
        <v>1.9389534529224541E-3</v>
      </c>
      <c r="S7" s="36">
        <v>0</v>
      </c>
      <c r="T7" s="36">
        <v>0</v>
      </c>
      <c r="U7" s="36">
        <v>0</v>
      </c>
      <c r="V7" s="36">
        <v>0</v>
      </c>
      <c r="W7" s="37">
        <v>0</v>
      </c>
    </row>
    <row r="8" spans="2:23">
      <c r="B8" s="34">
        <v>3</v>
      </c>
      <c r="C8" s="35">
        <v>0</v>
      </c>
      <c r="D8" s="36">
        <v>0.52433662545249371</v>
      </c>
      <c r="E8" s="36">
        <v>6.2849948245491907E-2</v>
      </c>
      <c r="F8" s="36">
        <v>0</v>
      </c>
      <c r="G8" s="36">
        <v>3.6382221192680336E-2</v>
      </c>
      <c r="H8" s="36">
        <v>0</v>
      </c>
      <c r="I8" s="36">
        <v>0.52262253327251829</v>
      </c>
      <c r="J8" s="36">
        <v>0</v>
      </c>
      <c r="K8" s="36">
        <v>0</v>
      </c>
      <c r="L8" s="36">
        <v>0</v>
      </c>
      <c r="M8" s="36">
        <v>0</v>
      </c>
      <c r="N8" s="36">
        <v>0</v>
      </c>
      <c r="O8" s="36">
        <v>0</v>
      </c>
      <c r="P8" s="36">
        <v>0</v>
      </c>
      <c r="Q8" s="36">
        <v>0</v>
      </c>
      <c r="R8" s="36">
        <v>0</v>
      </c>
      <c r="S8" s="36">
        <v>0</v>
      </c>
      <c r="T8" s="36">
        <v>0</v>
      </c>
      <c r="U8" s="36">
        <v>0</v>
      </c>
      <c r="V8" s="36">
        <v>0</v>
      </c>
      <c r="W8" s="37">
        <v>0</v>
      </c>
    </row>
    <row r="9" spans="2:23">
      <c r="B9" s="34">
        <v>4</v>
      </c>
      <c r="C9" s="35">
        <v>0</v>
      </c>
      <c r="D9" s="36">
        <v>0.30388079802974316</v>
      </c>
      <c r="E9" s="36">
        <v>0</v>
      </c>
      <c r="F9" s="36">
        <v>0</v>
      </c>
      <c r="G9" s="36">
        <v>0</v>
      </c>
      <c r="H9" s="36">
        <v>0</v>
      </c>
      <c r="I9" s="36">
        <v>0.15390859110237032</v>
      </c>
      <c r="J9" s="36">
        <v>0</v>
      </c>
      <c r="K9" s="36">
        <v>0</v>
      </c>
      <c r="L9" s="36">
        <v>0</v>
      </c>
      <c r="M9" s="36">
        <v>0</v>
      </c>
      <c r="N9" s="36">
        <v>0</v>
      </c>
      <c r="O9" s="36">
        <v>0</v>
      </c>
      <c r="P9" s="36">
        <v>0</v>
      </c>
      <c r="Q9" s="36">
        <v>0</v>
      </c>
      <c r="R9" s="36">
        <v>0</v>
      </c>
      <c r="S9" s="36">
        <v>0</v>
      </c>
      <c r="T9" s="36">
        <v>0</v>
      </c>
      <c r="U9" s="36">
        <v>0</v>
      </c>
      <c r="V9" s="36">
        <v>0</v>
      </c>
      <c r="W9" s="37">
        <v>0</v>
      </c>
    </row>
    <row r="10" spans="2:23">
      <c r="B10" s="34">
        <v>5</v>
      </c>
      <c r="C10" s="35">
        <v>0</v>
      </c>
      <c r="D10" s="36">
        <v>0</v>
      </c>
      <c r="E10" s="36">
        <v>0</v>
      </c>
      <c r="F10" s="36">
        <v>0</v>
      </c>
      <c r="G10" s="36">
        <v>0</v>
      </c>
      <c r="H10" s="36">
        <v>0</v>
      </c>
      <c r="I10" s="36">
        <v>0.32334871691752864</v>
      </c>
      <c r="J10" s="36">
        <v>0</v>
      </c>
      <c r="K10" s="36">
        <v>1.8289993011934367E-3</v>
      </c>
      <c r="L10" s="36">
        <v>0</v>
      </c>
      <c r="M10" s="36">
        <v>0</v>
      </c>
      <c r="N10" s="36">
        <v>0</v>
      </c>
      <c r="O10" s="36">
        <v>0</v>
      </c>
      <c r="P10" s="36">
        <v>0</v>
      </c>
      <c r="Q10" s="36">
        <v>0</v>
      </c>
      <c r="R10" s="36">
        <v>0</v>
      </c>
      <c r="S10" s="36">
        <v>0</v>
      </c>
      <c r="T10" s="36">
        <v>0</v>
      </c>
      <c r="U10" s="36">
        <v>0</v>
      </c>
      <c r="V10" s="36">
        <v>0</v>
      </c>
      <c r="W10" s="37">
        <v>0</v>
      </c>
    </row>
    <row r="11" spans="2:23">
      <c r="B11" s="34">
        <v>6</v>
      </c>
      <c r="C11" s="35">
        <v>0</v>
      </c>
      <c r="D11" s="36">
        <v>0</v>
      </c>
      <c r="E11" s="36">
        <v>0</v>
      </c>
      <c r="F11" s="36">
        <v>0</v>
      </c>
      <c r="G11" s="36">
        <v>0</v>
      </c>
      <c r="H11" s="36">
        <v>0</v>
      </c>
      <c r="I11" s="36">
        <v>1.2015870758275012E-4</v>
      </c>
      <c r="J11" s="36">
        <v>0.18889701400429948</v>
      </c>
      <c r="K11" s="36">
        <v>0.6118832251289279</v>
      </c>
      <c r="L11" s="36">
        <v>0</v>
      </c>
      <c r="M11" s="36">
        <v>0</v>
      </c>
      <c r="N11" s="36">
        <v>0</v>
      </c>
      <c r="O11" s="36">
        <v>6.5955188612875512E-2</v>
      </c>
      <c r="P11" s="36">
        <v>0</v>
      </c>
      <c r="Q11" s="36">
        <v>0</v>
      </c>
      <c r="R11" s="36">
        <v>0</v>
      </c>
      <c r="S11" s="36">
        <v>0.17179501618810883</v>
      </c>
      <c r="T11" s="36">
        <v>0</v>
      </c>
      <c r="U11" s="36">
        <v>0</v>
      </c>
      <c r="V11" s="36">
        <v>0</v>
      </c>
      <c r="W11" s="37">
        <v>0</v>
      </c>
    </row>
    <row r="12" spans="2:23">
      <c r="B12" s="34">
        <v>7</v>
      </c>
      <c r="C12" s="35">
        <v>0</v>
      </c>
      <c r="D12" s="36">
        <v>0</v>
      </c>
      <c r="E12" s="36">
        <v>0</v>
      </c>
      <c r="F12" s="36">
        <v>0</v>
      </c>
      <c r="G12" s="36">
        <v>0</v>
      </c>
      <c r="H12" s="36">
        <v>0</v>
      </c>
      <c r="I12" s="36">
        <v>0</v>
      </c>
      <c r="J12" s="36">
        <v>0</v>
      </c>
      <c r="K12" s="36">
        <v>0</v>
      </c>
      <c r="L12" s="36">
        <v>0</v>
      </c>
      <c r="M12" s="36">
        <v>0</v>
      </c>
      <c r="N12" s="36">
        <v>0</v>
      </c>
      <c r="O12" s="36">
        <v>0.62807745410608129</v>
      </c>
      <c r="P12" s="36">
        <v>0</v>
      </c>
      <c r="Q12" s="36">
        <v>0</v>
      </c>
      <c r="R12" s="36">
        <v>0</v>
      </c>
      <c r="S12" s="36">
        <v>0</v>
      </c>
      <c r="T12" s="36">
        <v>0</v>
      </c>
      <c r="U12" s="36">
        <v>0</v>
      </c>
      <c r="V12" s="36">
        <v>0</v>
      </c>
      <c r="W12" s="37">
        <v>0</v>
      </c>
    </row>
    <row r="13" spans="2:23">
      <c r="B13" s="34">
        <v>8</v>
      </c>
      <c r="C13" s="35">
        <v>0</v>
      </c>
      <c r="D13" s="36">
        <v>0</v>
      </c>
      <c r="E13" s="36">
        <v>0</v>
      </c>
      <c r="F13" s="36">
        <v>0</v>
      </c>
      <c r="G13" s="36">
        <v>0</v>
      </c>
      <c r="H13" s="36">
        <v>0</v>
      </c>
      <c r="I13" s="36">
        <v>0</v>
      </c>
      <c r="J13" s="36">
        <v>0.43986650235409958</v>
      </c>
      <c r="K13" s="36">
        <v>0</v>
      </c>
      <c r="L13" s="36">
        <v>0</v>
      </c>
      <c r="M13" s="36">
        <v>0</v>
      </c>
      <c r="N13" s="36">
        <v>0</v>
      </c>
      <c r="O13" s="36">
        <v>1.9380707210528328E-2</v>
      </c>
      <c r="P13" s="36">
        <v>0</v>
      </c>
      <c r="Q13" s="36">
        <v>0</v>
      </c>
      <c r="R13" s="36">
        <v>0</v>
      </c>
      <c r="S13" s="36">
        <v>0.27901486514139412</v>
      </c>
      <c r="T13" s="36">
        <v>0</v>
      </c>
      <c r="U13" s="36">
        <v>0</v>
      </c>
      <c r="V13" s="36">
        <v>0</v>
      </c>
      <c r="W13" s="37">
        <v>0</v>
      </c>
    </row>
    <row r="14" spans="2:23">
      <c r="B14" s="34">
        <v>9</v>
      </c>
      <c r="C14" s="35">
        <v>0</v>
      </c>
      <c r="D14" s="36">
        <v>0</v>
      </c>
      <c r="E14" s="36">
        <v>0</v>
      </c>
      <c r="F14" s="36">
        <v>0</v>
      </c>
      <c r="G14" s="36">
        <v>0</v>
      </c>
      <c r="H14" s="36">
        <v>0</v>
      </c>
      <c r="I14" s="36">
        <v>0</v>
      </c>
      <c r="J14" s="36">
        <v>0.32290734731979331</v>
      </c>
      <c r="K14" s="36">
        <v>0.37218281404327919</v>
      </c>
      <c r="L14" s="36">
        <v>0</v>
      </c>
      <c r="M14" s="36">
        <v>0</v>
      </c>
      <c r="N14" s="36">
        <v>0</v>
      </c>
      <c r="O14" s="36">
        <v>0</v>
      </c>
      <c r="P14" s="36">
        <v>0</v>
      </c>
      <c r="Q14" s="36">
        <v>0</v>
      </c>
      <c r="R14" s="36">
        <v>0</v>
      </c>
      <c r="S14" s="36">
        <v>0.54919011867049705</v>
      </c>
      <c r="T14" s="36">
        <v>0.9935409013613431</v>
      </c>
      <c r="U14" s="36">
        <v>1</v>
      </c>
      <c r="V14" s="36">
        <v>0</v>
      </c>
      <c r="W14" s="37">
        <v>0</v>
      </c>
    </row>
    <row r="15" spans="2:23">
      <c r="B15" s="34">
        <v>10</v>
      </c>
      <c r="C15" s="35">
        <v>0</v>
      </c>
      <c r="D15" s="36">
        <v>0</v>
      </c>
      <c r="E15" s="36">
        <v>0</v>
      </c>
      <c r="F15" s="36">
        <v>0</v>
      </c>
      <c r="G15" s="36">
        <v>0</v>
      </c>
      <c r="H15" s="36">
        <v>0</v>
      </c>
      <c r="I15" s="36">
        <v>0</v>
      </c>
      <c r="J15" s="36">
        <v>0</v>
      </c>
      <c r="K15" s="36">
        <v>0</v>
      </c>
      <c r="L15" s="36">
        <v>0</v>
      </c>
      <c r="M15" s="36">
        <v>0.71185658771154592</v>
      </c>
      <c r="N15" s="36">
        <v>0.86109418831996831</v>
      </c>
      <c r="O15" s="36">
        <v>0.27880083521851912</v>
      </c>
      <c r="P15" s="36">
        <v>0</v>
      </c>
      <c r="Q15" s="36">
        <v>0</v>
      </c>
      <c r="R15" s="36">
        <v>0</v>
      </c>
      <c r="S15" s="36">
        <v>0</v>
      </c>
      <c r="T15" s="36">
        <v>0</v>
      </c>
      <c r="U15" s="36">
        <v>0</v>
      </c>
      <c r="V15" s="36">
        <v>0</v>
      </c>
      <c r="W15" s="37">
        <v>0</v>
      </c>
    </row>
    <row r="16" spans="2:23">
      <c r="B16" s="34">
        <v>11</v>
      </c>
      <c r="C16" s="35">
        <v>4.2188615564353864E-3</v>
      </c>
      <c r="D16" s="36">
        <v>0</v>
      </c>
      <c r="E16" s="36">
        <v>0</v>
      </c>
      <c r="F16" s="36">
        <v>0.8477232553525369</v>
      </c>
      <c r="G16" s="36">
        <v>0.22071573249865109</v>
      </c>
      <c r="H16" s="36">
        <v>0</v>
      </c>
      <c r="I16" s="36">
        <v>0</v>
      </c>
      <c r="J16" s="36">
        <v>0</v>
      </c>
      <c r="K16" s="36">
        <v>0</v>
      </c>
      <c r="L16" s="36">
        <v>0</v>
      </c>
      <c r="M16" s="36">
        <v>0</v>
      </c>
      <c r="N16" s="36">
        <v>0</v>
      </c>
      <c r="O16" s="36">
        <v>0</v>
      </c>
      <c r="P16" s="36">
        <v>4.2090228290987712E-3</v>
      </c>
      <c r="Q16" s="36">
        <v>0</v>
      </c>
      <c r="R16" s="36">
        <v>0.44545524757224331</v>
      </c>
      <c r="S16" s="36">
        <v>0</v>
      </c>
      <c r="T16" s="36">
        <v>0</v>
      </c>
      <c r="U16" s="36">
        <v>0</v>
      </c>
      <c r="V16" s="36">
        <v>0</v>
      </c>
      <c r="W16" s="37">
        <v>0</v>
      </c>
    </row>
    <row r="17" spans="2:25">
      <c r="B17" s="34">
        <v>12</v>
      </c>
      <c r="C17" s="35">
        <v>0</v>
      </c>
      <c r="D17" s="36">
        <v>0.17178257651776313</v>
      </c>
      <c r="E17" s="36">
        <v>0</v>
      </c>
      <c r="F17" s="36">
        <v>0</v>
      </c>
      <c r="G17" s="36">
        <v>0.72605585327521449</v>
      </c>
      <c r="H17" s="36">
        <v>4.5546782894501807E-2</v>
      </c>
      <c r="I17" s="36">
        <v>0</v>
      </c>
      <c r="J17" s="36">
        <v>0</v>
      </c>
      <c r="K17" s="36">
        <v>0</v>
      </c>
      <c r="L17" s="36">
        <v>0</v>
      </c>
      <c r="M17" s="36">
        <v>0</v>
      </c>
      <c r="N17" s="36">
        <v>0</v>
      </c>
      <c r="O17" s="36">
        <v>0</v>
      </c>
      <c r="P17" s="36">
        <v>0.99579097717090126</v>
      </c>
      <c r="Q17" s="36">
        <v>1</v>
      </c>
      <c r="R17" s="36">
        <v>0.52652748476681743</v>
      </c>
      <c r="S17" s="36">
        <v>0</v>
      </c>
      <c r="T17" s="36">
        <v>0</v>
      </c>
      <c r="U17" s="36">
        <v>0</v>
      </c>
      <c r="V17" s="36">
        <v>0</v>
      </c>
      <c r="W17" s="37">
        <v>0</v>
      </c>
    </row>
    <row r="18" spans="2:25">
      <c r="B18" s="34">
        <v>13</v>
      </c>
      <c r="C18" s="35">
        <v>0</v>
      </c>
      <c r="D18" s="36">
        <v>0</v>
      </c>
      <c r="E18" s="36">
        <v>0</v>
      </c>
      <c r="F18" s="36">
        <v>0</v>
      </c>
      <c r="G18" s="36">
        <v>0</v>
      </c>
      <c r="H18" s="36">
        <v>0.94805830445500339</v>
      </c>
      <c r="I18" s="36">
        <v>0</v>
      </c>
      <c r="J18" s="36">
        <v>0</v>
      </c>
      <c r="K18" s="36">
        <v>0</v>
      </c>
      <c r="L18" s="36">
        <v>0.78487009632062588</v>
      </c>
      <c r="M18" s="36">
        <v>0</v>
      </c>
      <c r="N18" s="36">
        <v>0</v>
      </c>
      <c r="O18" s="36">
        <v>0</v>
      </c>
      <c r="P18" s="36">
        <v>0</v>
      </c>
      <c r="Q18" s="36">
        <v>0</v>
      </c>
      <c r="R18" s="36">
        <v>0</v>
      </c>
      <c r="S18" s="36">
        <v>0</v>
      </c>
      <c r="T18" s="36">
        <v>0</v>
      </c>
      <c r="U18" s="36">
        <v>0</v>
      </c>
      <c r="V18" s="36">
        <v>0</v>
      </c>
      <c r="W18" s="37">
        <v>0</v>
      </c>
    </row>
    <row r="19" spans="2:25">
      <c r="B19" s="34">
        <v>14</v>
      </c>
      <c r="C19" s="35">
        <v>1.298111248133965E-5</v>
      </c>
      <c r="D19" s="36">
        <v>0</v>
      </c>
      <c r="E19" s="36">
        <v>0</v>
      </c>
      <c r="F19" s="36">
        <v>0</v>
      </c>
      <c r="G19" s="36">
        <v>0</v>
      </c>
      <c r="H19" s="36">
        <v>0</v>
      </c>
      <c r="I19" s="36">
        <v>0</v>
      </c>
      <c r="J19" s="36">
        <v>4.5059540414213541E-2</v>
      </c>
      <c r="K19" s="36">
        <v>0</v>
      </c>
      <c r="L19" s="36">
        <v>0.1210189319850906</v>
      </c>
      <c r="M19" s="36">
        <v>0.24169250378442073</v>
      </c>
      <c r="N19" s="36">
        <v>2.5299853868044056E-6</v>
      </c>
      <c r="O19" s="36">
        <v>6.622563637424638E-3</v>
      </c>
      <c r="P19" s="36">
        <v>0</v>
      </c>
      <c r="Q19" s="36">
        <v>0</v>
      </c>
      <c r="R19" s="36">
        <v>0</v>
      </c>
      <c r="S19" s="36">
        <v>0</v>
      </c>
      <c r="T19" s="36">
        <v>0</v>
      </c>
      <c r="U19" s="36">
        <v>0</v>
      </c>
      <c r="V19" s="36">
        <v>2.4220124862473494E-4</v>
      </c>
      <c r="W19" s="37">
        <v>0</v>
      </c>
    </row>
    <row r="20" spans="2:25">
      <c r="B20" s="34">
        <v>15</v>
      </c>
      <c r="C20" s="35">
        <v>3.1823197248004156E-2</v>
      </c>
      <c r="D20" s="36">
        <v>0</v>
      </c>
      <c r="E20" s="36">
        <v>0</v>
      </c>
      <c r="F20" s="36">
        <v>0</v>
      </c>
      <c r="G20" s="36">
        <v>0</v>
      </c>
      <c r="H20" s="36">
        <v>0</v>
      </c>
      <c r="I20" s="36">
        <v>0</v>
      </c>
      <c r="J20" s="36">
        <v>0</v>
      </c>
      <c r="K20" s="36">
        <v>0</v>
      </c>
      <c r="L20" s="36">
        <v>0</v>
      </c>
      <c r="M20" s="36">
        <v>9.5716434351359521E-4</v>
      </c>
      <c r="N20" s="36">
        <v>0.13334844577937718</v>
      </c>
      <c r="O20" s="36">
        <v>1.1632512145711212E-3</v>
      </c>
      <c r="P20" s="36">
        <v>0</v>
      </c>
      <c r="Q20" s="36">
        <v>0</v>
      </c>
      <c r="R20" s="36">
        <v>0</v>
      </c>
      <c r="S20" s="36">
        <v>0</v>
      </c>
      <c r="T20" s="36">
        <v>0</v>
      </c>
      <c r="U20" s="36">
        <v>0</v>
      </c>
      <c r="V20" s="36">
        <v>0.99975779875137527</v>
      </c>
      <c r="W20" s="37">
        <v>0</v>
      </c>
    </row>
    <row r="21" spans="2:25">
      <c r="B21" s="38">
        <v>16</v>
      </c>
      <c r="C21" s="39">
        <v>0.78495489063412738</v>
      </c>
      <c r="D21" s="40">
        <v>0</v>
      </c>
      <c r="E21" s="40">
        <v>5.5343166545747613E-5</v>
      </c>
      <c r="F21" s="40">
        <v>0.15227674464746307</v>
      </c>
      <c r="G21" s="40">
        <v>1.6846193033454148E-2</v>
      </c>
      <c r="H21" s="40">
        <v>6.3949126504948021E-3</v>
      </c>
      <c r="I21" s="40">
        <v>0</v>
      </c>
      <c r="J21" s="40">
        <v>3.269595907594073E-3</v>
      </c>
      <c r="K21" s="40">
        <v>1.4104961526599544E-2</v>
      </c>
      <c r="L21" s="40">
        <v>9.4110971694283493E-2</v>
      </c>
      <c r="M21" s="40">
        <v>4.5493744160519718E-2</v>
      </c>
      <c r="N21" s="40">
        <v>5.5548359152677532E-3</v>
      </c>
      <c r="O21" s="40">
        <v>0</v>
      </c>
      <c r="P21" s="40">
        <v>0</v>
      </c>
      <c r="Q21" s="40">
        <v>0</v>
      </c>
      <c r="R21" s="40">
        <v>2.6078314208016779E-2</v>
      </c>
      <c r="S21" s="40">
        <v>0</v>
      </c>
      <c r="T21" s="40">
        <v>6.4590986386568834E-3</v>
      </c>
      <c r="U21" s="40">
        <v>0</v>
      </c>
      <c r="V21" s="40">
        <v>0</v>
      </c>
      <c r="W21" s="41">
        <v>1</v>
      </c>
    </row>
    <row r="22" spans="2:25">
      <c r="B22" s="42" t="s">
        <v>82</v>
      </c>
      <c r="C22" s="43">
        <v>1</v>
      </c>
      <c r="D22" s="43">
        <v>1</v>
      </c>
      <c r="E22" s="43">
        <v>1</v>
      </c>
      <c r="F22" s="43">
        <v>1</v>
      </c>
      <c r="G22" s="43">
        <v>1</v>
      </c>
      <c r="H22" s="43">
        <v>1</v>
      </c>
      <c r="I22" s="43">
        <v>1</v>
      </c>
      <c r="J22" s="43">
        <v>1</v>
      </c>
      <c r="K22" s="43">
        <v>1</v>
      </c>
      <c r="L22" s="43">
        <v>1</v>
      </c>
      <c r="M22" s="43">
        <v>1</v>
      </c>
      <c r="N22" s="43">
        <v>1</v>
      </c>
      <c r="O22" s="43">
        <v>1</v>
      </c>
      <c r="P22" s="43">
        <v>1</v>
      </c>
      <c r="Q22" s="43">
        <v>1</v>
      </c>
      <c r="R22" s="43">
        <v>1</v>
      </c>
      <c r="S22" s="43">
        <v>1</v>
      </c>
      <c r="T22" s="43">
        <v>1</v>
      </c>
      <c r="U22" s="43">
        <v>1</v>
      </c>
      <c r="V22" s="43">
        <v>1</v>
      </c>
      <c r="W22" s="43">
        <v>1</v>
      </c>
    </row>
    <row r="25" spans="2:25">
      <c r="B25" t="s">
        <v>1094</v>
      </c>
      <c r="C25" s="44" t="s">
        <v>1095</v>
      </c>
    </row>
    <row r="26" spans="2:25">
      <c r="O26" t="s">
        <v>1096</v>
      </c>
    </row>
    <row r="27" spans="2:25">
      <c r="M27" t="s">
        <v>1097</v>
      </c>
    </row>
    <row r="28" spans="2:25" ht="33" customHeight="1">
      <c r="B28" s="896" t="s">
        <v>1098</v>
      </c>
      <c r="C28" s="896"/>
      <c r="D28" s="896"/>
      <c r="E28" s="896"/>
      <c r="F28" s="896"/>
      <c r="H28" s="52"/>
      <c r="I28" s="897" t="s">
        <v>1099</v>
      </c>
      <c r="J28" s="897"/>
      <c r="K28" s="897"/>
      <c r="L28" s="897"/>
      <c r="M28" s="897"/>
      <c r="N28" s="897"/>
      <c r="O28" s="897"/>
      <c r="P28" s="897"/>
      <c r="Q28" s="897"/>
      <c r="R28" s="897"/>
      <c r="S28" s="897"/>
      <c r="T28" s="897"/>
      <c r="U28" s="897"/>
      <c r="V28" s="897"/>
      <c r="W28" s="897"/>
      <c r="X28" s="897"/>
    </row>
    <row r="29" spans="2:25">
      <c r="C29" t="s">
        <v>1027</v>
      </c>
      <c r="E29" s="7"/>
      <c r="F29" s="7" t="s">
        <v>1100</v>
      </c>
      <c r="H29" s="25" t="s">
        <v>1101</v>
      </c>
      <c r="I29" s="30">
        <v>1</v>
      </c>
      <c r="J29" s="34">
        <v>2</v>
      </c>
      <c r="K29" s="34">
        <v>3</v>
      </c>
      <c r="L29" s="34">
        <v>4</v>
      </c>
      <c r="M29" s="34">
        <v>5</v>
      </c>
      <c r="N29" s="34">
        <v>6</v>
      </c>
      <c r="O29" s="34">
        <v>7</v>
      </c>
      <c r="P29" s="34">
        <v>8</v>
      </c>
      <c r="Q29" s="80">
        <v>9</v>
      </c>
      <c r="R29" s="34">
        <v>10</v>
      </c>
      <c r="S29" s="34">
        <v>11</v>
      </c>
      <c r="T29" s="34">
        <v>12</v>
      </c>
      <c r="U29" s="34">
        <v>13</v>
      </c>
      <c r="V29" s="80">
        <v>14</v>
      </c>
      <c r="W29" s="34">
        <v>15</v>
      </c>
      <c r="X29" s="38">
        <v>16</v>
      </c>
      <c r="Y29" s="46"/>
    </row>
    <row r="30" spans="2:25">
      <c r="B30" t="s">
        <v>284</v>
      </c>
      <c r="C30" s="50">
        <v>119595.577569407</v>
      </c>
      <c r="E30" s="7" t="s">
        <v>314</v>
      </c>
      <c r="F30" s="51">
        <f>F45</f>
        <v>43153.105531319401</v>
      </c>
      <c r="G30" s="48">
        <f>F30/SUM($F$30:$F$50)</f>
        <v>4.5782422744358189E-2</v>
      </c>
      <c r="H30" s="29">
        <v>0</v>
      </c>
      <c r="I30" s="31">
        <v>0.17899006944895177</v>
      </c>
      <c r="J30" s="35">
        <v>0</v>
      </c>
      <c r="K30" s="35">
        <v>0</v>
      </c>
      <c r="L30" s="35">
        <v>0</v>
      </c>
      <c r="M30" s="35">
        <v>0</v>
      </c>
      <c r="N30" s="35">
        <v>0</v>
      </c>
      <c r="O30" s="35">
        <v>0</v>
      </c>
      <c r="P30" s="35">
        <v>0</v>
      </c>
      <c r="Q30" s="81">
        <v>0</v>
      </c>
      <c r="R30" s="35">
        <v>0</v>
      </c>
      <c r="S30" s="35">
        <v>4.2188615564353864E-3</v>
      </c>
      <c r="T30" s="35">
        <v>0</v>
      </c>
      <c r="U30" s="35">
        <v>0</v>
      </c>
      <c r="V30" s="81">
        <v>1.298111248133965E-5</v>
      </c>
      <c r="W30" s="35">
        <v>3.1823197248004156E-2</v>
      </c>
      <c r="X30" s="39">
        <v>0.78495489063412738</v>
      </c>
      <c r="Y30" s="47">
        <f t="shared" ref="Y30:Y50" si="0">SUM(I30:X30)</f>
        <v>1</v>
      </c>
    </row>
    <row r="31" spans="2:25">
      <c r="B31" t="s">
        <v>285</v>
      </c>
      <c r="C31" s="50">
        <v>33616.997018630398</v>
      </c>
      <c r="E31" s="6" t="s">
        <v>284</v>
      </c>
      <c r="F31" s="51">
        <f t="shared" ref="F31:F41" si="1">C30</f>
        <v>119595.577569407</v>
      </c>
      <c r="G31" s="48">
        <f t="shared" ref="G31:G50" si="2">F31/SUM($F$30:$F$50)</f>
        <v>0.12688253193421709</v>
      </c>
      <c r="H31" s="29">
        <v>1</v>
      </c>
      <c r="I31" s="32">
        <v>0</v>
      </c>
      <c r="J31" s="36">
        <v>0</v>
      </c>
      <c r="K31" s="36">
        <v>0.52433662545249371</v>
      </c>
      <c r="L31" s="36">
        <v>0.30388079802974316</v>
      </c>
      <c r="M31" s="36">
        <v>0</v>
      </c>
      <c r="N31" s="36">
        <v>0</v>
      </c>
      <c r="O31" s="36">
        <v>0</v>
      </c>
      <c r="P31" s="36">
        <v>0</v>
      </c>
      <c r="Q31" s="82">
        <v>0</v>
      </c>
      <c r="R31" s="36">
        <v>0</v>
      </c>
      <c r="S31" s="36">
        <v>0</v>
      </c>
      <c r="T31" s="36">
        <v>0.17178257651776313</v>
      </c>
      <c r="U31" s="36">
        <v>0</v>
      </c>
      <c r="V31" s="82">
        <v>0</v>
      </c>
      <c r="W31" s="36">
        <v>0</v>
      </c>
      <c r="X31" s="40">
        <v>0</v>
      </c>
      <c r="Y31" s="47">
        <f t="shared" si="0"/>
        <v>1</v>
      </c>
    </row>
    <row r="32" spans="2:25">
      <c r="B32" t="s">
        <v>286</v>
      </c>
      <c r="C32" s="50">
        <v>9405.1639436092391</v>
      </c>
      <c r="E32" s="6" t="s">
        <v>285</v>
      </c>
      <c r="F32" s="51">
        <f t="shared" si="1"/>
        <v>33616.997018630398</v>
      </c>
      <c r="G32" s="48">
        <f t="shared" si="2"/>
        <v>3.5665279473009202E-2</v>
      </c>
      <c r="H32" s="29">
        <v>2</v>
      </c>
      <c r="I32" s="32">
        <v>0.13511428796260186</v>
      </c>
      <c r="J32" s="36">
        <v>0.80198042062536046</v>
      </c>
      <c r="K32" s="36">
        <v>6.2849948245491907E-2</v>
      </c>
      <c r="L32" s="36">
        <v>0</v>
      </c>
      <c r="M32" s="36">
        <v>0</v>
      </c>
      <c r="N32" s="36">
        <v>0</v>
      </c>
      <c r="O32" s="36">
        <v>0</v>
      </c>
      <c r="P32" s="36">
        <v>0</v>
      </c>
      <c r="Q32" s="82">
        <v>0</v>
      </c>
      <c r="R32" s="36">
        <v>0</v>
      </c>
      <c r="S32" s="36">
        <v>0</v>
      </c>
      <c r="T32" s="36">
        <v>0</v>
      </c>
      <c r="U32" s="36">
        <v>0</v>
      </c>
      <c r="V32" s="82">
        <v>0</v>
      </c>
      <c r="W32" s="36">
        <v>0</v>
      </c>
      <c r="X32" s="40">
        <v>5.5343166545747613E-5</v>
      </c>
      <c r="Y32" s="47">
        <f t="shared" si="0"/>
        <v>1</v>
      </c>
    </row>
    <row r="33" spans="2:25">
      <c r="B33" t="s">
        <v>287</v>
      </c>
      <c r="C33" s="50">
        <v>45237.817363033399</v>
      </c>
      <c r="E33" s="6" t="s">
        <v>286</v>
      </c>
      <c r="F33" s="51">
        <f t="shared" si="1"/>
        <v>9405.1639436092391</v>
      </c>
      <c r="G33" s="48">
        <f t="shared" si="2"/>
        <v>9.9782202542480127E-3</v>
      </c>
      <c r="H33" s="29">
        <v>3</v>
      </c>
      <c r="I33" s="32">
        <v>0</v>
      </c>
      <c r="J33" s="36">
        <v>0</v>
      </c>
      <c r="K33" s="36">
        <v>0</v>
      </c>
      <c r="L33" s="36">
        <v>0</v>
      </c>
      <c r="M33" s="36">
        <v>0</v>
      </c>
      <c r="N33" s="36">
        <v>0</v>
      </c>
      <c r="O33" s="36">
        <v>0</v>
      </c>
      <c r="P33" s="36">
        <v>0</v>
      </c>
      <c r="Q33" s="82">
        <v>0</v>
      </c>
      <c r="R33" s="36">
        <v>0</v>
      </c>
      <c r="S33" s="36">
        <v>0.8477232553525369</v>
      </c>
      <c r="T33" s="36">
        <v>0</v>
      </c>
      <c r="U33" s="36">
        <v>0</v>
      </c>
      <c r="V33" s="82">
        <v>0</v>
      </c>
      <c r="W33" s="36">
        <v>0</v>
      </c>
      <c r="X33" s="40">
        <v>0.15227674464746307</v>
      </c>
      <c r="Y33" s="47">
        <f t="shared" si="0"/>
        <v>1</v>
      </c>
    </row>
    <row r="34" spans="2:25">
      <c r="B34" t="s">
        <v>288</v>
      </c>
      <c r="C34" s="50">
        <v>43153.105531319401</v>
      </c>
      <c r="E34" s="6" t="s">
        <v>287</v>
      </c>
      <c r="F34" s="51">
        <f t="shared" si="1"/>
        <v>45237.817363033399</v>
      </c>
      <c r="G34" s="48">
        <f t="shared" si="2"/>
        <v>4.7994155995176611E-2</v>
      </c>
      <c r="H34" s="29">
        <v>4</v>
      </c>
      <c r="I34" s="32">
        <v>0</v>
      </c>
      <c r="J34" s="36">
        <v>0</v>
      </c>
      <c r="K34" s="36">
        <v>3.6382221192680336E-2</v>
      </c>
      <c r="L34" s="36">
        <v>0</v>
      </c>
      <c r="M34" s="36">
        <v>0</v>
      </c>
      <c r="N34" s="36">
        <v>0</v>
      </c>
      <c r="O34" s="36">
        <v>0</v>
      </c>
      <c r="P34" s="36">
        <v>0</v>
      </c>
      <c r="Q34" s="82">
        <v>0</v>
      </c>
      <c r="R34" s="36">
        <v>0</v>
      </c>
      <c r="S34" s="36">
        <v>0.22071573249865109</v>
      </c>
      <c r="T34" s="36">
        <v>0.72605585327521449</v>
      </c>
      <c r="U34" s="36">
        <v>0</v>
      </c>
      <c r="V34" s="82">
        <v>0</v>
      </c>
      <c r="W34" s="36">
        <v>0</v>
      </c>
      <c r="X34" s="40">
        <v>1.6846193033454148E-2</v>
      </c>
      <c r="Y34" s="47">
        <f t="shared" si="0"/>
        <v>1.0000000000000002</v>
      </c>
    </row>
    <row r="35" spans="2:25">
      <c r="B35" t="s">
        <v>289</v>
      </c>
      <c r="C35" s="50">
        <v>34954.8250034964</v>
      </c>
      <c r="E35" s="6" t="s">
        <v>288</v>
      </c>
      <c r="F35" s="51">
        <f t="shared" si="1"/>
        <v>43153.105531319401</v>
      </c>
      <c r="G35" s="48">
        <f t="shared" si="2"/>
        <v>4.5782422744358189E-2</v>
      </c>
      <c r="H35" s="29">
        <v>5</v>
      </c>
      <c r="I35" s="32">
        <v>0</v>
      </c>
      <c r="J35" s="36">
        <v>0</v>
      </c>
      <c r="K35" s="36">
        <v>0</v>
      </c>
      <c r="L35" s="36">
        <v>0</v>
      </c>
      <c r="M35" s="36">
        <v>0</v>
      </c>
      <c r="N35" s="36">
        <v>0</v>
      </c>
      <c r="O35" s="36">
        <v>0</v>
      </c>
      <c r="P35" s="36">
        <v>0</v>
      </c>
      <c r="Q35" s="82">
        <v>0</v>
      </c>
      <c r="R35" s="36">
        <v>0</v>
      </c>
      <c r="S35" s="36">
        <v>0</v>
      </c>
      <c r="T35" s="36">
        <v>4.5546782894501807E-2</v>
      </c>
      <c r="U35" s="36">
        <v>0.94805830445500339</v>
      </c>
      <c r="V35" s="82">
        <v>0</v>
      </c>
      <c r="W35" s="36">
        <v>0</v>
      </c>
      <c r="X35" s="40">
        <v>6.3949126504948021E-3</v>
      </c>
      <c r="Y35" s="47">
        <f t="shared" si="0"/>
        <v>1</v>
      </c>
    </row>
    <row r="36" spans="2:25">
      <c r="B36" t="s">
        <v>290</v>
      </c>
      <c r="C36" s="50">
        <v>168128.07741813399</v>
      </c>
      <c r="E36" s="6" t="s">
        <v>289</v>
      </c>
      <c r="F36" s="51">
        <f t="shared" si="1"/>
        <v>34954.8250034964</v>
      </c>
      <c r="G36" s="48">
        <f t="shared" si="2"/>
        <v>3.7084621270273718E-2</v>
      </c>
      <c r="H36" s="29">
        <v>6</v>
      </c>
      <c r="I36" s="32">
        <v>0</v>
      </c>
      <c r="J36" s="36">
        <v>0</v>
      </c>
      <c r="K36" s="36">
        <v>0.52262253327251829</v>
      </c>
      <c r="L36" s="36">
        <v>0.15390859110237032</v>
      </c>
      <c r="M36" s="36">
        <v>0.32334871691752864</v>
      </c>
      <c r="N36" s="36">
        <v>1.2015870758275012E-4</v>
      </c>
      <c r="O36" s="36">
        <v>0</v>
      </c>
      <c r="P36" s="36">
        <v>0</v>
      </c>
      <c r="Q36" s="82">
        <v>0</v>
      </c>
      <c r="R36" s="36">
        <v>0</v>
      </c>
      <c r="S36" s="36">
        <v>0</v>
      </c>
      <c r="T36" s="36">
        <v>0</v>
      </c>
      <c r="U36" s="36">
        <v>0</v>
      </c>
      <c r="V36" s="82">
        <v>0</v>
      </c>
      <c r="W36" s="36">
        <v>0</v>
      </c>
      <c r="X36" s="40">
        <v>0</v>
      </c>
      <c r="Y36" s="47">
        <f t="shared" si="0"/>
        <v>1</v>
      </c>
    </row>
    <row r="37" spans="2:25">
      <c r="B37" t="s">
        <v>291</v>
      </c>
      <c r="C37" s="50">
        <v>24229.8711410219</v>
      </c>
      <c r="E37" s="17" t="s">
        <v>290</v>
      </c>
      <c r="F37" s="51">
        <f t="shared" si="1"/>
        <v>168128.07741813399</v>
      </c>
      <c r="G37" s="48">
        <f t="shared" si="2"/>
        <v>0.17837211530388433</v>
      </c>
      <c r="H37" s="75">
        <v>7</v>
      </c>
      <c r="I37" s="76">
        <v>0</v>
      </c>
      <c r="J37" s="77">
        <v>0</v>
      </c>
      <c r="K37" s="77">
        <v>0</v>
      </c>
      <c r="L37" s="77">
        <v>0</v>
      </c>
      <c r="M37" s="77">
        <v>0</v>
      </c>
      <c r="N37" s="77">
        <v>0.18889701400429948</v>
      </c>
      <c r="O37" s="77">
        <v>0</v>
      </c>
      <c r="P37" s="77">
        <v>0.43986650235409958</v>
      </c>
      <c r="Q37" s="82">
        <v>0.32290734731979331</v>
      </c>
      <c r="R37" s="77">
        <v>0</v>
      </c>
      <c r="S37" s="77">
        <v>0</v>
      </c>
      <c r="T37" s="77">
        <v>0</v>
      </c>
      <c r="U37" s="77">
        <v>0</v>
      </c>
      <c r="V37" s="82">
        <v>4.5059540414213541E-2</v>
      </c>
      <c r="W37" s="77">
        <v>0</v>
      </c>
      <c r="X37" s="78">
        <v>3.269595907594073E-3</v>
      </c>
      <c r="Y37" s="79">
        <f t="shared" si="0"/>
        <v>1</v>
      </c>
    </row>
    <row r="38" spans="2:25">
      <c r="B38" t="s">
        <v>292</v>
      </c>
      <c r="C38" s="50">
        <v>11692.4715124552</v>
      </c>
      <c r="E38" s="17" t="s">
        <v>291</v>
      </c>
      <c r="F38" s="51">
        <f t="shared" si="1"/>
        <v>24229.8711410219</v>
      </c>
      <c r="G38" s="48">
        <f t="shared" si="2"/>
        <v>2.5706196343493436E-2</v>
      </c>
      <c r="H38" s="29">
        <v>8</v>
      </c>
      <c r="I38" s="32">
        <v>0</v>
      </c>
      <c r="J38" s="36">
        <v>0</v>
      </c>
      <c r="K38" s="36">
        <v>0</v>
      </c>
      <c r="L38" s="36">
        <v>0</v>
      </c>
      <c r="M38" s="36">
        <v>1.8289993011934367E-3</v>
      </c>
      <c r="N38" s="36">
        <v>0.6118832251289279</v>
      </c>
      <c r="O38" s="36">
        <v>0</v>
      </c>
      <c r="P38" s="36">
        <v>0</v>
      </c>
      <c r="Q38" s="82">
        <v>0.37218281404327919</v>
      </c>
      <c r="R38" s="36">
        <v>0</v>
      </c>
      <c r="S38" s="36">
        <v>0</v>
      </c>
      <c r="T38" s="36">
        <v>0</v>
      </c>
      <c r="U38" s="36">
        <v>0</v>
      </c>
      <c r="V38" s="82">
        <v>0</v>
      </c>
      <c r="W38" s="36">
        <v>0</v>
      </c>
      <c r="X38" s="40">
        <v>1.4104961526599544E-2</v>
      </c>
      <c r="Y38" s="47">
        <f t="shared" si="0"/>
        <v>1</v>
      </c>
    </row>
    <row r="39" spans="2:25">
      <c r="B39" t="s">
        <v>293</v>
      </c>
      <c r="C39" s="50">
        <v>33664.067962068999</v>
      </c>
      <c r="E39" s="17" t="s">
        <v>292</v>
      </c>
      <c r="F39" s="51">
        <f t="shared" si="1"/>
        <v>11692.4715124552</v>
      </c>
      <c r="G39" s="48">
        <f t="shared" si="2"/>
        <v>1.2404893393386841E-2</v>
      </c>
      <c r="H39" s="29">
        <v>9</v>
      </c>
      <c r="I39" s="32">
        <v>0</v>
      </c>
      <c r="J39" s="36">
        <v>0</v>
      </c>
      <c r="K39" s="36">
        <v>0</v>
      </c>
      <c r="L39" s="36">
        <v>0</v>
      </c>
      <c r="M39" s="36">
        <v>0</v>
      </c>
      <c r="N39" s="36">
        <v>0</v>
      </c>
      <c r="O39" s="36">
        <v>0</v>
      </c>
      <c r="P39" s="36">
        <v>0</v>
      </c>
      <c r="Q39" s="82">
        <v>0</v>
      </c>
      <c r="R39" s="36">
        <v>0</v>
      </c>
      <c r="S39" s="36">
        <v>0</v>
      </c>
      <c r="T39" s="36">
        <v>0</v>
      </c>
      <c r="U39" s="36">
        <v>0.78487009632062588</v>
      </c>
      <c r="V39" s="82">
        <v>0.1210189319850906</v>
      </c>
      <c r="W39" s="36">
        <v>0</v>
      </c>
      <c r="X39" s="40">
        <v>9.4110971694283493E-2</v>
      </c>
      <c r="Y39" s="47">
        <f t="shared" si="0"/>
        <v>1</v>
      </c>
    </row>
    <row r="40" spans="2:25">
      <c r="B40" t="s">
        <v>294</v>
      </c>
      <c r="C40" s="50">
        <v>35588.191164836702</v>
      </c>
      <c r="E40" s="17" t="s">
        <v>293</v>
      </c>
      <c r="F40" s="51">
        <f t="shared" si="1"/>
        <v>33664.067962068999</v>
      </c>
      <c r="G40" s="48">
        <f t="shared" si="2"/>
        <v>3.5715218447387717E-2</v>
      </c>
      <c r="H40" s="29">
        <v>10</v>
      </c>
      <c r="I40" s="32">
        <v>0</v>
      </c>
      <c r="J40" s="36">
        <v>0</v>
      </c>
      <c r="K40" s="36">
        <v>0</v>
      </c>
      <c r="L40" s="36">
        <v>0</v>
      </c>
      <c r="M40" s="36">
        <v>0</v>
      </c>
      <c r="N40" s="36">
        <v>0</v>
      </c>
      <c r="O40" s="36">
        <v>0</v>
      </c>
      <c r="P40" s="36">
        <v>0</v>
      </c>
      <c r="Q40" s="82">
        <v>0</v>
      </c>
      <c r="R40" s="36">
        <v>0.71185658771154592</v>
      </c>
      <c r="S40" s="36">
        <v>0</v>
      </c>
      <c r="T40" s="36">
        <v>0</v>
      </c>
      <c r="U40" s="36">
        <v>0</v>
      </c>
      <c r="V40" s="82">
        <v>0.24169250378442073</v>
      </c>
      <c r="W40" s="36">
        <v>9.5716434351359521E-4</v>
      </c>
      <c r="X40" s="40">
        <v>4.5493744160519718E-2</v>
      </c>
      <c r="Y40" s="47">
        <f t="shared" si="0"/>
        <v>1</v>
      </c>
    </row>
    <row r="41" spans="2:25">
      <c r="B41" t="s">
        <v>295</v>
      </c>
      <c r="C41" s="50">
        <v>66439.552526901098</v>
      </c>
      <c r="E41" s="17" t="s">
        <v>294</v>
      </c>
      <c r="F41" s="51">
        <f t="shared" si="1"/>
        <v>35588.191164836702</v>
      </c>
      <c r="G41" s="48">
        <f t="shared" si="2"/>
        <v>3.7756578409706192E-2</v>
      </c>
      <c r="H41" s="29">
        <v>11</v>
      </c>
      <c r="I41" s="32">
        <v>0</v>
      </c>
      <c r="J41" s="36">
        <v>0</v>
      </c>
      <c r="K41" s="36">
        <v>0</v>
      </c>
      <c r="L41" s="36">
        <v>0</v>
      </c>
      <c r="M41" s="36">
        <v>0</v>
      </c>
      <c r="N41" s="36">
        <v>0</v>
      </c>
      <c r="O41" s="36">
        <v>0</v>
      </c>
      <c r="P41" s="36">
        <v>0</v>
      </c>
      <c r="Q41" s="82">
        <v>0</v>
      </c>
      <c r="R41" s="36">
        <v>0.86109418831996831</v>
      </c>
      <c r="S41" s="36">
        <v>0</v>
      </c>
      <c r="T41" s="36">
        <v>0</v>
      </c>
      <c r="U41" s="36">
        <v>0</v>
      </c>
      <c r="V41" s="82">
        <v>2.5299853868044056E-6</v>
      </c>
      <c r="W41" s="36">
        <v>0.13334844577937718</v>
      </c>
      <c r="X41" s="40">
        <v>5.5548359152677532E-3</v>
      </c>
      <c r="Y41" s="47">
        <f t="shared" si="0"/>
        <v>1.0000000000000002</v>
      </c>
    </row>
    <row r="42" spans="2:25">
      <c r="B42" t="s">
        <v>296</v>
      </c>
      <c r="C42" s="50">
        <v>21127.579698825699</v>
      </c>
      <c r="E42" s="17" t="s">
        <v>214</v>
      </c>
      <c r="F42" s="51">
        <f>SUM(C41:C42)</f>
        <v>87567.132225726789</v>
      </c>
      <c r="G42" s="48">
        <f t="shared" si="2"/>
        <v>9.2902594534237673E-2</v>
      </c>
      <c r="H42" s="29">
        <v>12</v>
      </c>
      <c r="I42" s="32">
        <v>0</v>
      </c>
      <c r="J42" s="36">
        <v>0</v>
      </c>
      <c r="K42" s="36">
        <v>0</v>
      </c>
      <c r="L42" s="36">
        <v>0</v>
      </c>
      <c r="M42" s="36">
        <v>0</v>
      </c>
      <c r="N42" s="36">
        <v>6.5955188612875512E-2</v>
      </c>
      <c r="O42" s="36">
        <v>0.62807745410608129</v>
      </c>
      <c r="P42" s="36">
        <v>1.9380707210528328E-2</v>
      </c>
      <c r="Q42" s="82">
        <v>0</v>
      </c>
      <c r="R42" s="36">
        <v>0.27880083521851912</v>
      </c>
      <c r="S42" s="36">
        <v>0</v>
      </c>
      <c r="T42" s="36">
        <v>0</v>
      </c>
      <c r="U42" s="36">
        <v>0</v>
      </c>
      <c r="V42" s="82">
        <v>6.622563637424638E-3</v>
      </c>
      <c r="W42" s="36">
        <v>1.1632512145711212E-3</v>
      </c>
      <c r="X42" s="40">
        <v>0</v>
      </c>
      <c r="Y42" s="47">
        <f t="shared" si="0"/>
        <v>1</v>
      </c>
    </row>
    <row r="43" spans="2:25">
      <c r="B43" t="s">
        <v>297</v>
      </c>
      <c r="C43" s="50">
        <v>29100.3242667962</v>
      </c>
      <c r="E43" s="17" t="s">
        <v>297</v>
      </c>
      <c r="F43" s="51">
        <f>C43</f>
        <v>29100.3242667962</v>
      </c>
      <c r="G43" s="48">
        <f t="shared" si="2"/>
        <v>3.0873406008136133E-2</v>
      </c>
      <c r="H43" s="29">
        <v>13</v>
      </c>
      <c r="I43" s="32">
        <v>0</v>
      </c>
      <c r="J43" s="36">
        <v>0</v>
      </c>
      <c r="K43" s="36">
        <v>0</v>
      </c>
      <c r="L43" s="36">
        <v>0</v>
      </c>
      <c r="M43" s="36">
        <v>0</v>
      </c>
      <c r="N43" s="36">
        <v>0</v>
      </c>
      <c r="O43" s="36">
        <v>0</v>
      </c>
      <c r="P43" s="36">
        <v>0</v>
      </c>
      <c r="Q43" s="82">
        <v>0</v>
      </c>
      <c r="R43" s="36">
        <v>0</v>
      </c>
      <c r="S43" s="36">
        <v>4.2090228290987712E-3</v>
      </c>
      <c r="T43" s="36">
        <v>0.99579097717090126</v>
      </c>
      <c r="U43" s="36">
        <v>0</v>
      </c>
      <c r="V43" s="82">
        <v>0</v>
      </c>
      <c r="W43" s="36">
        <v>0</v>
      </c>
      <c r="X43" s="40">
        <v>0</v>
      </c>
      <c r="Y43" s="47">
        <f t="shared" si="0"/>
        <v>1</v>
      </c>
    </row>
    <row r="44" spans="2:25">
      <c r="B44" t="s">
        <v>298</v>
      </c>
      <c r="C44" s="50">
        <v>38649.953145301697</v>
      </c>
      <c r="E44" s="17" t="s">
        <v>315</v>
      </c>
      <c r="F44" s="51">
        <f>F35</f>
        <v>43153.105531319401</v>
      </c>
      <c r="G44" s="48">
        <f t="shared" si="2"/>
        <v>4.5782422744358189E-2</v>
      </c>
      <c r="H44" s="29">
        <v>14</v>
      </c>
      <c r="I44" s="32">
        <v>0</v>
      </c>
      <c r="J44" s="36">
        <v>0</v>
      </c>
      <c r="K44" s="36">
        <v>0</v>
      </c>
      <c r="L44" s="36">
        <v>0</v>
      </c>
      <c r="M44" s="36">
        <v>0</v>
      </c>
      <c r="N44" s="36">
        <v>0</v>
      </c>
      <c r="O44" s="36">
        <v>0</v>
      </c>
      <c r="P44" s="36">
        <v>0</v>
      </c>
      <c r="Q44" s="82">
        <v>0</v>
      </c>
      <c r="R44" s="36">
        <v>0</v>
      </c>
      <c r="S44" s="36">
        <v>0</v>
      </c>
      <c r="T44" s="36">
        <v>1</v>
      </c>
      <c r="U44" s="36">
        <v>0</v>
      </c>
      <c r="V44" s="82">
        <v>0</v>
      </c>
      <c r="W44" s="36">
        <v>0</v>
      </c>
      <c r="X44" s="40">
        <v>0</v>
      </c>
      <c r="Y44" s="47">
        <f t="shared" si="0"/>
        <v>1</v>
      </c>
    </row>
    <row r="45" spans="2:25">
      <c r="B45" t="s">
        <v>299</v>
      </c>
      <c r="C45" s="50">
        <v>14637.067657575701</v>
      </c>
      <c r="E45" s="17" t="s">
        <v>316</v>
      </c>
      <c r="F45" s="51">
        <f>F35</f>
        <v>43153.105531319401</v>
      </c>
      <c r="G45" s="48">
        <f t="shared" si="2"/>
        <v>4.5782422744358189E-2</v>
      </c>
      <c r="H45" s="29">
        <v>15</v>
      </c>
      <c r="I45" s="32">
        <v>0</v>
      </c>
      <c r="J45" s="36">
        <v>1.9389534529224541E-3</v>
      </c>
      <c r="K45" s="36">
        <v>0</v>
      </c>
      <c r="L45" s="36">
        <v>0</v>
      </c>
      <c r="M45" s="36">
        <v>0</v>
      </c>
      <c r="N45" s="36">
        <v>0</v>
      </c>
      <c r="O45" s="36">
        <v>0</v>
      </c>
      <c r="P45" s="36">
        <v>0</v>
      </c>
      <c r="Q45" s="82">
        <v>0</v>
      </c>
      <c r="R45" s="36">
        <v>0</v>
      </c>
      <c r="S45" s="36">
        <v>0.44545524757224331</v>
      </c>
      <c r="T45" s="36">
        <v>0.52652748476681743</v>
      </c>
      <c r="U45" s="36">
        <v>0</v>
      </c>
      <c r="V45" s="82">
        <v>0</v>
      </c>
      <c r="W45" s="36">
        <v>0</v>
      </c>
      <c r="X45" s="40">
        <v>2.6078314208016779E-2</v>
      </c>
      <c r="Y45" s="47">
        <f t="shared" si="0"/>
        <v>1</v>
      </c>
    </row>
    <row r="46" spans="2:25">
      <c r="E46" s="17" t="s">
        <v>298</v>
      </c>
      <c r="F46" s="51">
        <f>C44</f>
        <v>38649.953145301697</v>
      </c>
      <c r="G46" s="48">
        <f t="shared" si="2"/>
        <v>4.1004893440718657E-2</v>
      </c>
      <c r="H46" s="29">
        <v>16</v>
      </c>
      <c r="I46" s="32">
        <v>0</v>
      </c>
      <c r="J46" s="36">
        <v>0</v>
      </c>
      <c r="K46" s="36">
        <v>0</v>
      </c>
      <c r="L46" s="36">
        <v>0</v>
      </c>
      <c r="M46" s="36">
        <v>0</v>
      </c>
      <c r="N46" s="36">
        <v>0.17179501618810883</v>
      </c>
      <c r="O46" s="36">
        <v>0</v>
      </c>
      <c r="P46" s="36">
        <v>0.27901486514139412</v>
      </c>
      <c r="Q46" s="82">
        <v>0.54919011867049705</v>
      </c>
      <c r="R46" s="36">
        <v>0</v>
      </c>
      <c r="S46" s="36">
        <v>0</v>
      </c>
      <c r="T46" s="36">
        <v>0</v>
      </c>
      <c r="U46" s="36">
        <v>0</v>
      </c>
      <c r="V46" s="82">
        <v>0</v>
      </c>
      <c r="W46" s="36">
        <v>0</v>
      </c>
      <c r="X46" s="40">
        <v>0</v>
      </c>
      <c r="Y46" s="47">
        <f t="shared" si="0"/>
        <v>1</v>
      </c>
    </row>
    <row r="47" spans="2:25">
      <c r="B47" s="817" t="s">
        <v>1102</v>
      </c>
      <c r="C47" s="817"/>
      <c r="D47" s="898"/>
      <c r="E47" s="17" t="s">
        <v>299</v>
      </c>
      <c r="F47" s="51">
        <f>C45</f>
        <v>14637.067657575701</v>
      </c>
      <c r="G47" s="48">
        <f t="shared" si="2"/>
        <v>1.552890367879891E-2</v>
      </c>
      <c r="H47" s="29">
        <v>17</v>
      </c>
      <c r="I47" s="32">
        <v>0</v>
      </c>
      <c r="J47" s="36">
        <v>0</v>
      </c>
      <c r="K47" s="36">
        <v>0</v>
      </c>
      <c r="L47" s="36">
        <v>0</v>
      </c>
      <c r="M47" s="36">
        <v>0</v>
      </c>
      <c r="N47" s="36">
        <v>0</v>
      </c>
      <c r="O47" s="36">
        <v>0</v>
      </c>
      <c r="P47" s="36">
        <v>0</v>
      </c>
      <c r="Q47" s="82">
        <v>0.9935409013613431</v>
      </c>
      <c r="R47" s="36">
        <v>0</v>
      </c>
      <c r="S47" s="36">
        <v>0</v>
      </c>
      <c r="T47" s="36">
        <v>0</v>
      </c>
      <c r="U47" s="36">
        <v>0</v>
      </c>
      <c r="V47" s="82">
        <v>0</v>
      </c>
      <c r="W47" s="36">
        <v>0</v>
      </c>
      <c r="X47" s="40">
        <v>6.4590986386568834E-3</v>
      </c>
      <c r="Y47" s="47">
        <f t="shared" si="0"/>
        <v>1</v>
      </c>
    </row>
    <row r="48" spans="2:25">
      <c r="B48" s="817"/>
      <c r="C48" s="817"/>
      <c r="D48" s="898"/>
      <c r="E48" s="17" t="s">
        <v>317</v>
      </c>
      <c r="F48" s="51">
        <f>C45</f>
        <v>14637.067657575701</v>
      </c>
      <c r="G48" s="48">
        <f t="shared" si="2"/>
        <v>1.552890367879891E-2</v>
      </c>
      <c r="H48" s="29">
        <v>18</v>
      </c>
      <c r="I48" s="32">
        <v>0</v>
      </c>
      <c r="J48" s="36">
        <v>0</v>
      </c>
      <c r="K48" s="36">
        <v>0</v>
      </c>
      <c r="L48" s="36">
        <v>0</v>
      </c>
      <c r="M48" s="36">
        <v>0</v>
      </c>
      <c r="N48" s="36">
        <v>0</v>
      </c>
      <c r="O48" s="36">
        <v>0</v>
      </c>
      <c r="P48" s="36">
        <v>0</v>
      </c>
      <c r="Q48" s="82">
        <v>1</v>
      </c>
      <c r="R48" s="36">
        <v>0</v>
      </c>
      <c r="S48" s="36">
        <v>0</v>
      </c>
      <c r="T48" s="36">
        <v>0</v>
      </c>
      <c r="U48" s="36">
        <v>0</v>
      </c>
      <c r="V48" s="82">
        <v>0</v>
      </c>
      <c r="W48" s="36">
        <v>0</v>
      </c>
      <c r="X48" s="40">
        <v>0</v>
      </c>
      <c r="Y48" s="47">
        <f t="shared" si="0"/>
        <v>1</v>
      </c>
    </row>
    <row r="49" spans="2:25">
      <c r="B49" s="817"/>
      <c r="C49" s="817"/>
      <c r="D49" s="898"/>
      <c r="E49" s="17" t="s">
        <v>318</v>
      </c>
      <c r="F49" s="51">
        <f>C40</f>
        <v>35588.191164836702</v>
      </c>
      <c r="G49" s="48">
        <f t="shared" si="2"/>
        <v>3.7756578409706192E-2</v>
      </c>
      <c r="H49" s="29">
        <v>19</v>
      </c>
      <c r="I49" s="32">
        <v>0</v>
      </c>
      <c r="J49" s="36">
        <v>0</v>
      </c>
      <c r="K49" s="36">
        <v>0</v>
      </c>
      <c r="L49" s="36">
        <v>0</v>
      </c>
      <c r="M49" s="36">
        <v>0</v>
      </c>
      <c r="N49" s="36">
        <v>0</v>
      </c>
      <c r="O49" s="36">
        <v>0</v>
      </c>
      <c r="P49" s="36">
        <v>0</v>
      </c>
      <c r="Q49" s="82">
        <v>0</v>
      </c>
      <c r="R49" s="36">
        <v>0</v>
      </c>
      <c r="S49" s="36">
        <v>0</v>
      </c>
      <c r="T49" s="36">
        <v>0</v>
      </c>
      <c r="U49" s="36">
        <v>0</v>
      </c>
      <c r="V49" s="82">
        <v>2.4220124862473494E-4</v>
      </c>
      <c r="W49" s="36">
        <v>0.99975779875137527</v>
      </c>
      <c r="X49" s="40">
        <v>0</v>
      </c>
      <c r="Y49" s="47">
        <f t="shared" si="0"/>
        <v>1</v>
      </c>
    </row>
    <row r="50" spans="2:25">
      <c r="B50" s="817"/>
      <c r="C50" s="817"/>
      <c r="D50" s="898"/>
      <c r="E50" s="17" t="s">
        <v>319</v>
      </c>
      <c r="F50" s="51">
        <f>C39</f>
        <v>33664.067962068999</v>
      </c>
      <c r="G50" s="48">
        <f t="shared" si="2"/>
        <v>3.5715218447387717E-2</v>
      </c>
      <c r="H50" s="29">
        <v>20</v>
      </c>
      <c r="I50" s="33">
        <v>0</v>
      </c>
      <c r="J50" s="37">
        <v>0</v>
      </c>
      <c r="K50" s="37">
        <v>0</v>
      </c>
      <c r="L50" s="37">
        <v>0</v>
      </c>
      <c r="M50" s="37">
        <v>0</v>
      </c>
      <c r="N50" s="37">
        <v>0</v>
      </c>
      <c r="O50" s="37">
        <v>0</v>
      </c>
      <c r="P50" s="37">
        <v>0</v>
      </c>
      <c r="Q50" s="83">
        <v>0</v>
      </c>
      <c r="R50" s="37">
        <v>0</v>
      </c>
      <c r="S50" s="37">
        <v>0</v>
      </c>
      <c r="T50" s="37">
        <v>0</v>
      </c>
      <c r="U50" s="37">
        <v>0</v>
      </c>
      <c r="V50" s="83">
        <v>0</v>
      </c>
      <c r="W50" s="37">
        <v>0</v>
      </c>
      <c r="X50" s="41">
        <v>1</v>
      </c>
      <c r="Y50" s="47">
        <f t="shared" si="0"/>
        <v>1</v>
      </c>
    </row>
  </sheetData>
  <mergeCells count="4">
    <mergeCell ref="C4:W4"/>
    <mergeCell ref="B28:F28"/>
    <mergeCell ref="I28:X28"/>
    <mergeCell ref="B47:D50"/>
  </mergeCells>
  <hyperlinks>
    <hyperlink ref="C25" r:id="rId1" xr:uid="{C9E3C765-F661-4AA3-93CD-E339B47454E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DC9C1-ABE9-4C74-8C0A-F769CBEC5074}">
  <sheetPr codeName="Sheet5"/>
  <dimension ref="A1:M52"/>
  <sheetViews>
    <sheetView zoomScaleNormal="100" workbookViewId="0">
      <selection sqref="A1:J1"/>
    </sheetView>
  </sheetViews>
  <sheetFormatPr defaultColWidth="8.77734375" defaultRowHeight="13.2"/>
  <cols>
    <col min="1" max="1" width="27.21875" style="154" customWidth="1"/>
    <col min="2" max="2" width="16" style="154" customWidth="1"/>
    <col min="3" max="3" width="19" style="154" customWidth="1"/>
    <col min="4" max="4" width="14.77734375" style="154" customWidth="1"/>
    <col min="5" max="5" width="10.109375" style="154" customWidth="1"/>
    <col min="6" max="6" width="7.77734375" style="154" customWidth="1"/>
    <col min="7" max="7" width="12.77734375" style="154" customWidth="1"/>
    <col min="8" max="8" width="12" style="154" bestFit="1" customWidth="1"/>
    <col min="9" max="9" width="11.21875" style="154" customWidth="1"/>
    <col min="10" max="10" width="32.5546875" style="154" customWidth="1"/>
    <col min="11" max="11" width="8.77734375" style="154"/>
    <col min="12" max="12" width="12.77734375" style="154" customWidth="1"/>
    <col min="13" max="13" width="25.21875" style="154" customWidth="1"/>
    <col min="14" max="14" width="22.21875" style="154" bestFit="1" customWidth="1"/>
    <col min="15" max="15" width="18.21875" style="154" customWidth="1"/>
    <col min="16" max="16" width="25.77734375" style="154" customWidth="1"/>
    <col min="17" max="17" width="22.77734375" style="154" customWidth="1"/>
    <col min="18" max="18" width="16.21875" style="154" customWidth="1"/>
    <col min="19" max="19" width="6.77734375" style="154" bestFit="1" customWidth="1"/>
    <col min="20" max="24" width="17.21875" style="154" customWidth="1"/>
    <col min="25" max="16384" width="8.77734375" style="154"/>
  </cols>
  <sheetData>
    <row r="1" spans="1:11" ht="25.95" customHeight="1">
      <c r="A1" s="692" t="s">
        <v>52</v>
      </c>
      <c r="B1" s="693"/>
      <c r="C1" s="693"/>
      <c r="D1" s="693"/>
      <c r="E1" s="693"/>
      <c r="F1" s="693"/>
      <c r="G1" s="693"/>
      <c r="H1" s="693"/>
      <c r="I1" s="693"/>
      <c r="J1" s="693"/>
    </row>
    <row r="2" spans="1:11" ht="39.6">
      <c r="A2" s="213" t="s">
        <v>1123</v>
      </c>
      <c r="B2" s="213" t="s">
        <v>1124</v>
      </c>
      <c r="C2" s="212" t="s">
        <v>56</v>
      </c>
      <c r="D2" s="213" t="s">
        <v>54</v>
      </c>
      <c r="E2" s="694" t="s">
        <v>55</v>
      </c>
      <c r="F2" s="695"/>
      <c r="G2" s="213" t="s">
        <v>1137</v>
      </c>
      <c r="H2" s="212" t="s">
        <v>57</v>
      </c>
      <c r="I2" s="212" t="s">
        <v>58</v>
      </c>
      <c r="J2" s="212" t="s">
        <v>1140</v>
      </c>
    </row>
    <row r="3" spans="1:11" ht="17.55" customHeight="1">
      <c r="A3" s="652" t="s">
        <v>59</v>
      </c>
      <c r="B3" s="652" t="s">
        <v>1125</v>
      </c>
      <c r="C3" s="183" t="s">
        <v>60</v>
      </c>
      <c r="D3" s="198">
        <f t="shared" ref="D3:D15" si="0">G3/$G$17</f>
        <v>0.16588355095318963</v>
      </c>
      <c r="E3" s="663">
        <v>60.8466666666667</v>
      </c>
      <c r="F3" s="655">
        <v>15</v>
      </c>
      <c r="G3" s="669">
        <v>912.7</v>
      </c>
      <c r="H3" s="183">
        <f>G3*10</f>
        <v>9127</v>
      </c>
      <c r="I3" s="183">
        <v>1</v>
      </c>
      <c r="J3" s="184">
        <v>5</v>
      </c>
    </row>
    <row r="4" spans="1:11" ht="17.55" customHeight="1">
      <c r="A4" s="652" t="s">
        <v>61</v>
      </c>
      <c r="B4" s="652" t="s">
        <v>1126</v>
      </c>
      <c r="C4" s="183" t="s">
        <v>60</v>
      </c>
      <c r="D4" s="198">
        <f t="shared" si="0"/>
        <v>0.16511292943895545</v>
      </c>
      <c r="E4" s="654">
        <v>14.999924593716132</v>
      </c>
      <c r="F4" s="655">
        <v>60.564304461942299</v>
      </c>
      <c r="G4" s="670">
        <v>908.46</v>
      </c>
      <c r="H4" s="183">
        <f t="shared" ref="H4:H15" si="1">G4*10</f>
        <v>9084.6</v>
      </c>
      <c r="I4" s="183">
        <v>1</v>
      </c>
      <c r="J4" s="184">
        <v>5</v>
      </c>
    </row>
    <row r="5" spans="1:11" ht="17.55" customHeight="1">
      <c r="A5" s="652" t="s">
        <v>62</v>
      </c>
      <c r="B5" s="652" t="s">
        <v>1127</v>
      </c>
      <c r="C5" s="183" t="s">
        <v>60</v>
      </c>
      <c r="D5" s="198">
        <f t="shared" si="0"/>
        <v>0.16511292943895545</v>
      </c>
      <c r="E5" s="654">
        <v>14.999924593716132</v>
      </c>
      <c r="F5" s="655">
        <v>60.564304461942299</v>
      </c>
      <c r="G5" s="670">
        <v>908.46</v>
      </c>
      <c r="H5" s="183">
        <f t="shared" si="1"/>
        <v>9084.6</v>
      </c>
      <c r="I5" s="183">
        <v>1</v>
      </c>
      <c r="J5" s="184">
        <v>5</v>
      </c>
      <c r="K5" s="524"/>
    </row>
    <row r="6" spans="1:11" ht="17.55" customHeight="1">
      <c r="A6" s="653" t="s">
        <v>63</v>
      </c>
      <c r="B6" s="653" t="s">
        <v>1128</v>
      </c>
      <c r="C6" s="183" t="s">
        <v>60</v>
      </c>
      <c r="D6" s="198">
        <f t="shared" si="0"/>
        <v>8.2941775476594815E-2</v>
      </c>
      <c r="E6" s="654">
        <v>30.423486274802819</v>
      </c>
      <c r="F6" s="655">
        <v>14.999924593716132</v>
      </c>
      <c r="G6" s="670">
        <v>456.35</v>
      </c>
      <c r="H6" s="183">
        <f t="shared" si="1"/>
        <v>4563.5</v>
      </c>
      <c r="I6" s="183">
        <v>1</v>
      </c>
      <c r="J6" s="184">
        <v>33</v>
      </c>
    </row>
    <row r="7" spans="1:11" ht="16.5" customHeight="1">
      <c r="A7" s="653" t="s">
        <v>64</v>
      </c>
      <c r="B7" s="653" t="s">
        <v>1128</v>
      </c>
      <c r="C7" s="183" t="s">
        <v>60</v>
      </c>
      <c r="D7" s="198">
        <f t="shared" si="0"/>
        <v>8.2941775476594815E-2</v>
      </c>
      <c r="E7" s="654">
        <v>30.423486274802819</v>
      </c>
      <c r="F7" s="655">
        <v>14.999924593716132</v>
      </c>
      <c r="G7" s="670">
        <v>456.35</v>
      </c>
      <c r="H7" s="183">
        <f t="shared" si="1"/>
        <v>4563.5</v>
      </c>
      <c r="I7" s="183">
        <v>1</v>
      </c>
      <c r="J7" s="185">
        <v>5</v>
      </c>
    </row>
    <row r="8" spans="1:11" ht="16.5" customHeight="1">
      <c r="A8" s="653" t="s">
        <v>65</v>
      </c>
      <c r="B8" s="652" t="s">
        <v>1126</v>
      </c>
      <c r="C8" s="183" t="s">
        <v>60</v>
      </c>
      <c r="D8" s="198">
        <f t="shared" si="0"/>
        <v>0.13520045566238489</v>
      </c>
      <c r="E8" s="654">
        <v>32.969750692520776</v>
      </c>
      <c r="F8" s="655">
        <v>22.5625</v>
      </c>
      <c r="G8" s="670">
        <v>743.88</v>
      </c>
      <c r="H8" s="183">
        <f t="shared" si="1"/>
        <v>7438.8</v>
      </c>
      <c r="I8" s="183">
        <v>1</v>
      </c>
      <c r="J8" s="186">
        <v>2</v>
      </c>
    </row>
    <row r="9" spans="1:11" ht="19.2" customHeight="1">
      <c r="A9" s="652" t="s">
        <v>66</v>
      </c>
      <c r="B9" s="652" t="s">
        <v>1127</v>
      </c>
      <c r="C9" s="183" t="s">
        <v>60</v>
      </c>
      <c r="D9" s="198">
        <f t="shared" si="0"/>
        <v>2.0761343295039827E-2</v>
      </c>
      <c r="E9" s="654">
        <v>10.125650969529087</v>
      </c>
      <c r="F9" s="655">
        <v>11.28125</v>
      </c>
      <c r="G9" s="670">
        <v>114.23</v>
      </c>
      <c r="H9" s="183">
        <f t="shared" si="1"/>
        <v>1142.3</v>
      </c>
      <c r="I9" s="183">
        <v>1</v>
      </c>
      <c r="J9" s="187" t="s">
        <v>67</v>
      </c>
    </row>
    <row r="10" spans="1:11" ht="17.55" customHeight="1">
      <c r="A10" s="652" t="s">
        <v>68</v>
      </c>
      <c r="B10" s="652" t="s">
        <v>1127</v>
      </c>
      <c r="C10" s="183" t="s">
        <v>60</v>
      </c>
      <c r="D10" s="198">
        <f t="shared" si="0"/>
        <v>4.0762970097273324E-2</v>
      </c>
      <c r="E10" s="654">
        <v>19.880775623268697</v>
      </c>
      <c r="F10" s="655">
        <v>11.28125</v>
      </c>
      <c r="G10" s="670">
        <v>224.28</v>
      </c>
      <c r="H10" s="183">
        <f t="shared" si="1"/>
        <v>2242.8000000000002</v>
      </c>
      <c r="I10" s="183">
        <v>1</v>
      </c>
      <c r="J10" s="187" t="s">
        <v>67</v>
      </c>
    </row>
    <row r="11" spans="1:11" ht="17.55" customHeight="1">
      <c r="A11" s="652" t="s">
        <v>69</v>
      </c>
      <c r="B11" s="652" t="s">
        <v>1127</v>
      </c>
      <c r="C11" s="183" t="s">
        <v>60</v>
      </c>
      <c r="D11" s="198">
        <f t="shared" si="0"/>
        <v>2.00016268022335E-2</v>
      </c>
      <c r="E11" s="654">
        <v>9.7551246537396121</v>
      </c>
      <c r="F11" s="655">
        <v>11.28125</v>
      </c>
      <c r="G11" s="670">
        <v>110.05</v>
      </c>
      <c r="H11" s="183">
        <f t="shared" si="1"/>
        <v>1100.5</v>
      </c>
      <c r="I11" s="183">
        <v>1</v>
      </c>
      <c r="J11" s="674">
        <v>33</v>
      </c>
    </row>
    <row r="12" spans="1:11" ht="17.55" customHeight="1">
      <c r="A12" s="652" t="s">
        <v>1129</v>
      </c>
      <c r="B12" s="652" t="s">
        <v>1126</v>
      </c>
      <c r="C12" s="183" t="s">
        <v>60</v>
      </c>
      <c r="D12" s="198">
        <f t="shared" si="0"/>
        <v>2.2220798662799347E-2</v>
      </c>
      <c r="E12" s="654">
        <v>30.565000000000001</v>
      </c>
      <c r="F12" s="655">
        <v>4</v>
      </c>
      <c r="G12" s="670">
        <v>122.26</v>
      </c>
      <c r="H12" s="183">
        <f t="shared" si="1"/>
        <v>1222.6000000000001</v>
      </c>
      <c r="I12" s="183">
        <v>1</v>
      </c>
      <c r="J12" s="184">
        <v>5</v>
      </c>
    </row>
    <row r="13" spans="1:11" ht="17.55" customHeight="1">
      <c r="A13" s="652" t="s">
        <v>1130</v>
      </c>
      <c r="B13" s="652" t="s">
        <v>1125</v>
      </c>
      <c r="C13" s="183" t="s">
        <v>60</v>
      </c>
      <c r="D13" s="198">
        <f t="shared" si="0"/>
        <v>3.8420207993858604E-2</v>
      </c>
      <c r="E13" s="654">
        <v>52.847499999999997</v>
      </c>
      <c r="F13" s="655">
        <v>4</v>
      </c>
      <c r="G13" s="671">
        <v>211.39</v>
      </c>
      <c r="H13" s="183">
        <f t="shared" si="1"/>
        <v>2113.8999999999996</v>
      </c>
      <c r="I13" s="183">
        <v>1</v>
      </c>
      <c r="J13" s="184">
        <v>5</v>
      </c>
    </row>
    <row r="14" spans="1:11" ht="17.55" customHeight="1">
      <c r="A14" s="652" t="s">
        <v>1131</v>
      </c>
      <c r="B14" s="652" t="s">
        <v>1127</v>
      </c>
      <c r="C14" s="183" t="s">
        <v>60</v>
      </c>
      <c r="D14" s="198">
        <f t="shared" si="0"/>
        <v>2.2220798662799347E-2</v>
      </c>
      <c r="E14" s="654">
        <v>30.565000000000001</v>
      </c>
      <c r="F14" s="655">
        <v>4</v>
      </c>
      <c r="G14" s="670">
        <v>122.26</v>
      </c>
      <c r="H14" s="183">
        <f t="shared" si="1"/>
        <v>1222.6000000000001</v>
      </c>
      <c r="I14" s="183">
        <v>1</v>
      </c>
      <c r="J14" s="184">
        <v>5</v>
      </c>
    </row>
    <row r="15" spans="1:11" ht="17.55" customHeight="1">
      <c r="A15" s="652" t="s">
        <v>1132</v>
      </c>
      <c r="B15" s="653" t="s">
        <v>1128</v>
      </c>
      <c r="C15" s="183" t="s">
        <v>60</v>
      </c>
      <c r="D15" s="198">
        <f t="shared" si="0"/>
        <v>3.8420207993858604E-2</v>
      </c>
      <c r="E15" s="654">
        <v>52.847499999999997</v>
      </c>
      <c r="F15" s="655">
        <v>4</v>
      </c>
      <c r="G15" s="671">
        <v>211.39</v>
      </c>
      <c r="H15" s="183">
        <f t="shared" si="1"/>
        <v>2113.8999999999996</v>
      </c>
      <c r="I15" s="183">
        <v>1</v>
      </c>
      <c r="J15" s="184">
        <v>5</v>
      </c>
    </row>
    <row r="16" spans="1:11" ht="17.55" customHeight="1">
      <c r="A16" s="652" t="s">
        <v>71</v>
      </c>
      <c r="B16" s="652" t="s">
        <v>1133</v>
      </c>
      <c r="C16" s="183" t="s">
        <v>72</v>
      </c>
      <c r="D16" s="652"/>
      <c r="E16" s="652"/>
      <c r="F16" s="188"/>
      <c r="G16" s="183">
        <v>6114.3047000000006</v>
      </c>
      <c r="H16" s="183">
        <v>25437.110800000002</v>
      </c>
      <c r="I16" s="183">
        <v>1</v>
      </c>
      <c r="J16" s="184" t="s">
        <v>67</v>
      </c>
    </row>
    <row r="17" spans="1:10" ht="39.6" customHeight="1">
      <c r="A17" s="653" t="s">
        <v>1134</v>
      </c>
      <c r="B17" s="653" t="s">
        <v>1135</v>
      </c>
      <c r="C17" s="190" t="s">
        <v>1136</v>
      </c>
      <c r="D17" s="652"/>
      <c r="E17" s="656">
        <v>90.846456692913407</v>
      </c>
      <c r="F17" s="656">
        <v>60.564304461942299</v>
      </c>
      <c r="G17" s="189">
        <f>E17*F17</f>
        <v>5502.0524624382633</v>
      </c>
      <c r="H17" s="183">
        <f>SUM(H3:H16)</f>
        <v>80457.710800000001</v>
      </c>
      <c r="I17" s="183">
        <v>1</v>
      </c>
      <c r="J17" s="184"/>
    </row>
    <row r="18" spans="1:10">
      <c r="E18" s="201"/>
      <c r="F18" s="201"/>
      <c r="G18" s="202"/>
      <c r="H18" s="202"/>
      <c r="I18" s="202"/>
      <c r="J18" s="203"/>
    </row>
    <row r="19" spans="1:10">
      <c r="A19" s="156" t="s">
        <v>73</v>
      </c>
      <c r="B19" s="156"/>
      <c r="C19" s="156"/>
      <c r="D19" s="156"/>
      <c r="E19" s="204"/>
      <c r="F19" s="204"/>
      <c r="G19" s="205"/>
      <c r="I19" s="202"/>
      <c r="J19" s="202"/>
    </row>
    <row r="20" spans="1:10" ht="14.55" customHeight="1">
      <c r="A20" s="165" t="s">
        <v>74</v>
      </c>
      <c r="B20" s="165"/>
      <c r="C20" s="165"/>
      <c r="E20" s="201"/>
      <c r="F20" s="201"/>
      <c r="G20" s="202"/>
      <c r="H20" s="202"/>
      <c r="I20" s="202"/>
      <c r="J20" s="202"/>
    </row>
    <row r="21" spans="1:10">
      <c r="A21" s="206" t="s">
        <v>75</v>
      </c>
      <c r="B21" s="206"/>
      <c r="C21" s="206"/>
      <c r="E21" s="201"/>
      <c r="F21" s="201"/>
      <c r="G21" s="202"/>
      <c r="H21" s="202"/>
      <c r="I21" s="202"/>
      <c r="J21" s="202"/>
    </row>
    <row r="22" spans="1:10">
      <c r="A22" s="202"/>
      <c r="B22" s="202"/>
      <c r="C22" s="202"/>
      <c r="E22" s="201"/>
      <c r="F22" s="201"/>
      <c r="G22" s="202"/>
      <c r="H22" s="202"/>
      <c r="I22" s="202"/>
      <c r="J22" s="202"/>
    </row>
    <row r="23" spans="1:10">
      <c r="A23" s="202"/>
      <c r="B23" s="202"/>
      <c r="C23" s="202"/>
      <c r="E23" s="201"/>
      <c r="F23" s="201"/>
      <c r="G23" s="202"/>
      <c r="H23" s="202"/>
      <c r="I23" s="202"/>
      <c r="J23" s="202"/>
    </row>
    <row r="24" spans="1:10">
      <c r="E24" s="201"/>
      <c r="F24" s="201"/>
      <c r="G24" s="202"/>
      <c r="H24" s="202"/>
      <c r="I24" s="202"/>
      <c r="J24" s="202"/>
    </row>
    <row r="25" spans="1:10">
      <c r="E25" s="201"/>
      <c r="F25" s="201"/>
      <c r="G25" s="202"/>
      <c r="H25" s="202"/>
      <c r="I25" s="202"/>
      <c r="J25" s="202"/>
    </row>
    <row r="26" spans="1:10">
      <c r="E26" s="201"/>
      <c r="F26" s="201"/>
      <c r="G26" s="202"/>
      <c r="H26" s="202"/>
      <c r="I26" s="202"/>
      <c r="J26" s="202"/>
    </row>
    <row r="27" spans="1:10">
      <c r="E27" s="201"/>
      <c r="F27" s="201"/>
      <c r="G27" s="202"/>
      <c r="H27" s="202"/>
      <c r="I27" s="202"/>
      <c r="J27" s="202"/>
    </row>
    <row r="28" spans="1:10">
      <c r="E28" s="201"/>
      <c r="F28" s="201"/>
      <c r="G28" s="202"/>
      <c r="H28" s="202"/>
      <c r="I28" s="202"/>
      <c r="J28" s="202"/>
    </row>
    <row r="29" spans="1:10" s="207" customFormat="1" hidden="1">
      <c r="A29" s="207" t="s">
        <v>76</v>
      </c>
      <c r="G29" s="208"/>
      <c r="H29" s="210"/>
    </row>
    <row r="30" spans="1:10" hidden="1">
      <c r="A30" s="201"/>
      <c r="B30" s="201"/>
      <c r="C30" s="201"/>
      <c r="D30" s="201"/>
    </row>
    <row r="31" spans="1:10" hidden="1"/>
    <row r="32" spans="1:10" hidden="1"/>
    <row r="33" spans="1:13" hidden="1"/>
    <row r="34" spans="1:13" hidden="1"/>
    <row r="35" spans="1:13" hidden="1"/>
    <row r="36" spans="1:13" hidden="1">
      <c r="A36" s="691" t="s">
        <v>77</v>
      </c>
      <c r="B36" s="691"/>
      <c r="C36" s="691"/>
      <c r="D36" s="691"/>
      <c r="E36" s="211" t="s">
        <v>78</v>
      </c>
      <c r="F36" s="211" t="s">
        <v>79</v>
      </c>
      <c r="G36" s="211" t="s">
        <v>80</v>
      </c>
      <c r="J36" s="691" t="s">
        <v>1148</v>
      </c>
      <c r="K36" s="691"/>
      <c r="L36" s="691"/>
      <c r="M36" s="691"/>
    </row>
    <row r="37" spans="1:13" ht="92.4" hidden="1">
      <c r="A37" s="178" t="s">
        <v>81</v>
      </c>
      <c r="B37" s="627"/>
      <c r="C37" s="627"/>
      <c r="D37" s="177" t="s">
        <v>82</v>
      </c>
      <c r="E37" s="178" t="s">
        <v>83</v>
      </c>
      <c r="F37" s="178" t="s">
        <v>83</v>
      </c>
      <c r="G37" s="178" t="s">
        <v>84</v>
      </c>
      <c r="J37" s="672" t="s">
        <v>1147</v>
      </c>
      <c r="K37" s="673" t="s">
        <v>1146</v>
      </c>
    </row>
    <row r="38" spans="1:13" hidden="1">
      <c r="A38" s="688" t="s">
        <v>85</v>
      </c>
      <c r="B38" s="624"/>
      <c r="C38" s="624"/>
      <c r="D38" s="177" t="s">
        <v>86</v>
      </c>
      <c r="E38" s="192">
        <f>CONVERT(E44,"m2","ft2")</f>
        <v>1610.9268329647771</v>
      </c>
      <c r="F38" s="192">
        <f t="shared" ref="F38:G38" si="2">CONVERT(F44,"m2","ft2")</f>
        <v>1610.9268329647771</v>
      </c>
      <c r="G38" s="192">
        <f t="shared" si="2"/>
        <v>1570.6698080062824</v>
      </c>
    </row>
    <row r="39" spans="1:13" hidden="1">
      <c r="A39" s="689"/>
      <c r="B39" s="625"/>
      <c r="C39" s="625"/>
      <c r="D39" s="178" t="s">
        <v>87</v>
      </c>
      <c r="E39" s="192">
        <f t="shared" ref="E39:G43" si="3">CONVERT(E45,"m2","ft2")</f>
        <v>1221.165636775718</v>
      </c>
      <c r="F39" s="192">
        <f t="shared" si="3"/>
        <v>1221.165636775718</v>
      </c>
      <c r="G39" s="192">
        <f t="shared" si="3"/>
        <v>1074.022981379296</v>
      </c>
    </row>
    <row r="40" spans="1:13" hidden="1">
      <c r="A40" s="689"/>
      <c r="B40" s="625"/>
      <c r="C40" s="625"/>
      <c r="D40" s="178" t="s">
        <v>88</v>
      </c>
      <c r="E40" s="192">
        <f t="shared" si="3"/>
        <v>724.4111710445643</v>
      </c>
      <c r="F40" s="192">
        <f t="shared" si="3"/>
        <v>724.4111710445643</v>
      </c>
      <c r="G40" s="192">
        <f t="shared" si="3"/>
        <v>641.20614352339817</v>
      </c>
    </row>
    <row r="41" spans="1:13" hidden="1">
      <c r="A41" s="689"/>
      <c r="B41" s="625"/>
      <c r="C41" s="625"/>
      <c r="D41" s="177" t="s">
        <v>71</v>
      </c>
      <c r="E41" s="192">
        <f t="shared" si="3"/>
        <v>6113.6858384827883</v>
      </c>
      <c r="F41" s="192">
        <f t="shared" si="3"/>
        <v>6113.6858384827883</v>
      </c>
      <c r="G41" s="192">
        <f t="shared" si="3"/>
        <v>0</v>
      </c>
    </row>
    <row r="42" spans="1:13" ht="26.4" hidden="1">
      <c r="A42" s="689"/>
      <c r="B42" s="625"/>
      <c r="C42" s="625"/>
      <c r="D42" s="178" t="s">
        <v>89</v>
      </c>
      <c r="E42" s="192">
        <f t="shared" si="3"/>
        <v>5502.0804486053421</v>
      </c>
      <c r="F42" s="192">
        <f t="shared" si="3"/>
        <v>5502.0804486053421</v>
      </c>
      <c r="G42" s="192">
        <f t="shared" si="3"/>
        <v>5001.1818773637551</v>
      </c>
    </row>
    <row r="43" spans="1:13" ht="26.4" hidden="1">
      <c r="A43" s="690"/>
      <c r="B43" s="626"/>
      <c r="C43" s="626"/>
      <c r="D43" s="178" t="s">
        <v>90</v>
      </c>
      <c r="E43" s="192">
        <f t="shared" si="3"/>
        <v>5502.0804486053421</v>
      </c>
      <c r="F43" s="192">
        <f t="shared" si="3"/>
        <v>5502.0804486053421</v>
      </c>
      <c r="G43" s="192">
        <f t="shared" si="3"/>
        <v>10002.36375472751</v>
      </c>
    </row>
    <row r="44" spans="1:13" hidden="1">
      <c r="A44" s="685" t="s">
        <v>91</v>
      </c>
      <c r="B44" s="621"/>
      <c r="C44" s="621"/>
      <c r="D44" s="193" t="s">
        <v>86</v>
      </c>
      <c r="E44" s="194">
        <v>149.66</v>
      </c>
      <c r="F44" s="194">
        <v>149.66</v>
      </c>
      <c r="G44" s="194">
        <v>145.91999999999999</v>
      </c>
    </row>
    <row r="45" spans="1:13" hidden="1">
      <c r="A45" s="686"/>
      <c r="B45" s="622"/>
      <c r="C45" s="622"/>
      <c r="D45" s="195" t="s">
        <v>87</v>
      </c>
      <c r="E45" s="196">
        <v>113.45</v>
      </c>
      <c r="F45" s="194">
        <v>113.45</v>
      </c>
      <c r="G45" s="194">
        <v>99.78</v>
      </c>
    </row>
    <row r="46" spans="1:13" hidden="1">
      <c r="A46" s="686"/>
      <c r="B46" s="622"/>
      <c r="C46" s="622"/>
      <c r="D46" s="195" t="s">
        <v>88</v>
      </c>
      <c r="E46" s="194">
        <v>67.3</v>
      </c>
      <c r="F46" s="194">
        <v>67.3</v>
      </c>
      <c r="G46" s="194">
        <v>59.57</v>
      </c>
    </row>
    <row r="47" spans="1:13" hidden="1">
      <c r="A47" s="686"/>
      <c r="B47" s="622"/>
      <c r="C47" s="622"/>
      <c r="D47" s="193" t="s">
        <v>71</v>
      </c>
      <c r="E47" s="194">
        <v>567.98</v>
      </c>
      <c r="F47" s="194">
        <v>567.98</v>
      </c>
      <c r="G47" s="194"/>
    </row>
    <row r="48" spans="1:13" ht="26.4" hidden="1">
      <c r="A48" s="686"/>
      <c r="B48" s="622"/>
      <c r="C48" s="622"/>
      <c r="D48" s="195" t="s">
        <v>89</v>
      </c>
      <c r="E48" s="194">
        <v>511.16</v>
      </c>
      <c r="F48" s="194">
        <v>511.16</v>
      </c>
      <c r="G48" s="197">
        <f>929.25/2</f>
        <v>464.625</v>
      </c>
    </row>
    <row r="49" spans="1:7" ht="26.4" hidden="1">
      <c r="A49" s="687"/>
      <c r="B49" s="623"/>
      <c r="C49" s="623"/>
      <c r="D49" s="195" t="s">
        <v>90</v>
      </c>
      <c r="E49" s="194">
        <v>511.16</v>
      </c>
      <c r="F49" s="194">
        <v>511.16</v>
      </c>
      <c r="G49" s="197">
        <v>929.25</v>
      </c>
    </row>
    <row r="50" spans="1:7" hidden="1"/>
    <row r="51" spans="1:7" hidden="1"/>
    <row r="52" spans="1:7" hidden="1"/>
  </sheetData>
  <mergeCells count="6">
    <mergeCell ref="A44:A49"/>
    <mergeCell ref="A38:A43"/>
    <mergeCell ref="A36:D36"/>
    <mergeCell ref="A1:J1"/>
    <mergeCell ref="E2:F2"/>
    <mergeCell ref="J36:M36"/>
  </mergeCells>
  <phoneticPr fontId="9" type="noConversion"/>
  <hyperlinks>
    <hyperlink ref="A20" r:id="rId1" xr:uid="{58518BC6-E4B2-4912-A8F5-29F636272C9A}"/>
    <hyperlink ref="A21" r:id="rId2" xr:uid="{2EFE29EA-585B-4F90-8184-3D129F20D938}"/>
  </hyperlinks>
  <pageMargins left="0.7" right="0.7" top="0.75" bottom="0.75" header="0.3" footer="0.3"/>
  <pageSetup orientation="portrait" r:id="rId3"/>
  <drawing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093AA-CE58-48DD-B4C9-82527CB4498E}">
  <sheetPr codeName="Sheet2"/>
  <dimension ref="A1:AX105"/>
  <sheetViews>
    <sheetView zoomScale="90" zoomScaleNormal="90" workbookViewId="0">
      <selection sqref="A1:X1"/>
    </sheetView>
  </sheetViews>
  <sheetFormatPr defaultColWidth="9.21875" defaultRowHeight="13.8"/>
  <cols>
    <col min="1" max="1" width="15.44140625" style="561" customWidth="1"/>
    <col min="2" max="2" width="13.5546875" style="605" customWidth="1"/>
    <col min="3" max="3" width="18.5546875" style="561" customWidth="1"/>
    <col min="4" max="4" width="42.5546875" style="561" customWidth="1"/>
    <col min="5" max="5" width="13.21875" style="561" customWidth="1"/>
    <col min="6" max="6" width="10.77734375" style="561" customWidth="1"/>
    <col min="7" max="7" width="20.5546875" style="607" customWidth="1"/>
    <col min="8" max="8" width="35.21875" style="561" bestFit="1" customWidth="1"/>
    <col min="9" max="9" width="6.88671875" style="561" customWidth="1"/>
    <col min="10" max="12" width="7" style="561" customWidth="1"/>
    <col min="13" max="13" width="7.88671875" style="561" customWidth="1"/>
    <col min="14" max="14" width="8.6640625" style="561" customWidth="1"/>
    <col min="15" max="15" width="7" style="561" customWidth="1"/>
    <col min="16" max="16" width="7.109375" style="561" customWidth="1"/>
    <col min="17" max="17" width="7.5546875" style="561" customWidth="1"/>
    <col min="18" max="21" width="7" style="561" customWidth="1"/>
    <col min="22" max="22" width="7.77734375" style="561" customWidth="1"/>
    <col min="23" max="24" width="7" style="561" customWidth="1"/>
    <col min="25" max="26" width="9.21875" style="561"/>
    <col min="27" max="30" width="7.6640625" style="561" customWidth="1"/>
    <col min="31" max="31" width="9.6640625" style="561" customWidth="1"/>
    <col min="32" max="32" width="7.5546875" style="561" customWidth="1"/>
    <col min="33" max="33" width="11.44140625" style="561" customWidth="1"/>
    <col min="34" max="42" width="7.6640625" style="561" customWidth="1"/>
    <col min="43" max="46" width="10.44140625" style="561" customWidth="1"/>
    <col min="47" max="47" width="9.88671875" style="561" customWidth="1"/>
    <col min="48" max="48" width="10.44140625" style="561" customWidth="1"/>
    <col min="49" max="49" width="21.6640625" style="561" customWidth="1"/>
    <col min="50" max="50" width="10.44140625" style="561" customWidth="1"/>
    <col min="51" max="53" width="7.44140625" style="561" customWidth="1"/>
    <col min="54" max="54" width="7.77734375" style="561" customWidth="1"/>
    <col min="55" max="55" width="7.44140625" style="561" customWidth="1"/>
    <col min="56" max="56" width="13.77734375" style="561" customWidth="1"/>
    <col min="57" max="60" width="7.44140625" style="561" customWidth="1"/>
    <col min="61" max="62" width="9.77734375" style="561" bestFit="1" customWidth="1"/>
    <col min="63" max="16384" width="9.21875" style="561"/>
  </cols>
  <sheetData>
    <row r="1" spans="1:25" ht="31.95" customHeight="1">
      <c r="A1" s="716" t="s">
        <v>92</v>
      </c>
      <c r="B1" s="716"/>
      <c r="C1" s="716"/>
      <c r="D1" s="716"/>
      <c r="E1" s="716"/>
      <c r="F1" s="716"/>
      <c r="G1" s="716"/>
      <c r="H1" s="716"/>
      <c r="I1" s="716"/>
      <c r="J1" s="716"/>
      <c r="K1" s="716"/>
      <c r="L1" s="716"/>
      <c r="M1" s="716"/>
      <c r="N1" s="716"/>
      <c r="O1" s="716"/>
      <c r="P1" s="716"/>
      <c r="Q1" s="716"/>
      <c r="R1" s="716"/>
      <c r="S1" s="716"/>
      <c r="T1" s="716"/>
      <c r="U1" s="716"/>
      <c r="V1" s="716"/>
      <c r="W1" s="716"/>
      <c r="X1" s="716"/>
    </row>
    <row r="2" spans="1:25" ht="18.600000000000001" customHeight="1">
      <c r="A2" s="556" t="s">
        <v>93</v>
      </c>
      <c r="B2" s="556" t="s">
        <v>5</v>
      </c>
      <c r="C2" s="556" t="s">
        <v>94</v>
      </c>
      <c r="D2" s="556" t="s">
        <v>95</v>
      </c>
      <c r="E2" s="556" t="s">
        <v>96</v>
      </c>
      <c r="F2" s="556" t="s">
        <v>97</v>
      </c>
      <c r="G2" s="557" t="s">
        <v>98</v>
      </c>
      <c r="H2" s="556" t="s">
        <v>99</v>
      </c>
      <c r="I2" s="556" t="s">
        <v>100</v>
      </c>
      <c r="J2" s="556" t="s">
        <v>101</v>
      </c>
      <c r="K2" s="556" t="s">
        <v>102</v>
      </c>
      <c r="L2" s="556" t="s">
        <v>103</v>
      </c>
      <c r="M2" s="556" t="s">
        <v>104</v>
      </c>
      <c r="N2" s="556" t="s">
        <v>105</v>
      </c>
      <c r="O2" s="556" t="s">
        <v>106</v>
      </c>
      <c r="P2" s="556" t="s">
        <v>107</v>
      </c>
      <c r="Q2" s="556" t="s">
        <v>108</v>
      </c>
      <c r="R2" s="556" t="s">
        <v>109</v>
      </c>
      <c r="S2" s="556" t="s">
        <v>110</v>
      </c>
      <c r="T2" s="556" t="s">
        <v>111</v>
      </c>
      <c r="U2" s="556" t="s">
        <v>112</v>
      </c>
      <c r="V2" s="556" t="s">
        <v>113</v>
      </c>
      <c r="W2" s="556" t="s">
        <v>114</v>
      </c>
      <c r="X2" s="556" t="s">
        <v>115</v>
      </c>
    </row>
    <row r="3" spans="1:25">
      <c r="A3" s="696" t="s">
        <v>116</v>
      </c>
      <c r="B3" s="696" t="s">
        <v>117</v>
      </c>
      <c r="C3" s="697" t="s">
        <v>118</v>
      </c>
      <c r="D3" s="697" t="s">
        <v>119</v>
      </c>
      <c r="E3" s="696" t="s">
        <v>120</v>
      </c>
      <c r="F3" s="551" t="s">
        <v>121</v>
      </c>
      <c r="G3" s="551" t="s">
        <v>122</v>
      </c>
      <c r="H3" s="554" t="s">
        <v>123</v>
      </c>
      <c r="I3" s="550">
        <v>0.29199999999999998</v>
      </c>
      <c r="J3" s="550">
        <v>0.29199999999999998</v>
      </c>
      <c r="K3" s="550">
        <v>0.29199999999999998</v>
      </c>
      <c r="L3" s="550">
        <v>0.29199999999999998</v>
      </c>
      <c r="M3" s="550">
        <v>0.29199999999999998</v>
      </c>
      <c r="N3" s="550">
        <v>0.29199999999999998</v>
      </c>
      <c r="O3" s="550">
        <v>0.29199999999999998</v>
      </c>
      <c r="P3" s="550">
        <v>0.29199999999999998</v>
      </c>
      <c r="Q3" s="550">
        <v>0.29199999999999998</v>
      </c>
      <c r="R3" s="550">
        <v>0.29199999999999998</v>
      </c>
      <c r="S3" s="550">
        <v>0.29199999999999998</v>
      </c>
      <c r="T3" s="550">
        <v>0.29199999999999998</v>
      </c>
      <c r="U3" s="550">
        <v>0.29199999999999998</v>
      </c>
      <c r="V3" s="550">
        <v>0.29199999999999998</v>
      </c>
      <c r="W3" s="550">
        <v>0.29199999999999998</v>
      </c>
      <c r="X3" s="550">
        <v>0.29199999999999998</v>
      </c>
    </row>
    <row r="4" spans="1:25" ht="26.4">
      <c r="A4" s="696"/>
      <c r="B4" s="696"/>
      <c r="C4" s="697"/>
      <c r="D4" s="697"/>
      <c r="E4" s="696"/>
      <c r="F4" s="551" t="s">
        <v>124</v>
      </c>
      <c r="G4" s="551">
        <v>1984</v>
      </c>
      <c r="H4" s="554" t="s">
        <v>125</v>
      </c>
      <c r="I4" s="550">
        <f>1/6.63</f>
        <v>0.15082956259426847</v>
      </c>
      <c r="J4" s="550">
        <f>1/6.35</f>
        <v>0.15748031496062992</v>
      </c>
      <c r="K4" s="550">
        <f>1/6.35</f>
        <v>0.15748031496062992</v>
      </c>
      <c r="L4" s="550">
        <f>1/6.96</f>
        <v>0.14367816091954022</v>
      </c>
      <c r="M4" s="550">
        <f>1/6.96</f>
        <v>0.14367816091954022</v>
      </c>
      <c r="N4" s="550">
        <f>1/4.62</f>
        <v>0.21645021645021645</v>
      </c>
      <c r="O4" s="550">
        <f>1/4.62</f>
        <v>0.21645021645021645</v>
      </c>
      <c r="P4" s="550">
        <f>1/4.62</f>
        <v>0.21645021645021645</v>
      </c>
      <c r="Q4" s="550">
        <f>1/4.62</f>
        <v>0.21645021645021645</v>
      </c>
      <c r="R4" s="550">
        <f>1/4.62</f>
        <v>0.21645021645021645</v>
      </c>
      <c r="S4" s="550">
        <f>1/5.37</f>
        <v>0.18621973929236499</v>
      </c>
      <c r="T4" s="550">
        <f>1/5.37</f>
        <v>0.18621973929236499</v>
      </c>
      <c r="U4" s="550">
        <f>1/5.37</f>
        <v>0.18621973929236499</v>
      </c>
      <c r="V4" s="550">
        <f>1/6.3</f>
        <v>0.15873015873015872</v>
      </c>
      <c r="W4" s="550">
        <f>1/6.3</f>
        <v>0.15873015873015872</v>
      </c>
      <c r="X4" s="550">
        <f>1/6.63</f>
        <v>0.15082956259426847</v>
      </c>
      <c r="Y4" s="562"/>
    </row>
    <row r="5" spans="1:25">
      <c r="A5" s="696"/>
      <c r="B5" s="696"/>
      <c r="C5" s="697"/>
      <c r="D5" s="697"/>
      <c r="E5" s="696"/>
      <c r="F5" s="551" t="s">
        <v>126</v>
      </c>
      <c r="G5" s="551">
        <v>2001</v>
      </c>
      <c r="H5" s="551"/>
      <c r="I5" s="551">
        <v>8.4000000000000005E-2</v>
      </c>
      <c r="J5" s="551">
        <v>8.4000000000000005E-2</v>
      </c>
      <c r="K5" s="551">
        <v>9.1999999999999998E-2</v>
      </c>
      <c r="L5" s="551">
        <v>9.1999999999999998E-2</v>
      </c>
      <c r="M5" s="551">
        <v>9.1999999999999998E-2</v>
      </c>
      <c r="N5" s="551">
        <v>9.1999999999999998E-2</v>
      </c>
      <c r="O5" s="551">
        <v>9.1999999999999998E-2</v>
      </c>
      <c r="P5" s="551">
        <v>9.1999999999999998E-2</v>
      </c>
      <c r="Q5" s="551">
        <v>9.1999999999999998E-2</v>
      </c>
      <c r="R5" s="551">
        <v>8.4000000000000005E-2</v>
      </c>
      <c r="S5" s="551">
        <v>8.4000000000000005E-2</v>
      </c>
      <c r="T5" s="551">
        <v>8.4000000000000005E-2</v>
      </c>
      <c r="U5" s="551">
        <v>8.4000000000000005E-2</v>
      </c>
      <c r="V5" s="551">
        <v>8.4000000000000005E-2</v>
      </c>
      <c r="W5" s="551">
        <v>8.4000000000000005E-2</v>
      </c>
      <c r="X5" s="551">
        <v>8.4000000000000005E-2</v>
      </c>
      <c r="Y5" s="562"/>
    </row>
    <row r="6" spans="1:25">
      <c r="A6" s="696"/>
      <c r="B6" s="696"/>
      <c r="C6" s="697"/>
      <c r="D6" s="697"/>
      <c r="E6" s="696"/>
      <c r="F6" s="551" t="s">
        <v>127</v>
      </c>
      <c r="G6" s="551">
        <v>2013</v>
      </c>
      <c r="H6" s="551"/>
      <c r="I6" s="551">
        <v>0.10199999999999999</v>
      </c>
      <c r="J6" s="551">
        <v>5.8999999999999997E-2</v>
      </c>
      <c r="K6" s="551">
        <v>0.11</v>
      </c>
      <c r="L6" s="551">
        <v>5.8999999999999997E-2</v>
      </c>
      <c r="M6" s="551">
        <v>0.10199999999999999</v>
      </c>
      <c r="N6" s="551">
        <v>0.11</v>
      </c>
      <c r="O6" s="551">
        <v>0.11</v>
      </c>
      <c r="P6" s="551">
        <v>0.10199999999999999</v>
      </c>
      <c r="Q6" s="551">
        <v>5.8999999999999997E-2</v>
      </c>
      <c r="R6" s="551">
        <v>5.8999999999999997E-2</v>
      </c>
      <c r="S6" s="551">
        <v>5.8999999999999997E-2</v>
      </c>
      <c r="T6" s="551">
        <v>5.8999999999999997E-2</v>
      </c>
      <c r="U6" s="551">
        <v>5.8999999999999997E-2</v>
      </c>
      <c r="V6" s="551">
        <v>5.8999999999999997E-2</v>
      </c>
      <c r="W6" s="551">
        <v>4.2000000000000003E-2</v>
      </c>
      <c r="X6" s="551">
        <v>5.8999999999999997E-2</v>
      </c>
      <c r="Y6" s="562"/>
    </row>
    <row r="7" spans="1:25">
      <c r="A7" s="696"/>
      <c r="B7" s="696"/>
      <c r="C7" s="697"/>
      <c r="D7" s="697"/>
      <c r="E7" s="696"/>
      <c r="F7" s="551" t="s">
        <v>128</v>
      </c>
      <c r="G7" s="552">
        <v>2025</v>
      </c>
      <c r="H7" s="552"/>
      <c r="I7" s="552">
        <v>7.8E-2</v>
      </c>
      <c r="J7" s="552">
        <v>5.2999999999999999E-2</v>
      </c>
      <c r="K7" s="552">
        <v>0.10199999999999999</v>
      </c>
      <c r="L7" s="552">
        <v>5.2999999999999999E-2</v>
      </c>
      <c r="M7" s="552">
        <v>9.5000000000000001E-2</v>
      </c>
      <c r="N7" s="552">
        <v>0.10199999999999999</v>
      </c>
      <c r="O7" s="552">
        <v>0.10199999999999999</v>
      </c>
      <c r="P7" s="552">
        <v>9.5000000000000001E-2</v>
      </c>
      <c r="Q7" s="552">
        <v>5.2999999999999999E-2</v>
      </c>
      <c r="R7" s="552">
        <v>5.2999999999999999E-2</v>
      </c>
      <c r="S7" s="552">
        <v>4.2000000000000003E-2</v>
      </c>
      <c r="T7" s="552">
        <v>5.2999999999999999E-2</v>
      </c>
      <c r="U7" s="552">
        <v>5.2999999999999999E-2</v>
      </c>
      <c r="V7" s="552">
        <v>5.2999999999999999E-2</v>
      </c>
      <c r="W7" s="552">
        <v>3.7999999999999999E-2</v>
      </c>
      <c r="X7" s="552">
        <v>5.2999999999999999E-2</v>
      </c>
      <c r="Y7" s="562"/>
    </row>
    <row r="8" spans="1:25" ht="26.4">
      <c r="A8" s="696" t="s">
        <v>129</v>
      </c>
      <c r="B8" s="696" t="s">
        <v>130</v>
      </c>
      <c r="C8" s="698" t="s">
        <v>131</v>
      </c>
      <c r="D8" s="699" t="s">
        <v>1145</v>
      </c>
      <c r="E8" s="696" t="s">
        <v>120</v>
      </c>
      <c r="F8" s="551" t="s">
        <v>121</v>
      </c>
      <c r="G8" s="551" t="s">
        <v>122</v>
      </c>
      <c r="H8" s="554" t="s">
        <v>132</v>
      </c>
      <c r="I8" s="551">
        <v>5.7000000000000002E-2</v>
      </c>
      <c r="J8" s="551">
        <v>5.7000000000000002E-2</v>
      </c>
      <c r="K8" s="551">
        <v>5.7000000000000002E-2</v>
      </c>
      <c r="L8" s="551">
        <v>5.7000000000000002E-2</v>
      </c>
      <c r="M8" s="551">
        <v>5.7000000000000002E-2</v>
      </c>
      <c r="N8" s="551">
        <v>7.8E-2</v>
      </c>
      <c r="O8" s="551">
        <v>7.8E-2</v>
      </c>
      <c r="P8" s="551">
        <v>7.8E-2</v>
      </c>
      <c r="Q8" s="551">
        <v>7.8E-2</v>
      </c>
      <c r="R8" s="551">
        <v>7.8E-2</v>
      </c>
      <c r="S8" s="551">
        <v>5.7000000000000002E-2</v>
      </c>
      <c r="T8" s="551">
        <v>5.7000000000000002E-2</v>
      </c>
      <c r="U8" s="551">
        <v>5.7000000000000002E-2</v>
      </c>
      <c r="V8" s="551">
        <v>5.7000000000000002E-2</v>
      </c>
      <c r="W8" s="551">
        <v>5.7000000000000002E-2</v>
      </c>
      <c r="X8" s="551">
        <v>5.7000000000000002E-2</v>
      </c>
      <c r="Y8" s="562"/>
    </row>
    <row r="9" spans="1:25" ht="26.4">
      <c r="A9" s="696"/>
      <c r="B9" s="696"/>
      <c r="C9" s="696"/>
      <c r="D9" s="699"/>
      <c r="E9" s="696"/>
      <c r="F9" s="551" t="s">
        <v>124</v>
      </c>
      <c r="G9" s="551">
        <v>1992</v>
      </c>
      <c r="H9" s="554" t="s">
        <v>132</v>
      </c>
      <c r="I9" s="551">
        <v>5.7000000000000002E-2</v>
      </c>
      <c r="J9" s="551">
        <v>5.7000000000000002E-2</v>
      </c>
      <c r="K9" s="551">
        <v>5.7000000000000002E-2</v>
      </c>
      <c r="L9" s="551">
        <v>5.7000000000000002E-2</v>
      </c>
      <c r="M9" s="551">
        <v>5.7000000000000002E-2</v>
      </c>
      <c r="N9" s="551">
        <v>7.8E-2</v>
      </c>
      <c r="O9" s="551">
        <v>7.8E-2</v>
      </c>
      <c r="P9" s="551">
        <v>7.8E-2</v>
      </c>
      <c r="Q9" s="551">
        <v>7.8E-2</v>
      </c>
      <c r="R9" s="551">
        <v>7.8E-2</v>
      </c>
      <c r="S9" s="551">
        <v>5.7000000000000002E-2</v>
      </c>
      <c r="T9" s="551">
        <v>5.7000000000000002E-2</v>
      </c>
      <c r="U9" s="551">
        <v>5.7000000000000002E-2</v>
      </c>
      <c r="V9" s="551">
        <v>5.7000000000000002E-2</v>
      </c>
      <c r="W9" s="551">
        <v>5.7000000000000002E-2</v>
      </c>
      <c r="X9" s="551">
        <v>5.7000000000000002E-2</v>
      </c>
      <c r="Y9" s="562"/>
    </row>
    <row r="10" spans="1:25">
      <c r="A10" s="696"/>
      <c r="B10" s="696"/>
      <c r="C10" s="696"/>
      <c r="D10" s="699"/>
      <c r="E10" s="696"/>
      <c r="F10" s="551" t="s">
        <v>126</v>
      </c>
      <c r="G10" s="551">
        <v>2001</v>
      </c>
      <c r="H10" s="551"/>
      <c r="I10" s="551">
        <v>5.7000000000000002E-2</v>
      </c>
      <c r="J10" s="551">
        <v>5.7000000000000002E-2</v>
      </c>
      <c r="K10" s="551">
        <v>5.7000000000000002E-2</v>
      </c>
      <c r="L10" s="551">
        <v>5.7000000000000002E-2</v>
      </c>
      <c r="M10" s="551">
        <v>5.7000000000000002E-2</v>
      </c>
      <c r="N10" s="551">
        <v>7.8E-2</v>
      </c>
      <c r="O10" s="551">
        <v>7.8E-2</v>
      </c>
      <c r="P10" s="551">
        <v>7.8E-2</v>
      </c>
      <c r="Q10" s="551">
        <v>7.8E-2</v>
      </c>
      <c r="R10" s="551">
        <v>5.7000000000000002E-2</v>
      </c>
      <c r="S10" s="551">
        <v>5.7000000000000002E-2</v>
      </c>
      <c r="T10" s="551">
        <v>5.7000000000000002E-2</v>
      </c>
      <c r="U10" s="551">
        <v>5.7000000000000002E-2</v>
      </c>
      <c r="V10" s="551">
        <v>5.7000000000000002E-2</v>
      </c>
      <c r="W10" s="551">
        <v>5.7000000000000002E-2</v>
      </c>
      <c r="X10" s="551">
        <v>5.7000000000000002E-2</v>
      </c>
      <c r="Y10" s="562"/>
    </row>
    <row r="11" spans="1:25">
      <c r="A11" s="696"/>
      <c r="B11" s="696"/>
      <c r="C11" s="696"/>
      <c r="D11" s="699"/>
      <c r="E11" s="696"/>
      <c r="F11" s="551" t="s">
        <v>127</v>
      </c>
      <c r="G11" s="551">
        <v>2013</v>
      </c>
      <c r="H11" s="551"/>
      <c r="I11" s="551">
        <v>4.9000000000000002E-2</v>
      </c>
      <c r="J11" s="551">
        <v>3.9E-2</v>
      </c>
      <c r="K11" s="551">
        <v>3.9E-2</v>
      </c>
      <c r="L11" s="551">
        <v>3.9E-2</v>
      </c>
      <c r="M11" s="551">
        <v>4.9000000000000002E-2</v>
      </c>
      <c r="N11" s="551">
        <v>7.4999999999999997E-2</v>
      </c>
      <c r="O11" s="551">
        <v>6.7000000000000004E-2</v>
      </c>
      <c r="P11" s="551">
        <v>6.7000000000000004E-2</v>
      </c>
      <c r="Q11" s="551">
        <v>3.9E-2</v>
      </c>
      <c r="R11" s="551">
        <v>3.9E-2</v>
      </c>
      <c r="S11" s="551">
        <v>3.9E-2</v>
      </c>
      <c r="T11" s="551">
        <v>3.9E-2</v>
      </c>
      <c r="U11" s="551">
        <v>3.9E-2</v>
      </c>
      <c r="V11" s="551">
        <v>3.9E-2</v>
      </c>
      <c r="W11" s="551">
        <v>3.9E-2</v>
      </c>
      <c r="X11" s="551">
        <v>3.9E-2</v>
      </c>
      <c r="Y11" s="562"/>
    </row>
    <row r="12" spans="1:25">
      <c r="A12" s="696"/>
      <c r="B12" s="696"/>
      <c r="C12" s="696"/>
      <c r="D12" s="699"/>
      <c r="E12" s="696"/>
      <c r="F12" s="551" t="s">
        <v>128</v>
      </c>
      <c r="G12" s="552">
        <v>2025</v>
      </c>
      <c r="H12" s="552"/>
      <c r="I12" s="552">
        <v>2.8000000000000001E-2</v>
      </c>
      <c r="J12" s="552">
        <v>2.8000000000000001E-2</v>
      </c>
      <c r="K12" s="552">
        <v>2.8000000000000001E-2</v>
      </c>
      <c r="L12" s="552">
        <v>2.8000000000000001E-2</v>
      </c>
      <c r="M12" s="552">
        <v>2.8000000000000001E-2</v>
      </c>
      <c r="N12" s="552">
        <v>4.7E-2</v>
      </c>
      <c r="O12" s="552">
        <v>4.7E-2</v>
      </c>
      <c r="P12" s="552">
        <v>4.7E-2</v>
      </c>
      <c r="Q12" s="552">
        <v>2.8000000000000001E-2</v>
      </c>
      <c r="R12" s="552">
        <v>2.8000000000000001E-2</v>
      </c>
      <c r="S12" s="552">
        <v>2.8000000000000001E-2</v>
      </c>
      <c r="T12" s="552">
        <v>2.8000000000000001E-2</v>
      </c>
      <c r="U12" s="552">
        <v>2.8000000000000001E-2</v>
      </c>
      <c r="V12" s="552">
        <v>2.8000000000000001E-2</v>
      </c>
      <c r="W12" s="552">
        <v>2.8000000000000001E-2</v>
      </c>
      <c r="X12" s="552">
        <v>2.8000000000000001E-2</v>
      </c>
      <c r="Y12" s="562"/>
    </row>
    <row r="13" spans="1:25">
      <c r="A13" s="696" t="s">
        <v>133</v>
      </c>
      <c r="B13" s="696" t="s">
        <v>130</v>
      </c>
      <c r="C13" s="696" t="s">
        <v>134</v>
      </c>
      <c r="D13" s="697" t="s">
        <v>135</v>
      </c>
      <c r="E13" s="696" t="s">
        <v>120</v>
      </c>
      <c r="F13" s="551" t="s">
        <v>121</v>
      </c>
      <c r="G13" s="551" t="s">
        <v>122</v>
      </c>
      <c r="H13" s="664" t="s">
        <v>136</v>
      </c>
      <c r="I13" s="553">
        <f>1.12*0.53+I$15*0.47</f>
        <v>0.82390000000000008</v>
      </c>
      <c r="J13" s="553">
        <f t="shared" ref="J13:X14" si="0">1.12*0.53+J$15*0.47</f>
        <v>0.82390000000000008</v>
      </c>
      <c r="K13" s="553">
        <f t="shared" si="0"/>
        <v>0.97430000000000017</v>
      </c>
      <c r="L13" s="553">
        <f t="shared" si="0"/>
        <v>0.97430000000000017</v>
      </c>
      <c r="M13" s="553">
        <f t="shared" si="0"/>
        <v>0.97430000000000017</v>
      </c>
      <c r="N13" s="553">
        <f t="shared" si="0"/>
        <v>0.97430000000000017</v>
      </c>
      <c r="O13" s="553">
        <f t="shared" si="0"/>
        <v>0.97430000000000017</v>
      </c>
      <c r="P13" s="553">
        <f t="shared" si="0"/>
        <v>0.97430000000000017</v>
      </c>
      <c r="Q13" s="553">
        <f t="shared" si="0"/>
        <v>0.97430000000000017</v>
      </c>
      <c r="R13" s="553">
        <f t="shared" si="0"/>
        <v>0.82390000000000008</v>
      </c>
      <c r="S13" s="553">
        <f t="shared" si="0"/>
        <v>0.82390000000000008</v>
      </c>
      <c r="T13" s="553">
        <f t="shared" si="0"/>
        <v>0.82390000000000008</v>
      </c>
      <c r="U13" s="553">
        <f t="shared" si="0"/>
        <v>0.82390000000000008</v>
      </c>
      <c r="V13" s="553">
        <f t="shared" si="0"/>
        <v>0.82390000000000008</v>
      </c>
      <c r="W13" s="553">
        <f t="shared" si="0"/>
        <v>0.82390000000000008</v>
      </c>
      <c r="X13" s="553">
        <f t="shared" si="0"/>
        <v>0.82390000000000008</v>
      </c>
      <c r="Y13" s="562"/>
    </row>
    <row r="14" spans="1:25">
      <c r="A14" s="696"/>
      <c r="B14" s="696"/>
      <c r="C14" s="696"/>
      <c r="D14" s="697"/>
      <c r="E14" s="696"/>
      <c r="F14" s="551" t="s">
        <v>124</v>
      </c>
      <c r="G14" s="555">
        <v>1984</v>
      </c>
      <c r="H14" s="664" t="s">
        <v>137</v>
      </c>
      <c r="I14" s="553">
        <f>1.12*0.53+I$15*0.47</f>
        <v>0.82390000000000008</v>
      </c>
      <c r="J14" s="553">
        <f t="shared" si="0"/>
        <v>0.82390000000000008</v>
      </c>
      <c r="K14" s="553">
        <f t="shared" si="0"/>
        <v>0.97430000000000017</v>
      </c>
      <c r="L14" s="553">
        <f t="shared" si="0"/>
        <v>0.97430000000000017</v>
      </c>
      <c r="M14" s="553">
        <f t="shared" si="0"/>
        <v>0.97430000000000017</v>
      </c>
      <c r="N14" s="553">
        <f t="shared" si="0"/>
        <v>0.97430000000000017</v>
      </c>
      <c r="O14" s="553">
        <f t="shared" si="0"/>
        <v>0.97430000000000017</v>
      </c>
      <c r="P14" s="553">
        <f t="shared" si="0"/>
        <v>0.97430000000000017</v>
      </c>
      <c r="Q14" s="553">
        <f t="shared" si="0"/>
        <v>0.97430000000000017</v>
      </c>
      <c r="R14" s="553">
        <f t="shared" si="0"/>
        <v>0.82390000000000008</v>
      </c>
      <c r="S14" s="553">
        <f t="shared" si="0"/>
        <v>0.82390000000000008</v>
      </c>
      <c r="T14" s="553">
        <f t="shared" si="0"/>
        <v>0.82390000000000008</v>
      </c>
      <c r="U14" s="553">
        <f t="shared" si="0"/>
        <v>0.82390000000000008</v>
      </c>
      <c r="V14" s="553">
        <f t="shared" si="0"/>
        <v>0.82390000000000008</v>
      </c>
      <c r="W14" s="553">
        <f t="shared" si="0"/>
        <v>0.82390000000000008</v>
      </c>
      <c r="X14" s="553">
        <f t="shared" si="0"/>
        <v>0.82390000000000008</v>
      </c>
      <c r="Y14" s="562"/>
    </row>
    <row r="15" spans="1:25">
      <c r="A15" s="696"/>
      <c r="B15" s="696"/>
      <c r="C15" s="696"/>
      <c r="D15" s="696" t="s">
        <v>138</v>
      </c>
      <c r="E15" s="696"/>
      <c r="F15" s="551" t="s">
        <v>126</v>
      </c>
      <c r="G15" s="551">
        <v>2001</v>
      </c>
      <c r="H15" s="665"/>
      <c r="I15" s="551">
        <v>0.49</v>
      </c>
      <c r="J15" s="551">
        <v>0.49</v>
      </c>
      <c r="K15" s="551">
        <v>0.81</v>
      </c>
      <c r="L15" s="551">
        <v>0.81</v>
      </c>
      <c r="M15" s="551">
        <v>0.81</v>
      </c>
      <c r="N15" s="551">
        <v>0.81</v>
      </c>
      <c r="O15" s="551">
        <v>0.81</v>
      </c>
      <c r="P15" s="551">
        <v>0.81</v>
      </c>
      <c r="Q15" s="551">
        <v>0.81</v>
      </c>
      <c r="R15" s="551">
        <v>0.49</v>
      </c>
      <c r="S15" s="551">
        <v>0.49</v>
      </c>
      <c r="T15" s="551">
        <v>0.49</v>
      </c>
      <c r="U15" s="551">
        <v>0.49</v>
      </c>
      <c r="V15" s="551">
        <v>0.49</v>
      </c>
      <c r="W15" s="551">
        <v>0.49</v>
      </c>
      <c r="X15" s="551">
        <v>0.49</v>
      </c>
      <c r="Y15" s="562"/>
    </row>
    <row r="16" spans="1:25">
      <c r="A16" s="696"/>
      <c r="B16" s="696"/>
      <c r="C16" s="696"/>
      <c r="D16" s="696"/>
      <c r="E16" s="696"/>
      <c r="F16" s="551" t="s">
        <v>127</v>
      </c>
      <c r="G16" s="551">
        <v>2013</v>
      </c>
      <c r="H16" s="665"/>
      <c r="I16" s="551">
        <v>0.36</v>
      </c>
      <c r="J16" s="551">
        <v>0.36</v>
      </c>
      <c r="K16" s="551">
        <v>0.36</v>
      </c>
      <c r="L16" s="551">
        <v>0.36</v>
      </c>
      <c r="M16" s="551">
        <v>0.36</v>
      </c>
      <c r="N16" s="551">
        <v>0.36</v>
      </c>
      <c r="O16" s="551">
        <v>0.36</v>
      </c>
      <c r="P16" s="551">
        <v>0.36</v>
      </c>
      <c r="Q16" s="551">
        <v>0.36</v>
      </c>
      <c r="R16" s="551">
        <v>0.36</v>
      </c>
      <c r="S16" s="551">
        <v>0.36</v>
      </c>
      <c r="T16" s="551">
        <v>0.36</v>
      </c>
      <c r="U16" s="551">
        <v>0.36</v>
      </c>
      <c r="V16" s="551">
        <v>0.36</v>
      </c>
      <c r="W16" s="551">
        <v>0.36</v>
      </c>
      <c r="X16" s="551">
        <v>0.36</v>
      </c>
      <c r="Y16" s="562"/>
    </row>
    <row r="17" spans="1:50">
      <c r="A17" s="696"/>
      <c r="B17" s="696"/>
      <c r="C17" s="696"/>
      <c r="D17" s="696"/>
      <c r="E17" s="696"/>
      <c r="F17" s="551" t="s">
        <v>128</v>
      </c>
      <c r="G17" s="552">
        <v>2025</v>
      </c>
      <c r="H17" s="666"/>
      <c r="I17" s="552">
        <v>0.36</v>
      </c>
      <c r="J17" s="552">
        <v>0.36</v>
      </c>
      <c r="K17" s="552">
        <v>0.36</v>
      </c>
      <c r="L17" s="552">
        <v>0.36</v>
      </c>
      <c r="M17" s="552">
        <v>0.36</v>
      </c>
      <c r="N17" s="552">
        <v>0.36</v>
      </c>
      <c r="O17" s="552">
        <v>0.36</v>
      </c>
      <c r="P17" s="552">
        <v>0.36</v>
      </c>
      <c r="Q17" s="552">
        <v>0.34</v>
      </c>
      <c r="R17" s="552">
        <v>0.36</v>
      </c>
      <c r="S17" s="552">
        <v>0.34</v>
      </c>
      <c r="T17" s="552">
        <v>0.34</v>
      </c>
      <c r="U17" s="552">
        <v>0.34</v>
      </c>
      <c r="V17" s="552">
        <v>0.34</v>
      </c>
      <c r="W17" s="552">
        <v>0.34</v>
      </c>
      <c r="X17" s="552">
        <v>0.36</v>
      </c>
      <c r="Y17" s="562"/>
    </row>
    <row r="18" spans="1:50">
      <c r="A18" s="696"/>
      <c r="B18" s="696" t="s">
        <v>130</v>
      </c>
      <c r="C18" s="696" t="s">
        <v>134</v>
      </c>
      <c r="D18" s="697" t="s">
        <v>135</v>
      </c>
      <c r="E18" s="696" t="s">
        <v>139</v>
      </c>
      <c r="F18" s="551" t="s">
        <v>121</v>
      </c>
      <c r="G18" s="551" t="s">
        <v>122</v>
      </c>
      <c r="H18" s="665" t="s">
        <v>136</v>
      </c>
      <c r="I18" s="553">
        <f>0.8*0.53+I$20*0.47</f>
        <v>0.64490000000000003</v>
      </c>
      <c r="J18" s="553">
        <f t="shared" ref="J18:X19" si="1">0.8*0.53+J$20*0.47</f>
        <v>0.64490000000000003</v>
      </c>
      <c r="K18" s="553">
        <f t="shared" si="1"/>
        <v>0.7107</v>
      </c>
      <c r="L18" s="553">
        <f t="shared" si="1"/>
        <v>0.7107</v>
      </c>
      <c r="M18" s="553">
        <f t="shared" si="1"/>
        <v>0.7107</v>
      </c>
      <c r="N18" s="553">
        <f t="shared" si="1"/>
        <v>0.7107</v>
      </c>
      <c r="O18" s="553">
        <f t="shared" si="1"/>
        <v>0.7107</v>
      </c>
      <c r="P18" s="553">
        <f t="shared" si="1"/>
        <v>0.7107</v>
      </c>
      <c r="Q18" s="553">
        <f t="shared" si="1"/>
        <v>0.7107</v>
      </c>
      <c r="R18" s="553">
        <f t="shared" si="1"/>
        <v>0.64490000000000003</v>
      </c>
      <c r="S18" s="553">
        <f t="shared" si="1"/>
        <v>0.64490000000000003</v>
      </c>
      <c r="T18" s="553">
        <f t="shared" si="1"/>
        <v>0.64490000000000003</v>
      </c>
      <c r="U18" s="553">
        <f t="shared" si="1"/>
        <v>0.64490000000000003</v>
      </c>
      <c r="V18" s="553">
        <f t="shared" si="1"/>
        <v>0.64490000000000003</v>
      </c>
      <c r="W18" s="553">
        <f t="shared" si="1"/>
        <v>0.64490000000000003</v>
      </c>
      <c r="X18" s="553">
        <f t="shared" si="1"/>
        <v>0.64490000000000003</v>
      </c>
      <c r="Y18" s="562"/>
    </row>
    <row r="19" spans="1:50">
      <c r="A19" s="696"/>
      <c r="B19" s="696"/>
      <c r="C19" s="696"/>
      <c r="D19" s="697"/>
      <c r="E19" s="696"/>
      <c r="F19" s="551" t="s">
        <v>124</v>
      </c>
      <c r="G19" s="555">
        <v>1984</v>
      </c>
      <c r="H19" s="551" t="s">
        <v>137</v>
      </c>
      <c r="I19" s="553">
        <f>0.8*0.53+I$20*0.47</f>
        <v>0.64490000000000003</v>
      </c>
      <c r="J19" s="553">
        <f t="shared" si="1"/>
        <v>0.64490000000000003</v>
      </c>
      <c r="K19" s="553">
        <f t="shared" si="1"/>
        <v>0.7107</v>
      </c>
      <c r="L19" s="553">
        <f t="shared" si="1"/>
        <v>0.7107</v>
      </c>
      <c r="M19" s="553">
        <f t="shared" si="1"/>
        <v>0.7107</v>
      </c>
      <c r="N19" s="553">
        <f t="shared" si="1"/>
        <v>0.7107</v>
      </c>
      <c r="O19" s="553">
        <f t="shared" si="1"/>
        <v>0.7107</v>
      </c>
      <c r="P19" s="553">
        <f t="shared" si="1"/>
        <v>0.7107</v>
      </c>
      <c r="Q19" s="553">
        <f t="shared" si="1"/>
        <v>0.7107</v>
      </c>
      <c r="R19" s="553">
        <f t="shared" si="1"/>
        <v>0.64490000000000003</v>
      </c>
      <c r="S19" s="553">
        <f t="shared" si="1"/>
        <v>0.64490000000000003</v>
      </c>
      <c r="T19" s="553">
        <f t="shared" si="1"/>
        <v>0.64490000000000003</v>
      </c>
      <c r="U19" s="553">
        <f t="shared" si="1"/>
        <v>0.64490000000000003</v>
      </c>
      <c r="V19" s="553">
        <f t="shared" si="1"/>
        <v>0.64490000000000003</v>
      </c>
      <c r="W19" s="553">
        <f t="shared" si="1"/>
        <v>0.64490000000000003</v>
      </c>
      <c r="X19" s="553">
        <f t="shared" si="1"/>
        <v>0.64490000000000003</v>
      </c>
      <c r="Y19" s="562"/>
    </row>
    <row r="20" spans="1:50">
      <c r="A20" s="696"/>
      <c r="B20" s="696"/>
      <c r="C20" s="696"/>
      <c r="D20" s="696" t="s">
        <v>138</v>
      </c>
      <c r="E20" s="696"/>
      <c r="F20" s="696" t="s">
        <v>126</v>
      </c>
      <c r="G20" s="696">
        <v>2001</v>
      </c>
      <c r="H20" s="658" t="s">
        <v>140</v>
      </c>
      <c r="I20" s="551">
        <v>0.47</v>
      </c>
      <c r="J20" s="551">
        <v>0.47</v>
      </c>
      <c r="K20" s="551">
        <v>0.61</v>
      </c>
      <c r="L20" s="551">
        <v>0.61</v>
      </c>
      <c r="M20" s="551">
        <v>0.61</v>
      </c>
      <c r="N20" s="551">
        <v>0.61</v>
      </c>
      <c r="O20" s="551">
        <v>0.61</v>
      </c>
      <c r="P20" s="551">
        <v>0.61</v>
      </c>
      <c r="Q20" s="551">
        <v>0.61</v>
      </c>
      <c r="R20" s="551">
        <v>0.47</v>
      </c>
      <c r="S20" s="551">
        <v>0.47</v>
      </c>
      <c r="T20" s="551">
        <v>0.47</v>
      </c>
      <c r="U20" s="551">
        <v>0.47</v>
      </c>
      <c r="V20" s="551">
        <v>0.47</v>
      </c>
      <c r="W20" s="551">
        <v>0.47</v>
      </c>
      <c r="X20" s="551">
        <v>0.47</v>
      </c>
      <c r="Y20" s="562"/>
    </row>
    <row r="21" spans="1:50">
      <c r="A21" s="696"/>
      <c r="B21" s="696"/>
      <c r="C21" s="696"/>
      <c r="D21" s="696"/>
      <c r="E21" s="696"/>
      <c r="F21" s="696"/>
      <c r="G21" s="696"/>
      <c r="H21" s="551" t="s">
        <v>141</v>
      </c>
      <c r="I21" s="551">
        <v>0.43</v>
      </c>
      <c r="J21" s="551">
        <v>0.36</v>
      </c>
      <c r="K21" s="551">
        <v>0.41</v>
      </c>
      <c r="L21" s="551">
        <v>0.41</v>
      </c>
      <c r="M21" s="551">
        <v>0.41</v>
      </c>
      <c r="N21" s="551">
        <v>0.39</v>
      </c>
      <c r="O21" s="551">
        <v>0.39</v>
      </c>
      <c r="P21" s="551">
        <v>0.39</v>
      </c>
      <c r="Q21" s="551">
        <v>0.39</v>
      </c>
      <c r="R21" s="551">
        <v>0.36</v>
      </c>
      <c r="S21" s="551">
        <v>0.36</v>
      </c>
      <c r="T21" s="551">
        <v>0.36</v>
      </c>
      <c r="U21" s="551">
        <v>0.36</v>
      </c>
      <c r="V21" s="551">
        <v>0.36</v>
      </c>
      <c r="W21" s="551">
        <v>0.36</v>
      </c>
      <c r="X21" s="551">
        <v>0.43</v>
      </c>
      <c r="Y21" s="562"/>
    </row>
    <row r="22" spans="1:50">
      <c r="A22" s="696"/>
      <c r="B22" s="696"/>
      <c r="C22" s="696"/>
      <c r="D22" s="696"/>
      <c r="E22" s="696"/>
      <c r="F22" s="551" t="s">
        <v>127</v>
      </c>
      <c r="G22" s="551">
        <v>2013</v>
      </c>
      <c r="H22" s="551"/>
      <c r="I22" s="551">
        <v>0.25</v>
      </c>
      <c r="J22" s="551">
        <v>0.25</v>
      </c>
      <c r="K22" s="551">
        <v>0.25</v>
      </c>
      <c r="L22" s="551">
        <v>0.25</v>
      </c>
      <c r="M22" s="551">
        <v>0.25</v>
      </c>
      <c r="N22" s="551">
        <v>0.25</v>
      </c>
      <c r="O22" s="551">
        <v>0.25</v>
      </c>
      <c r="P22" s="551">
        <v>0.25</v>
      </c>
      <c r="Q22" s="551">
        <v>0.25</v>
      </c>
      <c r="R22" s="551">
        <v>0.25</v>
      </c>
      <c r="S22" s="551">
        <v>0.25</v>
      </c>
      <c r="T22" s="551">
        <v>0.25</v>
      </c>
      <c r="U22" s="551">
        <v>0.25</v>
      </c>
      <c r="V22" s="551">
        <v>0.25</v>
      </c>
      <c r="W22" s="551">
        <v>0.25</v>
      </c>
      <c r="X22" s="551">
        <v>0.25</v>
      </c>
      <c r="Y22" s="562"/>
    </row>
    <row r="23" spans="1:50">
      <c r="A23" s="696"/>
      <c r="B23" s="696"/>
      <c r="C23" s="696"/>
      <c r="D23" s="696"/>
      <c r="E23" s="696"/>
      <c r="F23" s="551" t="s">
        <v>128</v>
      </c>
      <c r="G23" s="552">
        <v>2025</v>
      </c>
      <c r="H23" s="551"/>
      <c r="I23" s="552">
        <v>0.25</v>
      </c>
      <c r="J23" s="552">
        <v>0.25</v>
      </c>
      <c r="K23" s="552">
        <v>0.25</v>
      </c>
      <c r="L23" s="552">
        <v>0.25</v>
      </c>
      <c r="M23" s="552">
        <v>0.25</v>
      </c>
      <c r="N23" s="552">
        <v>0.25</v>
      </c>
      <c r="O23" s="552">
        <v>0.25</v>
      </c>
      <c r="P23" s="552">
        <v>0.25</v>
      </c>
      <c r="Q23" s="552">
        <v>0.22</v>
      </c>
      <c r="R23" s="552">
        <v>0.25</v>
      </c>
      <c r="S23" s="552">
        <v>0.22</v>
      </c>
      <c r="T23" s="552">
        <v>0.22</v>
      </c>
      <c r="U23" s="552">
        <v>0.22</v>
      </c>
      <c r="V23" s="552">
        <v>0.22</v>
      </c>
      <c r="W23" s="552">
        <v>0.22</v>
      </c>
      <c r="X23" s="552">
        <v>0.25</v>
      </c>
      <c r="Y23" s="562"/>
    </row>
    <row r="24" spans="1:50" ht="15" customHeight="1">
      <c r="A24" s="569"/>
      <c r="B24" s="595"/>
      <c r="C24" s="569"/>
      <c r="D24" s="569"/>
      <c r="E24" s="596"/>
      <c r="F24" s="596"/>
      <c r="G24" s="597"/>
      <c r="H24" s="596"/>
      <c r="I24" s="596"/>
      <c r="J24" s="596"/>
      <c r="K24" s="596"/>
      <c r="L24" s="596"/>
      <c r="M24" s="596"/>
      <c r="N24" s="596"/>
      <c r="O24" s="596"/>
      <c r="P24" s="596"/>
      <c r="Q24" s="596"/>
      <c r="R24" s="596"/>
      <c r="S24" s="596"/>
      <c r="T24" s="596"/>
      <c r="U24" s="596"/>
      <c r="V24" s="596"/>
      <c r="W24" s="596"/>
      <c r="X24" s="596"/>
    </row>
    <row r="25" spans="1:50" ht="25.95" customHeight="1">
      <c r="A25" s="569"/>
      <c r="B25" s="595"/>
      <c r="C25" s="569"/>
      <c r="D25" s="569"/>
      <c r="E25" s="700" t="s">
        <v>142</v>
      </c>
      <c r="F25" s="700"/>
      <c r="G25" s="700"/>
      <c r="H25" s="700"/>
      <c r="I25" s="700"/>
      <c r="J25" s="700"/>
      <c r="K25" s="700"/>
      <c r="L25" s="700"/>
      <c r="M25" s="558"/>
      <c r="N25" s="558"/>
      <c r="O25" s="558"/>
      <c r="P25" s="558"/>
      <c r="Q25" s="558"/>
      <c r="R25" s="558"/>
      <c r="S25" s="558"/>
      <c r="T25" s="558"/>
      <c r="U25" s="558"/>
      <c r="V25" s="558"/>
      <c r="W25" s="558"/>
      <c r="X25" s="558"/>
    </row>
    <row r="26" spans="1:50" ht="18" customHeight="1">
      <c r="A26" s="569"/>
      <c r="B26" s="595"/>
      <c r="C26" s="569"/>
      <c r="D26" s="569"/>
      <c r="E26" s="710" t="s">
        <v>142</v>
      </c>
      <c r="F26" s="551" t="s">
        <v>121</v>
      </c>
      <c r="G26" s="551" t="s">
        <v>122</v>
      </c>
      <c r="H26" s="551" t="s">
        <v>143</v>
      </c>
      <c r="I26" s="713" t="s">
        <v>144</v>
      </c>
      <c r="J26" s="714"/>
      <c r="K26" s="714"/>
      <c r="L26" s="714"/>
      <c r="M26" s="714"/>
      <c r="N26" s="714"/>
      <c r="O26" s="714"/>
      <c r="P26" s="714"/>
      <c r="Q26" s="714"/>
      <c r="R26" s="714"/>
      <c r="S26" s="714"/>
      <c r="T26" s="714"/>
      <c r="U26" s="714"/>
      <c r="V26" s="714"/>
      <c r="W26" s="714"/>
      <c r="X26" s="715"/>
    </row>
    <row r="27" spans="1:50" ht="18" customHeight="1">
      <c r="A27" s="569"/>
      <c r="B27" s="569"/>
      <c r="C27" s="569"/>
      <c r="D27" s="569"/>
      <c r="E27" s="711"/>
      <c r="F27" s="551" t="s">
        <v>124</v>
      </c>
      <c r="G27" s="551">
        <v>1984</v>
      </c>
      <c r="H27" s="551" t="s">
        <v>143</v>
      </c>
      <c r="I27" s="713" t="s">
        <v>144</v>
      </c>
      <c r="J27" s="714"/>
      <c r="K27" s="714"/>
      <c r="L27" s="714"/>
      <c r="M27" s="714"/>
      <c r="N27" s="714"/>
      <c r="O27" s="714"/>
      <c r="P27" s="714"/>
      <c r="Q27" s="714"/>
      <c r="R27" s="714"/>
      <c r="S27" s="714"/>
      <c r="T27" s="714"/>
      <c r="U27" s="714"/>
      <c r="V27" s="714"/>
      <c r="W27" s="714"/>
      <c r="X27" s="715"/>
    </row>
    <row r="28" spans="1:50" ht="18" customHeight="1">
      <c r="A28" s="569"/>
      <c r="B28" s="595"/>
      <c r="C28" s="569"/>
      <c r="D28" s="569"/>
      <c r="E28" s="711"/>
      <c r="F28" s="551" t="s">
        <v>126</v>
      </c>
      <c r="G28" s="551">
        <v>2001</v>
      </c>
      <c r="H28" s="551" t="s">
        <v>143</v>
      </c>
      <c r="I28" s="713" t="s">
        <v>144</v>
      </c>
      <c r="J28" s="714"/>
      <c r="K28" s="714"/>
      <c r="L28" s="714"/>
      <c r="M28" s="714"/>
      <c r="N28" s="714"/>
      <c r="O28" s="714"/>
      <c r="P28" s="714"/>
      <c r="Q28" s="714"/>
      <c r="R28" s="714"/>
      <c r="S28" s="714"/>
      <c r="T28" s="714"/>
      <c r="U28" s="714"/>
      <c r="V28" s="714"/>
      <c r="W28" s="714"/>
      <c r="X28" s="715"/>
      <c r="Y28" s="598"/>
      <c r="AB28" s="678"/>
      <c r="AC28" s="678"/>
      <c r="AD28" s="678"/>
      <c r="AE28" s="678"/>
      <c r="AF28" s="678"/>
      <c r="AG28" s="678"/>
      <c r="AH28" s="678"/>
      <c r="AI28" s="678"/>
      <c r="AJ28" s="678"/>
      <c r="AK28" s="678"/>
      <c r="AL28" s="678"/>
      <c r="AM28" s="678"/>
      <c r="AN28" s="678"/>
      <c r="AO28" s="678"/>
      <c r="AP28" s="678"/>
      <c r="AQ28" s="678"/>
      <c r="AR28" s="678"/>
      <c r="AS28" s="678"/>
      <c r="AT28" s="678"/>
      <c r="AU28" s="678"/>
      <c r="AV28" s="678"/>
      <c r="AW28" s="678"/>
      <c r="AX28" s="678"/>
    </row>
    <row r="29" spans="1:50" ht="18" customHeight="1">
      <c r="A29" s="569"/>
      <c r="B29" s="595"/>
      <c r="C29" s="569"/>
      <c r="D29" s="569"/>
      <c r="E29" s="711"/>
      <c r="F29" s="551" t="s">
        <v>127</v>
      </c>
      <c r="G29" s="551">
        <v>2013</v>
      </c>
      <c r="H29" s="554" t="s">
        <v>145</v>
      </c>
      <c r="I29" s="713" t="s">
        <v>146</v>
      </c>
      <c r="J29" s="714"/>
      <c r="K29" s="714"/>
      <c r="L29" s="714"/>
      <c r="M29" s="714"/>
      <c r="N29" s="714"/>
      <c r="O29" s="714"/>
      <c r="P29" s="714"/>
      <c r="Q29" s="714"/>
      <c r="R29" s="714"/>
      <c r="S29" s="714"/>
      <c r="T29" s="714"/>
      <c r="U29" s="714"/>
      <c r="V29" s="714"/>
      <c r="W29" s="714"/>
      <c r="X29" s="715"/>
      <c r="AB29" s="668"/>
      <c r="AC29" s="668"/>
      <c r="AD29" s="668"/>
      <c r="AE29" s="668"/>
      <c r="AF29" s="668"/>
      <c r="AG29" s="668"/>
      <c r="AH29" s="668"/>
      <c r="AI29" s="668"/>
      <c r="AJ29" s="668"/>
      <c r="AK29" s="668"/>
      <c r="AL29" s="668"/>
      <c r="AM29" s="668"/>
      <c r="AN29" s="668"/>
      <c r="AO29" s="668"/>
      <c r="AP29" s="668"/>
      <c r="AQ29" s="668"/>
      <c r="AR29" s="668"/>
      <c r="AS29" s="668"/>
      <c r="AT29" s="668"/>
      <c r="AU29" s="668"/>
      <c r="AV29" s="668"/>
      <c r="AW29" s="668"/>
      <c r="AX29" s="668"/>
    </row>
    <row r="30" spans="1:50" ht="18" customHeight="1">
      <c r="A30" s="569"/>
      <c r="B30" s="595"/>
      <c r="C30" s="569"/>
      <c r="D30" s="569"/>
      <c r="E30" s="712"/>
      <c r="F30" s="551" t="s">
        <v>128</v>
      </c>
      <c r="G30" s="551">
        <v>2025</v>
      </c>
      <c r="H30" s="554" t="s">
        <v>147</v>
      </c>
      <c r="I30" s="713" t="s">
        <v>146</v>
      </c>
      <c r="J30" s="714"/>
      <c r="K30" s="714"/>
      <c r="L30" s="714"/>
      <c r="M30" s="714"/>
      <c r="N30" s="714"/>
      <c r="O30" s="714"/>
      <c r="P30" s="714"/>
      <c r="Q30" s="714"/>
      <c r="R30" s="714"/>
      <c r="S30" s="714"/>
      <c r="T30" s="714"/>
      <c r="U30" s="714"/>
      <c r="V30" s="714"/>
      <c r="W30" s="714"/>
      <c r="X30" s="715"/>
      <c r="AB30" s="668"/>
      <c r="AC30" s="668"/>
      <c r="AD30" s="668"/>
      <c r="AE30" s="668"/>
      <c r="AF30" s="668"/>
      <c r="AG30" s="668"/>
      <c r="AH30" s="668"/>
      <c r="AI30" s="668"/>
      <c r="AJ30" s="668"/>
      <c r="AK30" s="668"/>
      <c r="AL30" s="668"/>
      <c r="AM30" s="668"/>
      <c r="AN30" s="668"/>
      <c r="AO30" s="668"/>
      <c r="AP30" s="668"/>
      <c r="AQ30" s="668"/>
      <c r="AR30" s="668"/>
      <c r="AS30" s="668"/>
      <c r="AT30" s="668"/>
      <c r="AU30" s="668"/>
      <c r="AV30" s="668"/>
      <c r="AW30" s="668"/>
      <c r="AX30" s="668"/>
    </row>
    <row r="31" spans="1:50">
      <c r="AB31" s="668"/>
      <c r="AC31" s="668"/>
      <c r="AD31" s="668"/>
      <c r="AE31" s="668"/>
      <c r="AF31" s="668"/>
      <c r="AG31" s="668"/>
      <c r="AH31" s="668"/>
      <c r="AI31" s="668"/>
      <c r="AJ31" s="668"/>
      <c r="AK31" s="668"/>
      <c r="AL31" s="668"/>
      <c r="AM31" s="668"/>
      <c r="AN31" s="668"/>
      <c r="AO31" s="668"/>
      <c r="AP31" s="668"/>
      <c r="AQ31" s="668"/>
      <c r="AR31" s="668"/>
      <c r="AS31" s="668"/>
      <c r="AT31" s="668"/>
      <c r="AU31" s="668"/>
      <c r="AV31" s="668"/>
      <c r="AW31" s="668"/>
      <c r="AX31" s="668"/>
    </row>
    <row r="32" spans="1:50">
      <c r="AB32" s="668"/>
      <c r="AC32" s="668"/>
      <c r="AD32" s="668"/>
      <c r="AE32" s="668"/>
      <c r="AF32" s="668"/>
      <c r="AG32" s="668"/>
      <c r="AH32" s="668"/>
      <c r="AI32" s="668"/>
      <c r="AJ32" s="668"/>
      <c r="AK32" s="668"/>
      <c r="AL32" s="668"/>
      <c r="AM32" s="668"/>
      <c r="AN32" s="668"/>
      <c r="AO32" s="668"/>
      <c r="AP32" s="668"/>
      <c r="AQ32" s="668"/>
      <c r="AR32" s="668"/>
      <c r="AS32" s="668"/>
      <c r="AT32" s="668"/>
      <c r="AU32" s="668"/>
      <c r="AV32" s="668"/>
      <c r="AW32" s="668"/>
      <c r="AX32" s="668"/>
    </row>
    <row r="33" spans="1:50">
      <c r="AB33" s="668"/>
      <c r="AC33" s="668"/>
      <c r="AD33" s="668"/>
      <c r="AE33" s="668"/>
      <c r="AF33" s="668"/>
      <c r="AG33" s="668"/>
      <c r="AH33" s="668"/>
      <c r="AI33" s="668"/>
      <c r="AJ33" s="668"/>
      <c r="AK33" s="668"/>
      <c r="AL33" s="668"/>
      <c r="AM33" s="668"/>
      <c r="AN33" s="668"/>
      <c r="AO33" s="668"/>
      <c r="AP33" s="668"/>
      <c r="AQ33" s="668"/>
      <c r="AR33" s="668"/>
      <c r="AS33" s="668"/>
      <c r="AT33" s="668"/>
      <c r="AU33" s="668"/>
      <c r="AV33" s="668"/>
      <c r="AW33" s="668"/>
      <c r="AX33" s="668"/>
    </row>
    <row r="35" spans="1:50" s="565" customFormat="1" ht="17.399999999999999">
      <c r="A35" s="565" t="s">
        <v>76</v>
      </c>
      <c r="E35" s="566"/>
      <c r="F35" s="567"/>
      <c r="G35" s="568"/>
    </row>
    <row r="36" spans="1:50" s="599" customFormat="1" ht="17.399999999999999">
      <c r="E36" s="600"/>
      <c r="F36" s="601"/>
      <c r="G36" s="602"/>
    </row>
    <row r="37" spans="1:50">
      <c r="A37" s="701" t="s">
        <v>142</v>
      </c>
      <c r="B37" s="603" t="s">
        <v>121</v>
      </c>
      <c r="C37" s="603"/>
      <c r="D37" s="603"/>
      <c r="E37" s="704"/>
      <c r="F37" s="705"/>
      <c r="G37" s="705"/>
      <c r="H37" s="705"/>
      <c r="I37" s="705"/>
      <c r="J37" s="705"/>
      <c r="K37" s="705"/>
      <c r="L37" s="705"/>
      <c r="M37" s="705"/>
      <c r="N37" s="705"/>
      <c r="O37" s="705"/>
      <c r="P37" s="705"/>
      <c r="Q37" s="705"/>
      <c r="R37" s="705"/>
      <c r="S37" s="705"/>
      <c r="T37" s="706"/>
    </row>
    <row r="38" spans="1:50">
      <c r="A38" s="702"/>
      <c r="B38" s="603" t="s">
        <v>124</v>
      </c>
      <c r="C38" s="603">
        <v>1984</v>
      </c>
      <c r="D38" s="603" t="s">
        <v>148</v>
      </c>
      <c r="E38" s="704" t="s">
        <v>149</v>
      </c>
      <c r="F38" s="705"/>
      <c r="G38" s="705"/>
      <c r="H38" s="705"/>
      <c r="I38" s="705"/>
      <c r="J38" s="705"/>
      <c r="K38" s="705"/>
      <c r="L38" s="705"/>
      <c r="M38" s="705"/>
      <c r="N38" s="705"/>
      <c r="O38" s="705"/>
      <c r="P38" s="705"/>
      <c r="Q38" s="705"/>
      <c r="R38" s="705"/>
      <c r="S38" s="705"/>
      <c r="T38" s="706"/>
    </row>
    <row r="39" spans="1:50">
      <c r="A39" s="702"/>
      <c r="B39" s="603" t="s">
        <v>126</v>
      </c>
      <c r="C39" s="603">
        <v>2001</v>
      </c>
      <c r="D39" s="603" t="s">
        <v>150</v>
      </c>
      <c r="E39" s="707" t="s">
        <v>151</v>
      </c>
      <c r="F39" s="708"/>
      <c r="G39" s="708"/>
      <c r="H39" s="708"/>
      <c r="I39" s="708"/>
      <c r="J39" s="708"/>
      <c r="K39" s="708"/>
      <c r="L39" s="708"/>
      <c r="M39" s="708"/>
      <c r="N39" s="708"/>
      <c r="O39" s="708"/>
      <c r="P39" s="708"/>
      <c r="Q39" s="708"/>
      <c r="R39" s="708"/>
      <c r="S39" s="708"/>
      <c r="T39" s="709"/>
    </row>
    <row r="40" spans="1:50">
      <c r="A40" s="702"/>
      <c r="B40" s="603" t="s">
        <v>127</v>
      </c>
      <c r="C40" s="603">
        <v>2013</v>
      </c>
      <c r="D40" s="604" t="s">
        <v>152</v>
      </c>
      <c r="E40" s="707" t="s">
        <v>153</v>
      </c>
      <c r="F40" s="708"/>
      <c r="G40" s="708"/>
      <c r="H40" s="708"/>
      <c r="I40" s="708"/>
      <c r="J40" s="708"/>
      <c r="K40" s="708"/>
      <c r="L40" s="708"/>
      <c r="M40" s="708"/>
      <c r="N40" s="708"/>
      <c r="O40" s="708"/>
      <c r="P40" s="708"/>
      <c r="Q40" s="708"/>
      <c r="R40" s="708"/>
      <c r="S40" s="708"/>
      <c r="T40" s="709"/>
    </row>
    <row r="41" spans="1:50" ht="27.6">
      <c r="A41" s="703"/>
      <c r="B41" s="603" t="s">
        <v>128</v>
      </c>
      <c r="C41" s="603">
        <v>2025</v>
      </c>
      <c r="D41" s="604" t="s">
        <v>154</v>
      </c>
      <c r="E41" s="707" t="s">
        <v>153</v>
      </c>
      <c r="F41" s="708"/>
      <c r="G41" s="708"/>
      <c r="H41" s="708"/>
      <c r="I41" s="708"/>
      <c r="J41" s="708"/>
      <c r="K41" s="708"/>
      <c r="L41" s="708"/>
      <c r="M41" s="708"/>
      <c r="N41" s="708"/>
      <c r="O41" s="708"/>
      <c r="P41" s="708"/>
      <c r="Q41" s="708"/>
      <c r="R41" s="708"/>
      <c r="S41" s="708"/>
      <c r="T41" s="709"/>
    </row>
    <row r="42" spans="1:50" s="599" customFormat="1" ht="17.399999999999999">
      <c r="E42" s="600"/>
      <c r="F42" s="601"/>
      <c r="G42" s="602"/>
    </row>
    <row r="43" spans="1:50" s="599" customFormat="1" ht="17.399999999999999">
      <c r="E43" s="600"/>
      <c r="F43" s="601"/>
      <c r="G43" s="602"/>
    </row>
    <row r="44" spans="1:50" s="599" customFormat="1" ht="17.399999999999999">
      <c r="E44" s="600"/>
      <c r="F44" s="601"/>
      <c r="G44" s="602"/>
    </row>
    <row r="45" spans="1:50">
      <c r="B45" s="561"/>
      <c r="E45" s="605"/>
      <c r="F45" s="606"/>
      <c r="I45" s="608" t="s">
        <v>155</v>
      </c>
      <c r="J45" s="608"/>
    </row>
    <row r="46" spans="1:50">
      <c r="A46" s="721" t="s">
        <v>156</v>
      </c>
      <c r="B46" s="721"/>
      <c r="C46" s="719" t="s">
        <v>157</v>
      </c>
      <c r="D46" s="719"/>
      <c r="E46" s="719"/>
      <c r="G46" s="561"/>
      <c r="I46" s="610" t="s">
        <v>158</v>
      </c>
      <c r="J46" s="610" t="s">
        <v>159</v>
      </c>
    </row>
    <row r="47" spans="1:50">
      <c r="A47" s="721"/>
      <c r="B47" s="721"/>
      <c r="C47" s="609" t="s">
        <v>14</v>
      </c>
      <c r="D47" s="609" t="s">
        <v>15</v>
      </c>
      <c r="E47" s="609" t="s">
        <v>16</v>
      </c>
      <c r="G47" s="561"/>
      <c r="I47" s="561">
        <v>1967</v>
      </c>
      <c r="J47" s="561">
        <v>2026.9999999999995</v>
      </c>
    </row>
    <row r="48" spans="1:50">
      <c r="A48" s="720" t="s">
        <v>160</v>
      </c>
      <c r="B48" s="720"/>
      <c r="C48" s="612">
        <f>SUM(J57:J63)/C49</f>
        <v>0.46536942917401369</v>
      </c>
      <c r="D48" s="613">
        <f>SUM(J64:J76)/C49</f>
        <v>0.53462987933478545</v>
      </c>
      <c r="E48" s="612">
        <f>SUM(J72:J76)/C49</f>
        <v>9.3651419285689569E-2</v>
      </c>
      <c r="G48" s="561"/>
      <c r="I48" s="561">
        <v>1968</v>
      </c>
      <c r="J48" s="561">
        <v>3870.8999999999992</v>
      </c>
    </row>
    <row r="49" spans="1:10">
      <c r="A49" s="720" t="s">
        <v>161</v>
      </c>
      <c r="B49" s="720"/>
      <c r="C49" s="719">
        <v>144615</v>
      </c>
      <c r="D49" s="719"/>
      <c r="E49" s="719"/>
      <c r="G49" s="561"/>
      <c r="I49" s="561">
        <v>1969</v>
      </c>
      <c r="J49" s="561">
        <v>4189.2000000000007</v>
      </c>
    </row>
    <row r="50" spans="1:10">
      <c r="A50" s="606"/>
      <c r="B50" s="606"/>
      <c r="C50" s="606"/>
      <c r="D50" s="606"/>
      <c r="E50" s="606"/>
      <c r="G50" s="561"/>
      <c r="I50" s="561">
        <v>1970</v>
      </c>
      <c r="J50" s="561">
        <v>3556.1</v>
      </c>
    </row>
    <row r="51" spans="1:10">
      <c r="A51" s="606"/>
      <c r="B51" s="606"/>
      <c r="C51" s="606"/>
      <c r="D51" s="606"/>
      <c r="E51" s="606"/>
      <c r="G51" s="561"/>
      <c r="I51" s="561">
        <v>1972</v>
      </c>
      <c r="J51" s="561">
        <v>6100.0000000000009</v>
      </c>
    </row>
    <row r="52" spans="1:10">
      <c r="A52" s="606"/>
      <c r="B52" s="606"/>
      <c r="C52" s="606"/>
      <c r="D52" s="606"/>
      <c r="E52" s="606"/>
      <c r="G52" s="561"/>
      <c r="I52" s="561">
        <v>1973</v>
      </c>
      <c r="J52" s="561">
        <v>6863.0999999999995</v>
      </c>
    </row>
    <row r="53" spans="1:10">
      <c r="A53" s="606"/>
      <c r="B53" s="606"/>
      <c r="C53" s="606"/>
      <c r="D53" s="606"/>
      <c r="E53" s="606"/>
      <c r="G53" s="561"/>
      <c r="I53" s="561">
        <v>1974</v>
      </c>
      <c r="J53" s="561">
        <v>4880.1000000000013</v>
      </c>
    </row>
    <row r="54" spans="1:10">
      <c r="A54" s="717" t="s">
        <v>4</v>
      </c>
      <c r="B54" s="718" t="s">
        <v>162</v>
      </c>
      <c r="C54" s="718"/>
      <c r="D54" s="718"/>
      <c r="E54" s="606"/>
      <c r="G54" s="561"/>
      <c r="I54" s="561">
        <v>1975</v>
      </c>
      <c r="J54" s="561">
        <v>3714.8000000000006</v>
      </c>
    </row>
    <row r="55" spans="1:10">
      <c r="A55" s="717"/>
      <c r="B55" s="614" t="s">
        <v>163</v>
      </c>
      <c r="C55" s="614" t="s">
        <v>164</v>
      </c>
      <c r="D55" s="614" t="s">
        <v>165</v>
      </c>
      <c r="E55" s="606"/>
      <c r="G55" s="561"/>
      <c r="I55" s="561">
        <v>1976</v>
      </c>
      <c r="J55" s="561">
        <v>4880.2000000000035</v>
      </c>
    </row>
    <row r="56" spans="1:10">
      <c r="A56" s="611" t="s">
        <v>22</v>
      </c>
      <c r="B56" s="615">
        <v>0.39971928553285252</v>
      </c>
      <c r="C56" s="615">
        <v>0.30192708680777003</v>
      </c>
      <c r="D56" s="615">
        <v>0.29835362765937756</v>
      </c>
      <c r="E56" s="606"/>
      <c r="G56" s="561"/>
      <c r="I56" s="616">
        <v>1977</v>
      </c>
      <c r="J56" s="561">
        <v>8079.2000000000007</v>
      </c>
    </row>
    <row r="57" spans="1:10">
      <c r="A57" s="561" t="s">
        <v>166</v>
      </c>
      <c r="B57" s="561"/>
      <c r="G57" s="561"/>
      <c r="I57" s="617">
        <v>1978</v>
      </c>
      <c r="J57" s="561">
        <v>11207.1</v>
      </c>
    </row>
    <row r="58" spans="1:10">
      <c r="B58" s="561"/>
      <c r="G58" s="561"/>
      <c r="I58" s="561">
        <v>1979</v>
      </c>
      <c r="J58" s="561">
        <v>11514.29999999999</v>
      </c>
    </row>
    <row r="59" spans="1:10">
      <c r="B59" s="561"/>
      <c r="G59" s="561"/>
      <c r="I59" s="561">
        <v>1980</v>
      </c>
      <c r="J59" s="561">
        <v>10623.3</v>
      </c>
    </row>
    <row r="60" spans="1:10">
      <c r="B60" s="561"/>
      <c r="G60" s="561"/>
      <c r="I60" s="561">
        <v>1981</v>
      </c>
      <c r="J60" s="561">
        <v>9803.7000000000098</v>
      </c>
    </row>
    <row r="61" spans="1:10">
      <c r="B61" s="561"/>
      <c r="G61" s="561"/>
      <c r="I61" s="561">
        <v>1982</v>
      </c>
      <c r="J61" s="561">
        <v>6793.7999999999993</v>
      </c>
    </row>
    <row r="62" spans="1:10">
      <c r="B62" s="561"/>
      <c r="G62" s="561"/>
      <c r="I62" s="561">
        <v>1983</v>
      </c>
      <c r="J62" s="561">
        <v>8163.7999999999975</v>
      </c>
    </row>
    <row r="63" spans="1:10">
      <c r="B63" s="561"/>
      <c r="G63" s="561"/>
      <c r="I63" s="561">
        <v>1984</v>
      </c>
      <c r="J63" s="561">
        <v>9193.399999999996</v>
      </c>
    </row>
    <row r="64" spans="1:10">
      <c r="B64" s="561"/>
      <c r="G64" s="561"/>
      <c r="I64" s="561">
        <v>1985</v>
      </c>
      <c r="J64" s="561">
        <v>9504.1999999999989</v>
      </c>
    </row>
    <row r="65" spans="2:10">
      <c r="B65" s="561"/>
      <c r="G65" s="561"/>
      <c r="I65" s="561">
        <v>1986</v>
      </c>
      <c r="J65" s="561">
        <v>9643.0999999999967</v>
      </c>
    </row>
    <row r="66" spans="2:10">
      <c r="B66" s="561"/>
      <c r="G66" s="561"/>
      <c r="I66" s="561">
        <v>1987</v>
      </c>
      <c r="J66" s="561">
        <v>9179.1000000000076</v>
      </c>
    </row>
    <row r="67" spans="2:10">
      <c r="B67" s="561"/>
      <c r="G67" s="561"/>
      <c r="I67" s="561">
        <v>1988</v>
      </c>
      <c r="J67" s="561">
        <v>9271.9999999999964</v>
      </c>
    </row>
    <row r="68" spans="2:10">
      <c r="B68" s="561"/>
      <c r="G68" s="561"/>
      <c r="I68" s="561">
        <v>1989</v>
      </c>
      <c r="J68" s="561">
        <v>9525.0999999999949</v>
      </c>
    </row>
    <row r="69" spans="2:10">
      <c r="B69" s="561"/>
      <c r="G69" s="561"/>
      <c r="I69" s="561">
        <v>1990</v>
      </c>
      <c r="J69" s="561">
        <v>7947.300000000002</v>
      </c>
    </row>
    <row r="70" spans="2:10">
      <c r="B70" s="561"/>
      <c r="G70" s="561"/>
      <c r="I70" s="561">
        <v>1991</v>
      </c>
      <c r="J70" s="561">
        <v>5125.9000000000033</v>
      </c>
    </row>
    <row r="71" spans="2:10">
      <c r="B71" s="561"/>
      <c r="G71" s="561"/>
      <c r="I71" s="561">
        <v>1992</v>
      </c>
      <c r="J71" s="561">
        <v>3575.3999999999996</v>
      </c>
    </row>
    <row r="72" spans="2:10">
      <c r="B72" s="561"/>
      <c r="G72" s="561"/>
      <c r="I72" s="561">
        <v>1993</v>
      </c>
      <c r="J72" s="561">
        <v>2568.0999999999995</v>
      </c>
    </row>
    <row r="73" spans="2:10">
      <c r="B73" s="561"/>
      <c r="G73" s="561"/>
      <c r="I73" s="561">
        <v>1994</v>
      </c>
      <c r="J73" s="561">
        <v>2289.7999999999993</v>
      </c>
    </row>
    <row r="74" spans="2:10">
      <c r="B74" s="561"/>
      <c r="G74" s="561"/>
      <c r="I74" s="561">
        <v>1995</v>
      </c>
      <c r="J74" s="561">
        <v>2838.9999999999986</v>
      </c>
    </row>
    <row r="75" spans="2:10">
      <c r="B75" s="561"/>
      <c r="G75" s="561"/>
      <c r="I75" s="561">
        <v>1996</v>
      </c>
      <c r="J75" s="561">
        <v>2671.7999999999984</v>
      </c>
    </row>
    <row r="76" spans="2:10">
      <c r="B76" s="561"/>
      <c r="G76" s="561"/>
      <c r="I76" s="616">
        <v>1997</v>
      </c>
      <c r="J76" s="561">
        <v>3174.6999999999994</v>
      </c>
    </row>
    <row r="77" spans="2:10">
      <c r="B77" s="561"/>
      <c r="G77" s="561"/>
      <c r="I77" s="617">
        <v>1998</v>
      </c>
      <c r="J77" s="561">
        <v>3634.4000000000015</v>
      </c>
    </row>
    <row r="78" spans="2:10">
      <c r="B78" s="561"/>
      <c r="G78" s="561"/>
      <c r="I78" s="561">
        <v>1999</v>
      </c>
      <c r="J78" s="561">
        <v>4133.8000000000029</v>
      </c>
    </row>
    <row r="79" spans="2:10">
      <c r="B79" s="561"/>
      <c r="G79" s="561"/>
      <c r="I79" s="561">
        <v>2000</v>
      </c>
      <c r="J79" s="561">
        <v>5601.9</v>
      </c>
    </row>
    <row r="80" spans="2:10">
      <c r="B80" s="561"/>
      <c r="G80" s="561"/>
      <c r="I80" s="561">
        <v>2001</v>
      </c>
      <c r="J80" s="561">
        <v>4625</v>
      </c>
    </row>
    <row r="81" spans="2:12">
      <c r="B81" s="561"/>
      <c r="G81" s="561"/>
      <c r="I81" s="561">
        <v>2002</v>
      </c>
      <c r="J81" s="561">
        <v>3662.1999999999975</v>
      </c>
    </row>
    <row r="82" spans="2:12">
      <c r="B82" s="561"/>
      <c r="G82" s="561"/>
      <c r="I82" s="561">
        <v>2003</v>
      </c>
      <c r="J82" s="561">
        <v>3457.3999999999978</v>
      </c>
    </row>
    <row r="83" spans="2:12">
      <c r="B83" s="561"/>
      <c r="G83" s="561"/>
      <c r="I83" s="561">
        <v>2004</v>
      </c>
      <c r="J83" s="561">
        <v>3970.8999999999996</v>
      </c>
    </row>
    <row r="84" spans="2:12">
      <c r="B84" s="561"/>
      <c r="G84" s="561"/>
      <c r="I84" s="561">
        <v>2005</v>
      </c>
      <c r="J84" s="561">
        <v>2914.1</v>
      </c>
    </row>
    <row r="85" spans="2:12">
      <c r="B85" s="561"/>
      <c r="G85" s="561"/>
      <c r="I85" s="561">
        <v>2006</v>
      </c>
      <c r="J85" s="561">
        <v>4931.8999999999951</v>
      </c>
    </row>
    <row r="86" spans="2:12">
      <c r="B86" s="561"/>
      <c r="G86" s="561"/>
      <c r="I86" s="616">
        <v>2007</v>
      </c>
      <c r="J86" s="561">
        <v>3940.8999999999983</v>
      </c>
    </row>
    <row r="87" spans="2:12" ht="15" customHeight="1">
      <c r="B87" s="561"/>
      <c r="G87" s="561"/>
      <c r="I87" s="617">
        <v>2008</v>
      </c>
      <c r="J87" s="561">
        <v>2448.1000000000026</v>
      </c>
    </row>
    <row r="88" spans="2:12" ht="15" customHeight="1">
      <c r="B88" s="561"/>
      <c r="G88" s="561"/>
      <c r="I88" s="561">
        <v>2009</v>
      </c>
      <c r="J88" s="561">
        <v>1025.2</v>
      </c>
    </row>
    <row r="89" spans="2:12" ht="15" customHeight="1">
      <c r="B89" s="561"/>
      <c r="G89" s="561"/>
      <c r="I89" s="561">
        <v>2010</v>
      </c>
      <c r="J89" s="561">
        <v>671.40000000000009</v>
      </c>
    </row>
    <row r="90" spans="2:12">
      <c r="B90" s="561"/>
      <c r="G90" s="561"/>
      <c r="I90" s="561">
        <v>2011</v>
      </c>
      <c r="J90" s="561">
        <v>539.19999999999993</v>
      </c>
    </row>
    <row r="91" spans="2:12">
      <c r="B91" s="561"/>
      <c r="G91" s="561"/>
      <c r="I91" s="561">
        <v>2012</v>
      </c>
      <c r="J91" s="561">
        <v>387.29999999999995</v>
      </c>
      <c r="L91" s="618">
        <f>SUM(J87:J92)/SUM(J87:J97)</f>
        <v>0.68164690860383326</v>
      </c>
    </row>
    <row r="92" spans="2:12">
      <c r="B92" s="561"/>
      <c r="G92" s="561"/>
      <c r="I92" s="561">
        <v>2013</v>
      </c>
      <c r="J92" s="561">
        <v>373.99999999999994</v>
      </c>
    </row>
    <row r="93" spans="2:12">
      <c r="B93" s="561"/>
      <c r="G93" s="561"/>
      <c r="I93" s="561">
        <v>2014</v>
      </c>
      <c r="J93" s="561">
        <v>254.4</v>
      </c>
    </row>
    <row r="94" spans="2:12">
      <c r="B94" s="561"/>
      <c r="G94" s="561"/>
      <c r="I94" s="561">
        <v>2015</v>
      </c>
      <c r="J94" s="561">
        <v>334.2</v>
      </c>
    </row>
    <row r="95" spans="2:12">
      <c r="B95" s="561"/>
      <c r="G95" s="561"/>
      <c r="I95" s="561">
        <v>2016</v>
      </c>
      <c r="J95" s="561">
        <v>784.3</v>
      </c>
    </row>
    <row r="96" spans="2:12">
      <c r="B96" s="561"/>
      <c r="G96" s="561"/>
      <c r="I96" s="561">
        <v>2017</v>
      </c>
      <c r="J96" s="561">
        <v>528.29999999999995</v>
      </c>
    </row>
    <row r="97" spans="2:10">
      <c r="B97" s="561"/>
      <c r="G97" s="561"/>
      <c r="I97" s="616">
        <v>2018</v>
      </c>
      <c r="J97" s="561">
        <v>641.89999999999986</v>
      </c>
    </row>
    <row r="98" spans="2:10">
      <c r="B98" s="561"/>
      <c r="G98" s="561"/>
      <c r="I98" s="561">
        <v>2019</v>
      </c>
      <c r="J98" s="561">
        <v>1035.0999999999997</v>
      </c>
    </row>
    <row r="99" spans="2:10">
      <c r="B99" s="561"/>
      <c r="G99" s="561"/>
      <c r="I99" s="561">
        <v>2020</v>
      </c>
      <c r="J99" s="561">
        <v>682.59999999999968</v>
      </c>
    </row>
    <row r="100" spans="2:10">
      <c r="B100" s="561"/>
      <c r="G100" s="561"/>
      <c r="I100" s="561">
        <v>2021</v>
      </c>
      <c r="J100" s="561">
        <v>618.19999999999982</v>
      </c>
    </row>
    <row r="101" spans="2:10">
      <c r="B101" s="561"/>
      <c r="G101" s="561"/>
      <c r="I101" s="561">
        <v>2022</v>
      </c>
      <c r="J101" s="561">
        <v>724.79999999999973</v>
      </c>
    </row>
    <row r="102" spans="2:10">
      <c r="B102" s="561"/>
      <c r="G102" s="561"/>
      <c r="I102" s="561">
        <v>2023</v>
      </c>
      <c r="J102" s="561">
        <v>173.00000000000003</v>
      </c>
    </row>
    <row r="105" spans="2:10">
      <c r="C105" s="152"/>
      <c r="H105" s="607"/>
    </row>
  </sheetData>
  <mergeCells count="49">
    <mergeCell ref="AQ28:AT28"/>
    <mergeCell ref="AU28:AX28"/>
    <mergeCell ref="AG28:AK28"/>
    <mergeCell ref="AB28:AF28"/>
    <mergeCell ref="AL28:AP28"/>
    <mergeCell ref="A1:X1"/>
    <mergeCell ref="A54:A55"/>
    <mergeCell ref="B54:D54"/>
    <mergeCell ref="D18:D19"/>
    <mergeCell ref="C18:C23"/>
    <mergeCell ref="E18:E23"/>
    <mergeCell ref="A13:A23"/>
    <mergeCell ref="G20:G21"/>
    <mergeCell ref="B18:B23"/>
    <mergeCell ref="B13:B17"/>
    <mergeCell ref="C49:E49"/>
    <mergeCell ref="C46:E46"/>
    <mergeCell ref="A48:B48"/>
    <mergeCell ref="A49:B49"/>
    <mergeCell ref="A46:B47"/>
    <mergeCell ref="I30:X30"/>
    <mergeCell ref="F20:F21"/>
    <mergeCell ref="D20:D23"/>
    <mergeCell ref="A8:A12"/>
    <mergeCell ref="C13:C17"/>
    <mergeCell ref="B8:B12"/>
    <mergeCell ref="E25:L25"/>
    <mergeCell ref="A37:A41"/>
    <mergeCell ref="E37:T37"/>
    <mergeCell ref="E38:T38"/>
    <mergeCell ref="E39:T39"/>
    <mergeCell ref="E40:T40"/>
    <mergeCell ref="E41:T41"/>
    <mergeCell ref="E26:E30"/>
    <mergeCell ref="I27:X27"/>
    <mergeCell ref="I28:X28"/>
    <mergeCell ref="I29:X29"/>
    <mergeCell ref="I26:X26"/>
    <mergeCell ref="E3:E7"/>
    <mergeCell ref="E8:E12"/>
    <mergeCell ref="E13:E17"/>
    <mergeCell ref="D8:D12"/>
    <mergeCell ref="D15:D17"/>
    <mergeCell ref="D13:D14"/>
    <mergeCell ref="B3:B7"/>
    <mergeCell ref="A3:A7"/>
    <mergeCell ref="D3:D7"/>
    <mergeCell ref="C3:C7"/>
    <mergeCell ref="C8:C12"/>
  </mergeCells>
  <phoneticPr fontId="9"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C1672-9EE3-40E4-AB75-7F6046861D1F}">
  <sheetPr codeName="Sheet6"/>
  <dimension ref="A1:AL266"/>
  <sheetViews>
    <sheetView zoomScaleNormal="100" workbookViewId="0">
      <selection sqref="A1:E1"/>
    </sheetView>
  </sheetViews>
  <sheetFormatPr defaultColWidth="8.77734375" defaultRowHeight="13.2"/>
  <cols>
    <col min="1" max="1" width="26" style="154" customWidth="1"/>
    <col min="2" max="2" width="28.21875" style="154" customWidth="1"/>
    <col min="3" max="3" width="25.21875" style="154" customWidth="1"/>
    <col min="4" max="4" width="29.44140625" style="154" customWidth="1"/>
    <col min="5" max="5" width="32" style="154" customWidth="1"/>
    <col min="6" max="6" width="21.5546875" style="154" customWidth="1"/>
    <col min="7" max="7" width="20.5546875" style="154" customWidth="1"/>
    <col min="8" max="11" width="12.77734375" style="154" customWidth="1"/>
    <col min="12" max="19" width="15.21875" style="154" customWidth="1"/>
    <col min="20" max="20" width="14.77734375" style="154" customWidth="1"/>
    <col min="21" max="21" width="13.5546875" style="154" customWidth="1"/>
    <col min="22" max="22" width="15.77734375" style="154" customWidth="1"/>
    <col min="23" max="29" width="11" style="154" customWidth="1"/>
    <col min="30" max="38" width="6.5546875" style="154" customWidth="1"/>
    <col min="39" max="39" width="8.77734375" style="154" customWidth="1"/>
    <col min="40" max="16384" width="8.77734375" style="154"/>
  </cols>
  <sheetData>
    <row r="1" spans="1:9" ht="27" customHeight="1">
      <c r="A1" s="731" t="s">
        <v>167</v>
      </c>
      <c r="B1" s="731"/>
      <c r="C1" s="731"/>
      <c r="D1" s="731"/>
      <c r="E1" s="731"/>
    </row>
    <row r="2" spans="1:9" ht="19.2" customHeight="1">
      <c r="A2" s="320" t="s">
        <v>97</v>
      </c>
      <c r="B2" s="320" t="s">
        <v>168</v>
      </c>
      <c r="C2" s="320" t="s">
        <v>169</v>
      </c>
      <c r="D2" s="320" t="s">
        <v>170</v>
      </c>
      <c r="E2" s="320" t="s">
        <v>171</v>
      </c>
    </row>
    <row r="3" spans="1:9" ht="27.6" customHeight="1">
      <c r="A3" s="178" t="s">
        <v>172</v>
      </c>
      <c r="B3" s="178" t="s">
        <v>173</v>
      </c>
      <c r="C3" s="321" t="s">
        <v>174</v>
      </c>
      <c r="D3" s="177" t="s">
        <v>175</v>
      </c>
      <c r="E3" s="177" t="s">
        <v>176</v>
      </c>
      <c r="F3" s="164"/>
      <c r="G3" s="164"/>
      <c r="H3" s="164"/>
      <c r="I3" s="164"/>
    </row>
    <row r="4" spans="1:9" ht="25.95" customHeight="1">
      <c r="A4" s="178" t="s">
        <v>177</v>
      </c>
      <c r="B4" s="178" t="s">
        <v>178</v>
      </c>
      <c r="C4" s="177" t="s">
        <v>179</v>
      </c>
      <c r="D4" s="177"/>
      <c r="E4" s="177" t="s">
        <v>180</v>
      </c>
      <c r="F4" s="732"/>
      <c r="G4" s="732"/>
      <c r="H4" s="732"/>
      <c r="I4" s="732"/>
    </row>
    <row r="5" spans="1:9" ht="15.6" customHeight="1">
      <c r="A5" s="157"/>
      <c r="B5" s="157"/>
      <c r="C5" s="157"/>
      <c r="D5" s="157"/>
      <c r="E5" s="157"/>
    </row>
    <row r="6" spans="1:9">
      <c r="A6" s="157" t="s">
        <v>181</v>
      </c>
      <c r="B6" s="157"/>
      <c r="C6" s="157"/>
      <c r="D6" s="157"/>
      <c r="E6" s="157"/>
    </row>
    <row r="7" spans="1:9">
      <c r="A7" s="157"/>
      <c r="B7" s="157"/>
      <c r="C7" s="157"/>
      <c r="D7" s="157"/>
      <c r="E7" s="157"/>
    </row>
    <row r="8" spans="1:9" ht="25.95" customHeight="1">
      <c r="A8" s="731" t="s">
        <v>182</v>
      </c>
      <c r="B8" s="731"/>
      <c r="C8" s="731"/>
      <c r="D8" s="731"/>
      <c r="E8" s="716"/>
    </row>
    <row r="9" spans="1:9" ht="17.55" customHeight="1">
      <c r="A9" s="322" t="s">
        <v>97</v>
      </c>
      <c r="B9" s="271" t="s">
        <v>168</v>
      </c>
      <c r="C9" s="271" t="s">
        <v>169</v>
      </c>
      <c r="D9" s="322" t="s">
        <v>183</v>
      </c>
      <c r="E9" s="320" t="s">
        <v>171</v>
      </c>
    </row>
    <row r="10" spans="1:9" ht="17.55" customHeight="1">
      <c r="A10" s="254" t="s">
        <v>121</v>
      </c>
      <c r="B10" s="254" t="s">
        <v>184</v>
      </c>
      <c r="C10" s="254" t="s">
        <v>185</v>
      </c>
      <c r="D10" s="272">
        <v>2008</v>
      </c>
      <c r="E10" s="254" t="s">
        <v>1109</v>
      </c>
    </row>
    <row r="11" spans="1:9" ht="17.55" customHeight="1">
      <c r="A11" s="254" t="s">
        <v>124</v>
      </c>
      <c r="B11" s="254" t="s">
        <v>184</v>
      </c>
      <c r="C11" s="254" t="s">
        <v>185</v>
      </c>
      <c r="D11" s="254">
        <v>2008</v>
      </c>
      <c r="E11" s="254" t="s">
        <v>1110</v>
      </c>
    </row>
    <row r="12" spans="1:9" ht="17.55" customHeight="1">
      <c r="A12" s="254" t="s">
        <v>126</v>
      </c>
      <c r="B12" s="254" t="s">
        <v>184</v>
      </c>
      <c r="C12" s="254" t="s">
        <v>185</v>
      </c>
      <c r="D12" s="254">
        <v>2008</v>
      </c>
      <c r="E12" s="254" t="s">
        <v>1109</v>
      </c>
    </row>
    <row r="13" spans="1:9" ht="25.2" customHeight="1">
      <c r="A13" s="254" t="s">
        <v>127</v>
      </c>
      <c r="B13" s="254" t="s">
        <v>186</v>
      </c>
      <c r="C13" s="254" t="s">
        <v>185</v>
      </c>
      <c r="D13" s="254">
        <v>2010</v>
      </c>
      <c r="E13" s="272" t="s">
        <v>187</v>
      </c>
    </row>
    <row r="14" spans="1:9" ht="25.2" customHeight="1">
      <c r="A14" s="323" t="s">
        <v>177</v>
      </c>
      <c r="B14" s="254" t="s">
        <v>188</v>
      </c>
      <c r="C14" s="254" t="s">
        <v>189</v>
      </c>
      <c r="D14" s="254">
        <v>2025</v>
      </c>
      <c r="E14" s="272" t="s">
        <v>190</v>
      </c>
    </row>
    <row r="15" spans="1:9">
      <c r="B15" s="158"/>
      <c r="C15" s="158"/>
      <c r="D15" s="324"/>
      <c r="E15" s="158"/>
    </row>
    <row r="16" spans="1:9">
      <c r="A16" s="325"/>
      <c r="B16" s="158"/>
      <c r="C16" s="158"/>
      <c r="D16" s="324"/>
      <c r="E16" s="158"/>
    </row>
    <row r="17" spans="1:5">
      <c r="A17" s="325" t="s">
        <v>191</v>
      </c>
      <c r="B17" s="158"/>
      <c r="C17" s="158"/>
      <c r="D17" s="324"/>
      <c r="E17" s="158"/>
    </row>
    <row r="18" spans="1:5">
      <c r="A18" s="158" t="s">
        <v>192</v>
      </c>
      <c r="B18" s="158"/>
      <c r="C18" s="326" t="s">
        <v>193</v>
      </c>
      <c r="D18" s="327" t="s">
        <v>194</v>
      </c>
      <c r="E18" s="158"/>
    </row>
    <row r="19" spans="1:5">
      <c r="A19" s="158" t="s">
        <v>195</v>
      </c>
      <c r="B19" s="158" t="s">
        <v>196</v>
      </c>
      <c r="C19" s="326" t="s">
        <v>197</v>
      </c>
      <c r="D19" s="324"/>
      <c r="E19" s="158"/>
    </row>
    <row r="20" spans="1:5">
      <c r="A20" s="326" t="s">
        <v>198</v>
      </c>
      <c r="B20" s="158" t="s">
        <v>199</v>
      </c>
      <c r="C20" s="328" t="s">
        <v>200</v>
      </c>
      <c r="D20" s="324"/>
      <c r="E20" s="158"/>
    </row>
    <row r="21" spans="1:5">
      <c r="A21" s="326"/>
      <c r="B21" s="158"/>
      <c r="C21" s="326" t="s">
        <v>201</v>
      </c>
      <c r="D21" s="324"/>
      <c r="E21" s="158"/>
    </row>
    <row r="22" spans="1:5">
      <c r="A22" s="326"/>
      <c r="B22" s="158"/>
      <c r="C22" s="158"/>
      <c r="D22" s="324"/>
      <c r="E22" s="158"/>
    </row>
    <row r="23" spans="1:5" ht="21" customHeight="1">
      <c r="A23" s="733" t="s">
        <v>202</v>
      </c>
      <c r="B23" s="733"/>
      <c r="C23" s="733"/>
      <c r="D23" s="733"/>
      <c r="E23" s="733"/>
    </row>
    <row r="24" spans="1:5" ht="17.55" customHeight="1">
      <c r="A24" s="394"/>
      <c r="B24" s="269" t="s">
        <v>203</v>
      </c>
      <c r="C24" s="269" t="s">
        <v>204</v>
      </c>
      <c r="D24" s="324"/>
      <c r="E24" s="158"/>
    </row>
    <row r="25" spans="1:5" ht="18.600000000000001" customHeight="1">
      <c r="A25" s="323" t="s">
        <v>205</v>
      </c>
      <c r="B25" s="323" t="s">
        <v>206</v>
      </c>
      <c r="C25" s="323" t="s">
        <v>207</v>
      </c>
      <c r="D25" s="506" t="s">
        <v>208</v>
      </c>
      <c r="E25" s="158"/>
    </row>
    <row r="26" spans="1:5" ht="18.600000000000001" customHeight="1">
      <c r="A26" s="158" t="s">
        <v>209</v>
      </c>
      <c r="D26" s="297"/>
      <c r="E26" s="158"/>
    </row>
    <row r="27" spans="1:5" ht="13.95" customHeight="1">
      <c r="D27" s="297"/>
    </row>
    <row r="28" spans="1:5" ht="13.95" customHeight="1">
      <c r="A28" s="165"/>
      <c r="D28" s="297"/>
    </row>
    <row r="29" spans="1:5" ht="13.95" customHeight="1">
      <c r="A29" s="165" t="s">
        <v>210</v>
      </c>
      <c r="D29" s="297"/>
    </row>
    <row r="30" spans="1:5" ht="13.95" customHeight="1">
      <c r="A30" s="165"/>
      <c r="D30" s="297"/>
    </row>
    <row r="31" spans="1:5" ht="13.95" customHeight="1">
      <c r="A31" s="165"/>
      <c r="D31" s="297"/>
    </row>
    <row r="32" spans="1:5" ht="21.6" customHeight="1">
      <c r="A32" s="395" t="s">
        <v>53</v>
      </c>
      <c r="B32" s="395" t="s">
        <v>211</v>
      </c>
    </row>
    <row r="33" spans="1:38" ht="16.2" customHeight="1">
      <c r="A33" s="396" t="s">
        <v>68</v>
      </c>
      <c r="B33" s="254" t="s">
        <v>212</v>
      </c>
    </row>
    <row r="34" spans="1:38" ht="13.95" customHeight="1">
      <c r="D34" s="297"/>
    </row>
    <row r="35" spans="1:38" ht="13.95" customHeight="1">
      <c r="D35" s="297"/>
    </row>
    <row r="36" spans="1:38" ht="13.95" customHeight="1">
      <c r="D36" s="297"/>
    </row>
    <row r="37" spans="1:38" ht="13.95" customHeight="1">
      <c r="D37" s="297"/>
    </row>
    <row r="38" spans="1:38" ht="13.8" customHeight="1">
      <c r="D38" s="297"/>
    </row>
    <row r="39" spans="1:38" ht="18" customHeight="1">
      <c r="D39" s="297"/>
    </row>
    <row r="40" spans="1:38" ht="13.95" customHeight="1">
      <c r="D40" s="297"/>
    </row>
    <row r="41" spans="1:38" s="207" customFormat="1" hidden="1">
      <c r="A41" s="207" t="s">
        <v>76</v>
      </c>
    </row>
    <row r="42" spans="1:38" hidden="1">
      <c r="A42" s="165"/>
      <c r="D42" s="297"/>
    </row>
    <row r="43" spans="1:38" hidden="1">
      <c r="A43" s="330" t="s">
        <v>213</v>
      </c>
      <c r="B43" s="330"/>
      <c r="C43" s="330"/>
      <c r="D43" s="330"/>
      <c r="E43" s="330"/>
      <c r="F43" s="330"/>
      <c r="G43" s="330"/>
      <c r="H43" s="330"/>
    </row>
    <row r="44" spans="1:38" hidden="1">
      <c r="U44" s="296" t="s">
        <v>214</v>
      </c>
      <c r="V44" s="286">
        <f>(Q203+Q204)/2</f>
        <v>0.44582277391953873</v>
      </c>
      <c r="W44" s="291">
        <f>$V44*'FZ-CZ'!$F42*'FZ-CZ'!I42</f>
        <v>0</v>
      </c>
      <c r="X44" s="291">
        <f>$V44*'FZ-CZ'!$F42*'FZ-CZ'!J42</f>
        <v>0</v>
      </c>
      <c r="Y44" s="291">
        <f>$V44*'FZ-CZ'!$F42*'FZ-CZ'!K42</f>
        <v>0</v>
      </c>
      <c r="Z44" s="291">
        <f>$V44*'FZ-CZ'!$F42*'FZ-CZ'!L42</f>
        <v>0</v>
      </c>
      <c r="AA44" s="291">
        <f>$V44*'FZ-CZ'!$F42*'FZ-CZ'!M42</f>
        <v>0</v>
      </c>
      <c r="AB44" s="291">
        <f>$V44*'FZ-CZ'!$F42*'FZ-CZ'!N42</f>
        <v>2574.8524276983835</v>
      </c>
      <c r="AC44" s="291">
        <f>$V44*'FZ-CZ'!$F42*'FZ-CZ'!O42</f>
        <v>24519.780649553912</v>
      </c>
      <c r="AD44" s="291">
        <f>$V44*'FZ-CZ'!$F42*'FZ-CZ'!P42</f>
        <v>756.61160343947029</v>
      </c>
      <c r="AE44" s="291">
        <f>$V44*'FZ-CZ'!$F42*'FZ-CZ'!Q42</f>
        <v>0</v>
      </c>
      <c r="AF44" s="291">
        <f>$V44*'FZ-CZ'!$F42*'FZ-CZ'!R42</f>
        <v>10884.223402351108</v>
      </c>
      <c r="AG44" s="291">
        <f>$V44*'FZ-CZ'!$F42*'FZ-CZ'!S42</f>
        <v>0</v>
      </c>
      <c r="AH44" s="291">
        <f>$V44*'FZ-CZ'!$F42*'FZ-CZ'!T42</f>
        <v>0</v>
      </c>
      <c r="AI44" s="291">
        <f>$V44*'FZ-CZ'!$F42*'FZ-CZ'!U42</f>
        <v>0</v>
      </c>
      <c r="AJ44" s="291">
        <f>$V44*'FZ-CZ'!$F42*'FZ-CZ'!V42</f>
        <v>258.54105519275276</v>
      </c>
      <c r="AK44" s="291">
        <f>$V44*'FZ-CZ'!$F42*'FZ-CZ'!W42</f>
        <v>45.412654816922675</v>
      </c>
      <c r="AL44" s="291">
        <f>$V44*'FZ-CZ'!$F42*'FZ-CZ'!X42</f>
        <v>0</v>
      </c>
    </row>
    <row r="45" spans="1:38" hidden="1">
      <c r="D45" s="154" t="s">
        <v>215</v>
      </c>
      <c r="F45" s="331" t="s">
        <v>216</v>
      </c>
      <c r="I45" s="154" t="s">
        <v>217</v>
      </c>
      <c r="K45" s="165" t="s">
        <v>193</v>
      </c>
    </row>
    <row r="46" spans="1:38" hidden="1"/>
    <row r="47" spans="1:38" hidden="1"/>
    <row r="48" spans="1:38" hidden="1"/>
    <row r="49" spans="12:12" hidden="1"/>
    <row r="50" spans="12:12" hidden="1"/>
    <row r="51" spans="12:12" hidden="1"/>
    <row r="52" spans="12:12" hidden="1"/>
    <row r="53" spans="12:12" hidden="1"/>
    <row r="54" spans="12:12" hidden="1"/>
    <row r="55" spans="12:12" hidden="1"/>
    <row r="56" spans="12:12" hidden="1"/>
    <row r="57" spans="12:12" hidden="1"/>
    <row r="58" spans="12:12" hidden="1"/>
    <row r="59" spans="12:12" hidden="1"/>
    <row r="60" spans="12:12" hidden="1">
      <c r="L60" s="154" t="s">
        <v>218</v>
      </c>
    </row>
    <row r="61" spans="12:12" hidden="1"/>
    <row r="62" spans="12:12" hidden="1"/>
    <row r="63" spans="12:12" hidden="1"/>
    <row r="64" spans="12:12" hidden="1"/>
    <row r="65" spans="1:8" hidden="1"/>
    <row r="66" spans="1:8" hidden="1"/>
    <row r="67" spans="1:8" hidden="1"/>
    <row r="68" spans="1:8" hidden="1"/>
    <row r="69" spans="1:8" hidden="1">
      <c r="A69" s="330" t="s">
        <v>219</v>
      </c>
      <c r="B69" s="330"/>
      <c r="C69" s="330"/>
      <c r="D69" s="330"/>
      <c r="E69" s="330"/>
      <c r="F69" s="330"/>
      <c r="G69" s="330"/>
      <c r="H69" s="330"/>
    </row>
    <row r="70" spans="1:8" hidden="1">
      <c r="A70" s="165"/>
      <c r="B70" s="165"/>
      <c r="C70" s="165"/>
      <c r="F70" s="297"/>
    </row>
    <row r="71" spans="1:8" hidden="1">
      <c r="D71" s="156"/>
      <c r="G71" s="297"/>
    </row>
    <row r="72" spans="1:8" hidden="1">
      <c r="D72" s="156"/>
      <c r="G72" s="297"/>
    </row>
    <row r="73" spans="1:8" hidden="1">
      <c r="D73" s="156"/>
      <c r="G73" s="297"/>
    </row>
    <row r="74" spans="1:8" hidden="1">
      <c r="D74" s="156"/>
      <c r="G74" s="297"/>
    </row>
    <row r="75" spans="1:8" hidden="1">
      <c r="D75" s="156"/>
      <c r="G75" s="297"/>
    </row>
    <row r="76" spans="1:8" hidden="1">
      <c r="D76" s="156"/>
      <c r="G76" s="297"/>
    </row>
    <row r="77" spans="1:8" hidden="1">
      <c r="D77" s="156"/>
      <c r="G77" s="297"/>
    </row>
    <row r="78" spans="1:8" hidden="1">
      <c r="D78" s="156"/>
      <c r="G78" s="297"/>
    </row>
    <row r="79" spans="1:8" hidden="1">
      <c r="D79" s="156"/>
      <c r="G79" s="297"/>
    </row>
    <row r="80" spans="1:8" hidden="1">
      <c r="D80" s="156"/>
      <c r="G80" s="297"/>
    </row>
    <row r="81" spans="1:8" hidden="1">
      <c r="D81" s="156"/>
      <c r="G81" s="297"/>
    </row>
    <row r="82" spans="1:8" s="156" customFormat="1" hidden="1">
      <c r="A82" s="330" t="s">
        <v>220</v>
      </c>
      <c r="B82" s="330"/>
      <c r="C82" s="330"/>
      <c r="D82" s="330"/>
      <c r="E82" s="330"/>
      <c r="F82" s="330"/>
      <c r="G82" s="330"/>
      <c r="H82" s="330"/>
    </row>
    <row r="83" spans="1:8" hidden="1">
      <c r="B83" s="156"/>
      <c r="E83" s="297"/>
    </row>
    <row r="84" spans="1:8" ht="23.55" hidden="1" customHeight="1">
      <c r="A84" s="332" t="s">
        <v>221</v>
      </c>
      <c r="B84" s="333" t="s">
        <v>222</v>
      </c>
      <c r="C84" s="334" t="s">
        <v>169</v>
      </c>
      <c r="D84" s="333" t="s">
        <v>170</v>
      </c>
      <c r="E84" s="335"/>
    </row>
    <row r="85" spans="1:8" ht="24.6" hidden="1" customHeight="1">
      <c r="A85" s="339" t="s">
        <v>223</v>
      </c>
      <c r="B85" s="336">
        <v>0.91180000000000005</v>
      </c>
      <c r="C85" s="337">
        <v>0.899930953852077</v>
      </c>
      <c r="D85" s="336">
        <v>0.9309744841257237</v>
      </c>
      <c r="E85" s="338"/>
    </row>
    <row r="86" spans="1:8" ht="26.4" hidden="1">
      <c r="A86" s="232" t="s">
        <v>224</v>
      </c>
      <c r="B86" s="178" t="s">
        <v>225</v>
      </c>
      <c r="C86" s="215" t="s">
        <v>225</v>
      </c>
      <c r="D86" s="178" t="s">
        <v>226</v>
      </c>
    </row>
    <row r="87" spans="1:8" ht="39.6" hidden="1">
      <c r="A87" s="339" t="s">
        <v>227</v>
      </c>
      <c r="B87" s="340">
        <v>0.73</v>
      </c>
      <c r="C87" s="341">
        <v>0.73359923920826742</v>
      </c>
      <c r="D87" s="342">
        <v>0.92</v>
      </c>
    </row>
    <row r="88" spans="1:8" hidden="1">
      <c r="A88" s="339" t="s">
        <v>228</v>
      </c>
      <c r="B88" s="343" t="s">
        <v>229</v>
      </c>
      <c r="C88" s="344" t="s">
        <v>230</v>
      </c>
      <c r="D88" s="178"/>
      <c r="E88" s="162"/>
    </row>
    <row r="89" spans="1:8" hidden="1"/>
    <row r="90" spans="1:8" hidden="1">
      <c r="A90" s="393" t="s">
        <v>231</v>
      </c>
    </row>
    <row r="91" spans="1:8" hidden="1"/>
    <row r="92" spans="1:8" hidden="1">
      <c r="A92" s="154" t="s">
        <v>232</v>
      </c>
    </row>
    <row r="93" spans="1:8" hidden="1">
      <c r="A93" s="316" t="s">
        <v>233</v>
      </c>
    </row>
    <row r="94" spans="1:8" hidden="1"/>
    <row r="95" spans="1:8" hidden="1"/>
    <row r="96" spans="1:8" hidden="1">
      <c r="A96" s="154" t="s">
        <v>234</v>
      </c>
    </row>
    <row r="97" spans="1:8" hidden="1">
      <c r="A97" s="154" t="s">
        <v>235</v>
      </c>
    </row>
    <row r="98" spans="1:8" hidden="1">
      <c r="A98" s="154" t="s">
        <v>236</v>
      </c>
    </row>
    <row r="99" spans="1:8" hidden="1">
      <c r="A99" s="316" t="s">
        <v>237</v>
      </c>
    </row>
    <row r="100" spans="1:8" hidden="1">
      <c r="A100" s="165" t="s">
        <v>238</v>
      </c>
    </row>
    <row r="101" spans="1:8" hidden="1"/>
    <row r="102" spans="1:8" hidden="1"/>
    <row r="103" spans="1:8" hidden="1"/>
    <row r="104" spans="1:8" hidden="1"/>
    <row r="105" spans="1:8" s="156" customFormat="1" hidden="1">
      <c r="A105" s="330" t="s">
        <v>239</v>
      </c>
      <c r="B105" s="330"/>
      <c r="C105" s="330"/>
      <c r="D105" s="330"/>
      <c r="E105" s="330"/>
      <c r="F105" s="330"/>
      <c r="G105" s="330"/>
      <c r="H105" s="330"/>
    </row>
    <row r="106" spans="1:8" hidden="1">
      <c r="A106" s="345"/>
      <c r="B106" s="345"/>
      <c r="C106" s="345"/>
      <c r="D106" s="345"/>
      <c r="E106" s="345"/>
      <c r="F106" s="345"/>
      <c r="G106" s="345"/>
      <c r="H106" s="345"/>
    </row>
    <row r="107" spans="1:8" hidden="1">
      <c r="A107" s="346" t="s">
        <v>240</v>
      </c>
      <c r="B107" s="257"/>
      <c r="C107" s="345"/>
      <c r="D107" s="345"/>
      <c r="E107" s="345"/>
      <c r="F107" s="345"/>
      <c r="G107" s="345"/>
      <c r="H107" s="345"/>
    </row>
    <row r="108" spans="1:8" ht="14.55" hidden="1" customHeight="1">
      <c r="A108" s="750" t="s">
        <v>241</v>
      </c>
      <c r="B108" s="750"/>
      <c r="C108" s="750"/>
      <c r="D108" s="750"/>
      <c r="E108" s="750"/>
      <c r="F108" s="750"/>
      <c r="G108" s="750"/>
      <c r="H108" s="345"/>
    </row>
    <row r="109" spans="1:8" hidden="1">
      <c r="A109" s="750"/>
      <c r="B109" s="750"/>
      <c r="C109" s="750"/>
      <c r="D109" s="750"/>
      <c r="E109" s="750"/>
      <c r="F109" s="750"/>
      <c r="G109" s="750"/>
      <c r="H109" s="345"/>
    </row>
    <row r="110" spans="1:8" hidden="1">
      <c r="A110" s="750"/>
      <c r="B110" s="750"/>
      <c r="C110" s="750"/>
      <c r="D110" s="750"/>
      <c r="E110" s="750"/>
      <c r="F110" s="750"/>
      <c r="G110" s="750"/>
      <c r="H110" s="345"/>
    </row>
    <row r="111" spans="1:8" ht="13.8" hidden="1" thickBot="1">
      <c r="A111" s="347"/>
      <c r="B111" s="347"/>
      <c r="C111" s="347"/>
      <c r="D111" s="347"/>
      <c r="E111" s="347"/>
      <c r="F111" s="347"/>
      <c r="G111" s="347"/>
      <c r="H111" s="345"/>
    </row>
    <row r="112" spans="1:8" ht="13.8" hidden="1" thickBot="1">
      <c r="A112" s="348" t="s">
        <v>4</v>
      </c>
      <c r="B112" s="747" t="s">
        <v>242</v>
      </c>
      <c r="C112" s="748"/>
      <c r="D112" s="748"/>
      <c r="E112" s="748"/>
      <c r="F112" s="748"/>
      <c r="G112" s="748"/>
      <c r="H112" s="749"/>
    </row>
    <row r="113" spans="1:8" ht="13.8" hidden="1" thickBot="1">
      <c r="A113" s="349" t="s">
        <v>158</v>
      </c>
      <c r="B113" s="350">
        <v>1985</v>
      </c>
      <c r="C113" s="350">
        <v>1996</v>
      </c>
      <c r="D113" s="350">
        <v>2003</v>
      </c>
      <c r="E113" s="350">
        <v>2007</v>
      </c>
      <c r="F113" s="350">
        <v>2011</v>
      </c>
      <c r="G113" s="350" t="s">
        <v>243</v>
      </c>
      <c r="H113" s="350">
        <v>2017</v>
      </c>
    </row>
    <row r="114" spans="1:8" ht="13.8" hidden="1" thickBot="1">
      <c r="A114" s="351" t="s">
        <v>244</v>
      </c>
      <c r="B114" s="352">
        <v>7.0000000000000007E-2</v>
      </c>
      <c r="C114" s="353">
        <v>0.15</v>
      </c>
      <c r="D114" s="352">
        <v>0.17</v>
      </c>
      <c r="E114" s="352">
        <v>0.2</v>
      </c>
      <c r="F114" s="352">
        <v>0.16</v>
      </c>
      <c r="G114" s="352">
        <v>0.15</v>
      </c>
      <c r="H114" s="352">
        <v>0.09</v>
      </c>
    </row>
    <row r="115" spans="1:8" hidden="1">
      <c r="A115" s="345"/>
      <c r="B115" s="345"/>
      <c r="C115" s="345"/>
      <c r="D115" s="345"/>
      <c r="E115" s="345"/>
      <c r="F115" s="345"/>
      <c r="G115" s="345"/>
      <c r="H115" s="345"/>
    </row>
    <row r="116" spans="1:8" hidden="1">
      <c r="A116" s="346" t="s">
        <v>245</v>
      </c>
      <c r="B116" s="257"/>
      <c r="C116" s="345"/>
      <c r="D116" s="345"/>
      <c r="E116" s="345"/>
      <c r="F116" s="345"/>
      <c r="G116" s="345"/>
      <c r="H116" s="345"/>
    </row>
    <row r="117" spans="1:8" hidden="1">
      <c r="A117" s="730" t="s">
        <v>246</v>
      </c>
      <c r="B117" s="730"/>
      <c r="C117" s="730"/>
      <c r="D117" s="730"/>
      <c r="E117" s="730"/>
      <c r="F117" s="730"/>
      <c r="G117" s="730"/>
      <c r="H117" s="730"/>
    </row>
    <row r="118" spans="1:8" hidden="1">
      <c r="A118" s="730"/>
      <c r="B118" s="730"/>
      <c r="C118" s="730"/>
      <c r="D118" s="730"/>
      <c r="E118" s="730"/>
      <c r="F118" s="730"/>
      <c r="G118" s="730"/>
      <c r="H118" s="730"/>
    </row>
    <row r="119" spans="1:8" hidden="1">
      <c r="A119" s="730"/>
      <c r="B119" s="730"/>
      <c r="C119" s="730"/>
      <c r="D119" s="730"/>
      <c r="E119" s="730"/>
      <c r="F119" s="730"/>
      <c r="G119" s="730"/>
      <c r="H119" s="730"/>
    </row>
    <row r="120" spans="1:8" ht="13.8" hidden="1" thickBot="1">
      <c r="A120" s="354"/>
      <c r="B120" s="354"/>
      <c r="C120" s="354"/>
      <c r="D120" s="354"/>
      <c r="E120" s="354"/>
      <c r="F120" s="354"/>
      <c r="G120" s="354"/>
      <c r="H120" s="354"/>
    </row>
    <row r="121" spans="1:8" ht="13.8" hidden="1" thickBot="1">
      <c r="A121" s="345" t="s">
        <v>4</v>
      </c>
      <c r="B121" s="744" t="s">
        <v>247</v>
      </c>
      <c r="C121" s="745"/>
      <c r="D121" s="745"/>
      <c r="E121" s="745"/>
      <c r="F121" s="745"/>
      <c r="G121" s="745"/>
      <c r="H121" s="746"/>
    </row>
    <row r="122" spans="1:8" ht="13.8" hidden="1" thickBot="1">
      <c r="A122" s="355" t="s">
        <v>158</v>
      </c>
      <c r="B122" s="356">
        <v>1985</v>
      </c>
      <c r="C122" s="356">
        <v>1996</v>
      </c>
      <c r="D122" s="356">
        <v>2003</v>
      </c>
      <c r="E122" s="356">
        <v>2007</v>
      </c>
      <c r="F122" s="356">
        <v>2011</v>
      </c>
      <c r="G122" s="356" t="s">
        <v>243</v>
      </c>
      <c r="H122" s="356">
        <v>2017</v>
      </c>
    </row>
    <row r="123" spans="1:8" ht="13.8" hidden="1" thickBot="1">
      <c r="A123" s="357" t="s">
        <v>244</v>
      </c>
      <c r="B123" s="358">
        <v>0.06</v>
      </c>
      <c r="C123" s="358">
        <v>0.14000000000000001</v>
      </c>
      <c r="D123" s="358">
        <v>0.17</v>
      </c>
      <c r="E123" s="358">
        <v>0.2</v>
      </c>
      <c r="F123" s="358">
        <v>0.17</v>
      </c>
      <c r="G123" s="358">
        <v>0.16</v>
      </c>
      <c r="H123" s="358">
        <v>0.1</v>
      </c>
    </row>
    <row r="124" spans="1:8" hidden="1">
      <c r="A124" s="729" t="s">
        <v>248</v>
      </c>
      <c r="B124" s="729"/>
      <c r="C124" s="729"/>
      <c r="D124" s="729"/>
      <c r="E124" s="729"/>
      <c r="F124" s="729"/>
      <c r="G124" s="729"/>
      <c r="H124" s="729"/>
    </row>
    <row r="125" spans="1:8" hidden="1">
      <c r="A125" s="730" t="s">
        <v>249</v>
      </c>
      <c r="B125" s="730"/>
      <c r="C125" s="730"/>
      <c r="D125" s="730"/>
      <c r="E125" s="730"/>
      <c r="F125" s="730"/>
      <c r="G125" s="730"/>
      <c r="H125" s="730"/>
    </row>
    <row r="126" spans="1:8" hidden="1">
      <c r="A126" s="730"/>
      <c r="B126" s="730"/>
      <c r="C126" s="730"/>
      <c r="D126" s="730"/>
      <c r="E126" s="730"/>
      <c r="F126" s="730"/>
      <c r="G126" s="730"/>
      <c r="H126" s="730"/>
    </row>
    <row r="127" spans="1:8" hidden="1">
      <c r="A127" s="345"/>
      <c r="B127" s="345"/>
      <c r="C127" s="345"/>
      <c r="D127" s="345"/>
      <c r="E127" s="345"/>
      <c r="F127" s="345"/>
      <c r="G127" s="345"/>
      <c r="H127" s="345"/>
    </row>
    <row r="128" spans="1:8" hidden="1">
      <c r="A128" s="728" t="s">
        <v>249</v>
      </c>
      <c r="B128" s="728"/>
      <c r="C128" s="728"/>
      <c r="D128" s="728"/>
      <c r="E128" s="728"/>
      <c r="F128" s="728"/>
      <c r="G128" s="728"/>
      <c r="H128" s="728"/>
    </row>
    <row r="129" spans="1:38" hidden="1">
      <c r="A129" s="728"/>
      <c r="B129" s="728"/>
      <c r="C129" s="728"/>
      <c r="D129" s="728"/>
      <c r="E129" s="728"/>
      <c r="F129" s="728"/>
      <c r="G129" s="728"/>
      <c r="H129" s="728"/>
    </row>
    <row r="130" spans="1:38" hidden="1">
      <c r="A130" s="359"/>
      <c r="B130" s="359"/>
      <c r="C130" s="359"/>
      <c r="D130" s="359"/>
      <c r="E130" s="359"/>
      <c r="F130" s="359"/>
      <c r="G130" s="359"/>
      <c r="H130" s="359"/>
    </row>
    <row r="131" spans="1:38" hidden="1">
      <c r="A131" s="360" t="s">
        <v>1139</v>
      </c>
      <c r="B131" s="361"/>
      <c r="C131" s="359"/>
      <c r="D131" s="359"/>
      <c r="E131" s="359"/>
      <c r="F131" s="359"/>
      <c r="G131" s="359"/>
      <c r="H131" s="359"/>
    </row>
    <row r="132" spans="1:38" hidden="1">
      <c r="A132" s="158" t="s">
        <v>250</v>
      </c>
      <c r="B132" s="359"/>
      <c r="C132" s="359"/>
      <c r="D132" s="359"/>
      <c r="E132" s="359"/>
      <c r="F132" s="359"/>
      <c r="G132" s="359"/>
      <c r="H132" s="359"/>
    </row>
    <row r="133" spans="1:38" hidden="1">
      <c r="A133" s="362"/>
      <c r="B133" s="359"/>
      <c r="C133" s="359"/>
      <c r="D133" s="359"/>
      <c r="E133" s="359"/>
      <c r="F133" s="359"/>
      <c r="G133" s="359"/>
      <c r="H133" s="359"/>
    </row>
    <row r="134" spans="1:38" hidden="1">
      <c r="A134" s="360" t="s">
        <v>251</v>
      </c>
      <c r="B134" s="361"/>
      <c r="C134" s="359"/>
      <c r="D134" s="359"/>
      <c r="E134" s="359"/>
      <c r="F134" s="359"/>
      <c r="G134" s="359"/>
      <c r="H134" s="359"/>
    </row>
    <row r="135" spans="1:38" hidden="1">
      <c r="A135" s="362" t="s">
        <v>252</v>
      </c>
      <c r="B135" s="359"/>
      <c r="C135" s="359"/>
      <c r="D135" s="359"/>
      <c r="E135" s="359"/>
      <c r="F135" s="359"/>
      <c r="G135" s="359"/>
      <c r="H135" s="359"/>
    </row>
    <row r="136" spans="1:38" hidden="1">
      <c r="A136" s="359"/>
      <c r="B136" s="363"/>
      <c r="C136" s="363"/>
      <c r="D136" s="363"/>
      <c r="E136" s="363"/>
      <c r="F136" s="363"/>
      <c r="G136" s="363"/>
      <c r="H136" s="363"/>
    </row>
    <row r="137" spans="1:38" s="207" customFormat="1" hidden="1">
      <c r="A137" s="207" t="s">
        <v>76</v>
      </c>
    </row>
    <row r="138" spans="1:38" hidden="1"/>
    <row r="139" spans="1:38" hidden="1"/>
    <row r="140" spans="1:38" hidden="1">
      <c r="A140" s="727" t="s">
        <v>253</v>
      </c>
      <c r="B140" s="727"/>
      <c r="C140" s="727"/>
      <c r="D140" s="727"/>
      <c r="E140" s="727"/>
      <c r="F140" s="727"/>
      <c r="G140" s="727"/>
      <c r="H140" s="727"/>
      <c r="I140" s="727"/>
      <c r="J140" s="727"/>
      <c r="K140" s="364"/>
      <c r="L140" s="364"/>
      <c r="M140" s="364"/>
      <c r="N140" s="364"/>
      <c r="O140" s="364"/>
      <c r="P140" s="364"/>
      <c r="Q140" s="364"/>
      <c r="R140" s="364"/>
      <c r="S140" s="364"/>
      <c r="T140" s="364"/>
      <c r="U140" s="364"/>
      <c r="V140" s="364"/>
      <c r="W140" s="364"/>
      <c r="X140" s="364"/>
      <c r="Y140" s="364"/>
      <c r="Z140" s="364"/>
      <c r="AA140" s="364"/>
      <c r="AB140" s="364"/>
      <c r="AC140" s="364"/>
      <c r="AD140" s="364"/>
      <c r="AE140" s="364"/>
      <c r="AF140" s="364"/>
      <c r="AG140" s="364"/>
      <c r="AH140" s="364"/>
      <c r="AI140" s="364"/>
      <c r="AJ140" s="364"/>
      <c r="AK140" s="364"/>
      <c r="AL140" s="364"/>
    </row>
    <row r="141" spans="1:38" ht="40.200000000000003" hidden="1" customHeight="1">
      <c r="A141" s="724" t="s">
        <v>254</v>
      </c>
      <c r="B141" s="725"/>
      <c r="C141" s="725"/>
      <c r="D141" s="725"/>
      <c r="E141" s="725"/>
      <c r="F141" s="726"/>
      <c r="I141" s="722" t="s">
        <v>255</v>
      </c>
      <c r="J141" s="723"/>
      <c r="K141" s="317"/>
    </row>
    <row r="142" spans="1:38" ht="26.4" hidden="1">
      <c r="A142" s="365" t="s">
        <v>256</v>
      </c>
      <c r="B142" s="366" t="s">
        <v>257</v>
      </c>
      <c r="C142" s="366" t="s">
        <v>258</v>
      </c>
      <c r="D142" s="366" t="s">
        <v>259</v>
      </c>
      <c r="E142" s="318" t="s">
        <v>175</v>
      </c>
      <c r="F142" s="367" t="s">
        <v>260</v>
      </c>
      <c r="I142" s="168" t="s">
        <v>97</v>
      </c>
      <c r="J142" s="168" t="s">
        <v>261</v>
      </c>
      <c r="K142" s="368"/>
    </row>
    <row r="143" spans="1:38" hidden="1">
      <c r="A143" s="369">
        <v>1</v>
      </c>
      <c r="B143" s="370">
        <v>12266.11408574131</v>
      </c>
      <c r="C143" s="371">
        <v>11180.22057600558</v>
      </c>
      <c r="D143" s="198">
        <v>0.91147208462719076</v>
      </c>
      <c r="E143" s="198">
        <v>0.95530096932985842</v>
      </c>
      <c r="F143" s="198">
        <v>2.7850186668604646E-2</v>
      </c>
      <c r="I143" s="372" t="s">
        <v>262</v>
      </c>
      <c r="J143" s="238">
        <v>0.88237445059260744</v>
      </c>
      <c r="K143" s="154" t="s">
        <v>263</v>
      </c>
    </row>
    <row r="144" spans="1:38" hidden="1">
      <c r="A144" s="369">
        <v>2</v>
      </c>
      <c r="B144" s="370">
        <v>27043.8384758582</v>
      </c>
      <c r="C144" s="371">
        <v>23251.285200238766</v>
      </c>
      <c r="D144" s="198">
        <v>0.85976275967610838</v>
      </c>
      <c r="E144" s="198">
        <v>0.89789711372103953</v>
      </c>
      <c r="F144" s="198">
        <v>6.8327676114838448E-2</v>
      </c>
      <c r="I144" s="372" t="s">
        <v>124</v>
      </c>
      <c r="J144" s="238">
        <v>0.95666101686478511</v>
      </c>
    </row>
    <row r="145" spans="1:10" hidden="1">
      <c r="A145" s="369">
        <v>3</v>
      </c>
      <c r="B145" s="370">
        <v>84713.74437378686</v>
      </c>
      <c r="C145" s="371">
        <v>78855.459987517126</v>
      </c>
      <c r="D145" s="198">
        <v>0.9308461167715486</v>
      </c>
      <c r="E145" s="198">
        <v>0.88306326229653276</v>
      </c>
      <c r="F145" s="198">
        <v>5.9532795995618816E-2</v>
      </c>
      <c r="I145" s="372" t="s">
        <v>126</v>
      </c>
      <c r="J145" s="238">
        <v>0.9438126536225957</v>
      </c>
    </row>
    <row r="146" spans="1:10" hidden="1">
      <c r="A146" s="369">
        <v>4</v>
      </c>
      <c r="B146" s="370">
        <v>41709.971209362368</v>
      </c>
      <c r="C146" s="370">
        <v>38783.059911781012</v>
      </c>
      <c r="D146" s="198">
        <v>0.92982706022764239</v>
      </c>
      <c r="E146" s="198">
        <v>0.88488621414827329</v>
      </c>
      <c r="F146" s="198">
        <v>5.5945068980706329E-2</v>
      </c>
      <c r="I146" s="372" t="s">
        <v>127</v>
      </c>
      <c r="J146" s="238">
        <v>0.94821282732212753</v>
      </c>
    </row>
    <row r="147" spans="1:10" hidden="1">
      <c r="A147" s="369">
        <v>5</v>
      </c>
      <c r="B147" s="370">
        <v>11346.862897047999</v>
      </c>
      <c r="C147" s="373">
        <v>10905.976947923169</v>
      </c>
      <c r="D147" s="374">
        <v>0.96114468350194571</v>
      </c>
      <c r="E147" s="374">
        <v>0.85031523623366401</v>
      </c>
      <c r="F147" s="198">
        <v>9.395438016609961E-2</v>
      </c>
      <c r="I147" s="247" t="s">
        <v>264</v>
      </c>
      <c r="J147" s="375">
        <v>0.95</v>
      </c>
    </row>
    <row r="148" spans="1:10" hidden="1">
      <c r="A148" s="369">
        <v>6</v>
      </c>
      <c r="B148" s="370">
        <v>58977.886320562669</v>
      </c>
      <c r="C148" s="373">
        <v>55650.944931467857</v>
      </c>
      <c r="D148" s="374">
        <v>0.94359001997779512</v>
      </c>
      <c r="E148" s="374">
        <v>0.92753055779713944</v>
      </c>
      <c r="F148" s="198">
        <v>4.9151042062526934E-2</v>
      </c>
    </row>
    <row r="149" spans="1:10" hidden="1">
      <c r="A149" s="369">
        <v>7</v>
      </c>
      <c r="B149" s="370">
        <v>54998.942177082899</v>
      </c>
      <c r="C149" s="373">
        <v>49506.302515220079</v>
      </c>
      <c r="D149" s="374">
        <v>0.90013190355229222</v>
      </c>
      <c r="E149" s="374">
        <v>0.87912406965416312</v>
      </c>
      <c r="F149" s="198">
        <v>5.6569326426254438E-2</v>
      </c>
    </row>
    <row r="150" spans="1:10" hidden="1">
      <c r="A150" s="369">
        <v>8</v>
      </c>
      <c r="B150" s="370">
        <v>86412.553672353024</v>
      </c>
      <c r="C150" s="373">
        <v>82702.445581406966</v>
      </c>
      <c r="D150" s="374">
        <v>0.95706517243994982</v>
      </c>
      <c r="E150" s="374">
        <v>0.93294086716232549</v>
      </c>
      <c r="F150" s="198">
        <v>4.5266872368977092E-2</v>
      </c>
    </row>
    <row r="151" spans="1:10" hidden="1">
      <c r="A151" s="369">
        <v>9</v>
      </c>
      <c r="B151" s="370">
        <v>113686.83680527235</v>
      </c>
      <c r="C151" s="373">
        <v>106930.21709299166</v>
      </c>
      <c r="D151" s="374">
        <v>0.94056814401605948</v>
      </c>
      <c r="E151" s="374">
        <v>0.92956022499092883</v>
      </c>
      <c r="F151" s="198">
        <v>5.1841445874165483E-2</v>
      </c>
    </row>
    <row r="152" spans="1:10" hidden="1">
      <c r="A152" s="369">
        <v>10</v>
      </c>
      <c r="B152" s="370">
        <v>79022.554204927146</v>
      </c>
      <c r="C152" s="373">
        <v>74466.219877058436</v>
      </c>
      <c r="D152" s="374">
        <v>0.94234134325685193</v>
      </c>
      <c r="E152" s="374">
        <v>0.94857781322214663</v>
      </c>
      <c r="F152" s="198">
        <v>2.5370650059308001E-2</v>
      </c>
    </row>
    <row r="153" spans="1:10" hidden="1">
      <c r="A153" s="369">
        <v>11</v>
      </c>
      <c r="B153" s="370">
        <v>37487.535087376062</v>
      </c>
      <c r="C153" s="373">
        <v>35143.286454790723</v>
      </c>
      <c r="D153" s="374">
        <v>0.93746591694755721</v>
      </c>
      <c r="E153" s="374">
        <v>0.97692227902098872</v>
      </c>
      <c r="F153" s="198">
        <v>1.0480467692511541E-2</v>
      </c>
    </row>
    <row r="154" spans="1:10" hidden="1">
      <c r="A154" s="369">
        <v>12</v>
      </c>
      <c r="B154" s="370">
        <v>150208.53733644707</v>
      </c>
      <c r="C154" s="373">
        <v>137789.01293481031</v>
      </c>
      <c r="D154" s="374">
        <v>0.91731811905059235</v>
      </c>
      <c r="E154" s="374">
        <v>0.96742089982289714</v>
      </c>
      <c r="F154" s="198">
        <v>1.7180752121861528E-2</v>
      </c>
    </row>
    <row r="155" spans="1:10" hidden="1">
      <c r="A155" s="369">
        <v>13</v>
      </c>
      <c r="B155" s="370">
        <v>50088.741728662513</v>
      </c>
      <c r="C155" s="373">
        <v>47323.029682672728</v>
      </c>
      <c r="D155" s="374">
        <v>0.94478375877413689</v>
      </c>
      <c r="E155" s="374">
        <v>0.98066986561827296</v>
      </c>
      <c r="F155" s="198">
        <v>1.3043281553218253E-2</v>
      </c>
    </row>
    <row r="156" spans="1:10" hidden="1">
      <c r="A156" s="369">
        <v>14</v>
      </c>
      <c r="B156" s="370">
        <v>17714.031290219191</v>
      </c>
      <c r="C156" s="371">
        <v>16803.154572185897</v>
      </c>
      <c r="D156" s="198">
        <v>0.94857880156640373</v>
      </c>
      <c r="E156" s="198">
        <v>0.95772930257524069</v>
      </c>
      <c r="F156" s="198">
        <v>3.0021667577643376E-2</v>
      </c>
    </row>
    <row r="157" spans="1:10" hidden="1">
      <c r="A157" s="369">
        <v>15</v>
      </c>
      <c r="B157" s="370">
        <v>41832.554330134873</v>
      </c>
      <c r="C157" s="371">
        <v>40970.76309050827</v>
      </c>
      <c r="D157" s="198">
        <v>0.97939902897572295</v>
      </c>
      <c r="E157" s="198">
        <v>0.98728342447001793</v>
      </c>
      <c r="F157" s="198">
        <v>3.3784116689785992E-4</v>
      </c>
    </row>
    <row r="158" spans="1:10" hidden="1">
      <c r="A158" s="369">
        <v>16</v>
      </c>
      <c r="B158" s="370">
        <v>74949.993530175241</v>
      </c>
      <c r="C158" s="371">
        <v>70436.27256045118</v>
      </c>
      <c r="D158" s="198">
        <v>0.93977689980844603</v>
      </c>
      <c r="E158" s="198">
        <v>0.97448503370570416</v>
      </c>
      <c r="F158" s="198">
        <v>1.7902293772208117E-2</v>
      </c>
    </row>
    <row r="159" spans="1:10" hidden="1"/>
    <row r="160" spans="1:10" hidden="1"/>
    <row r="161" spans="1:38" hidden="1">
      <c r="A161" s="727" t="s">
        <v>265</v>
      </c>
      <c r="B161" s="727"/>
      <c r="C161" s="727"/>
      <c r="D161" s="727"/>
      <c r="E161" s="727"/>
      <c r="F161" s="727"/>
      <c r="G161" s="727"/>
      <c r="H161" s="727"/>
      <c r="I161" s="727"/>
      <c r="J161" s="727"/>
      <c r="K161" s="364"/>
      <c r="L161" s="364"/>
      <c r="M161" s="364"/>
      <c r="N161" s="364"/>
      <c r="O161" s="364"/>
      <c r="P161" s="364"/>
      <c r="Q161" s="364"/>
      <c r="R161" s="364"/>
      <c r="S161" s="364"/>
      <c r="T161" s="364"/>
      <c r="U161" s="364"/>
      <c r="V161" s="364"/>
      <c r="W161" s="364"/>
      <c r="X161" s="364"/>
      <c r="Y161" s="364"/>
      <c r="Z161" s="364"/>
      <c r="AA161" s="364"/>
      <c r="AB161" s="364"/>
      <c r="AC161" s="364"/>
      <c r="AD161" s="364"/>
      <c r="AE161" s="364"/>
      <c r="AF161" s="364"/>
      <c r="AG161" s="364"/>
      <c r="AH161" s="364"/>
      <c r="AI161" s="364"/>
      <c r="AJ161" s="364"/>
      <c r="AK161" s="364"/>
      <c r="AL161" s="364"/>
    </row>
    <row r="162" spans="1:38" hidden="1"/>
    <row r="163" spans="1:38" ht="26.4" hidden="1">
      <c r="C163" s="741" t="s">
        <v>266</v>
      </c>
      <c r="D163" s="742"/>
      <c r="E163" s="742"/>
      <c r="F163" s="742"/>
      <c r="G163" s="742"/>
      <c r="H163" s="742"/>
      <c r="I163" s="742"/>
      <c r="J163" s="742"/>
      <c r="K163" s="743"/>
      <c r="N163" s="384" t="s">
        <v>267</v>
      </c>
      <c r="O163" s="384" t="s">
        <v>268</v>
      </c>
      <c r="P163" s="385" t="s">
        <v>269</v>
      </c>
      <c r="Q163" s="385" t="s">
        <v>270</v>
      </c>
      <c r="R163" s="385" t="s">
        <v>271</v>
      </c>
      <c r="S163" s="385" t="s">
        <v>272</v>
      </c>
      <c r="T163" s="385" t="s">
        <v>273</v>
      </c>
    </row>
    <row r="164" spans="1:38" ht="39.6" hidden="1">
      <c r="A164" s="234" t="s">
        <v>256</v>
      </c>
      <c r="B164" s="247" t="s">
        <v>257</v>
      </c>
      <c r="C164" s="179" t="s">
        <v>274</v>
      </c>
      <c r="D164" s="376" t="s">
        <v>225</v>
      </c>
      <c r="E164" s="179" t="s">
        <v>275</v>
      </c>
      <c r="F164" s="179" t="s">
        <v>276</v>
      </c>
      <c r="G164" s="247" t="s">
        <v>277</v>
      </c>
      <c r="H164" s="247" t="s">
        <v>278</v>
      </c>
      <c r="I164" s="247" t="s">
        <v>279</v>
      </c>
      <c r="J164" s="247" t="s">
        <v>280</v>
      </c>
      <c r="K164" s="247" t="s">
        <v>281</v>
      </c>
      <c r="N164" s="283" t="s">
        <v>282</v>
      </c>
      <c r="O164" s="234" t="s">
        <v>283</v>
      </c>
      <c r="P164" s="284">
        <v>0.89969672397024703</v>
      </c>
      <c r="Q164" s="284">
        <v>0.99952757717530905</v>
      </c>
      <c r="R164" s="284">
        <v>0.89927168670254376</v>
      </c>
      <c r="S164" s="284">
        <v>3.1699980607458668E-4</v>
      </c>
      <c r="T164" s="284">
        <v>1.0803746162837765E-4</v>
      </c>
    </row>
    <row r="165" spans="1:38" hidden="1">
      <c r="A165" s="369">
        <v>1</v>
      </c>
      <c r="B165" s="516">
        <v>12266.11408574131</v>
      </c>
      <c r="C165" s="170">
        <v>0.87797565594884763</v>
      </c>
      <c r="D165" s="377">
        <v>0.74752556888981803</v>
      </c>
      <c r="E165" s="170">
        <v>0.18489878720347244</v>
      </c>
      <c r="F165" s="170">
        <v>9.6312583202368823E-3</v>
      </c>
      <c r="G165" s="283">
        <v>1.8246439794853966E-3</v>
      </c>
      <c r="H165" s="283">
        <v>7.5803500857127637E-3</v>
      </c>
      <c r="I165" s="283">
        <v>5.8179213088668238E-3</v>
      </c>
      <c r="J165" s="283">
        <v>7.0125357348869519E-3</v>
      </c>
      <c r="K165" s="283">
        <v>3.5708934477520889E-2</v>
      </c>
      <c r="N165" s="283" t="s">
        <v>284</v>
      </c>
      <c r="O165" s="234" t="s">
        <v>283</v>
      </c>
      <c r="P165" s="284">
        <v>0.87752688204976503</v>
      </c>
      <c r="Q165" s="284">
        <v>1</v>
      </c>
      <c r="R165" s="284">
        <v>0.87752688204976503</v>
      </c>
      <c r="S165" s="284">
        <v>0</v>
      </c>
      <c r="T165" s="284">
        <v>0</v>
      </c>
    </row>
    <row r="166" spans="1:38" hidden="1">
      <c r="A166" s="369">
        <v>2</v>
      </c>
      <c r="B166" s="516">
        <v>27043.8384758582</v>
      </c>
      <c r="C166" s="170">
        <v>0.77990615626467352</v>
      </c>
      <c r="D166" s="377">
        <v>0.63585416034381614</v>
      </c>
      <c r="E166" s="170">
        <v>0.20236605346541806</v>
      </c>
      <c r="F166" s="170">
        <v>1.928849349651859E-2</v>
      </c>
      <c r="G166" s="283">
        <v>1.8313783539731284E-3</v>
      </c>
      <c r="H166" s="283">
        <v>1.9868116892710248E-2</v>
      </c>
      <c r="I166" s="283">
        <v>2.5093249553826205E-3</v>
      </c>
      <c r="J166" s="283">
        <v>1.005982047796581E-2</v>
      </c>
      <c r="K166" s="283">
        <v>0.1082226520142156</v>
      </c>
      <c r="N166" s="283" t="s">
        <v>285</v>
      </c>
      <c r="O166" s="234" t="s">
        <v>283</v>
      </c>
      <c r="P166" s="284">
        <v>0.77942192796177201</v>
      </c>
      <c r="Q166" s="284">
        <v>1</v>
      </c>
      <c r="R166" s="284">
        <v>0.77942192796177201</v>
      </c>
      <c r="S166" s="284">
        <v>0</v>
      </c>
      <c r="T166" s="284">
        <v>0</v>
      </c>
    </row>
    <row r="167" spans="1:38" hidden="1">
      <c r="A167" s="369">
        <v>3</v>
      </c>
      <c r="B167" s="516">
        <v>84713.74437378686</v>
      </c>
      <c r="C167" s="170">
        <v>0.87720806062279144</v>
      </c>
      <c r="D167" s="377">
        <v>0.66064971367733172</v>
      </c>
      <c r="E167" s="170">
        <v>0.21439163398383582</v>
      </c>
      <c r="F167" s="170">
        <v>1.849652436206832E-2</v>
      </c>
      <c r="G167" s="283">
        <v>5.6491478140758668E-3</v>
      </c>
      <c r="H167" s="283">
        <v>1.4059724555701279E-2</v>
      </c>
      <c r="I167" s="283">
        <v>5.5200132181902183E-5</v>
      </c>
      <c r="J167" s="283">
        <v>2.7965558092565922E-2</v>
      </c>
      <c r="K167" s="283">
        <v>5.8732497382239089E-2</v>
      </c>
      <c r="N167" s="283" t="s">
        <v>286</v>
      </c>
      <c r="O167" s="234" t="s">
        <v>283</v>
      </c>
      <c r="P167" s="284">
        <v>0.89720819165404098</v>
      </c>
      <c r="Q167" s="284">
        <v>1</v>
      </c>
      <c r="R167" s="284">
        <v>0.89720819165404098</v>
      </c>
      <c r="S167" s="284">
        <v>0</v>
      </c>
      <c r="T167" s="284">
        <v>0</v>
      </c>
    </row>
    <row r="168" spans="1:38" hidden="1">
      <c r="A168" s="369">
        <v>4</v>
      </c>
      <c r="B168" s="516">
        <v>41709.971209362368</v>
      </c>
      <c r="C168" s="170">
        <v>0.87857060833657152</v>
      </c>
      <c r="D168" s="377">
        <v>0.67406386838202903</v>
      </c>
      <c r="E168" s="170">
        <v>0.20300940435249509</v>
      </c>
      <c r="F168" s="170">
        <v>2.0317214753806941E-2</v>
      </c>
      <c r="G168" s="283">
        <v>3.8259889989129435E-3</v>
      </c>
      <c r="H168" s="283">
        <v>9.7134273778341409E-3</v>
      </c>
      <c r="I168" s="283">
        <v>0</v>
      </c>
      <c r="J168" s="283">
        <v>2.5914275894361884E-2</v>
      </c>
      <c r="K168" s="283">
        <v>6.3155820240559907E-2</v>
      </c>
      <c r="N168" s="283" t="s">
        <v>287</v>
      </c>
      <c r="O168" s="234" t="s">
        <v>283</v>
      </c>
      <c r="P168" s="284">
        <v>0.89720819165404098</v>
      </c>
      <c r="Q168" s="284">
        <v>1</v>
      </c>
      <c r="R168" s="284">
        <v>0.89720819165404098</v>
      </c>
      <c r="S168" s="284">
        <v>0</v>
      </c>
      <c r="T168" s="284">
        <v>0</v>
      </c>
    </row>
    <row r="169" spans="1:38" hidden="1">
      <c r="A169" s="369">
        <v>5</v>
      </c>
      <c r="B169" s="516">
        <v>11346.862897047999</v>
      </c>
      <c r="C169" s="170">
        <v>0.8856805689268662</v>
      </c>
      <c r="D169" s="377">
        <v>0.5370876021201817</v>
      </c>
      <c r="E169" s="170">
        <v>0.31324810490399818</v>
      </c>
      <c r="F169" s="170">
        <v>5.2812194219524679E-3</v>
      </c>
      <c r="G169" s="283">
        <v>2.1917183065025353E-2</v>
      </c>
      <c r="H169" s="283">
        <v>4.8177102233088041E-2</v>
      </c>
      <c r="I169" s="283">
        <v>0</v>
      </c>
      <c r="J169" s="283">
        <v>5.0226436285598322E-2</v>
      </c>
      <c r="K169" s="283">
        <v>2.4062351970155715E-2</v>
      </c>
      <c r="N169" s="283" t="s">
        <v>288</v>
      </c>
      <c r="O169" s="234" t="s">
        <v>283</v>
      </c>
      <c r="P169" s="284">
        <v>0.93593081165226399</v>
      </c>
      <c r="Q169" s="284">
        <v>0.99427649389276596</v>
      </c>
      <c r="R169" s="284">
        <v>0.93057400593582373</v>
      </c>
      <c r="S169" s="284">
        <v>5.3568057164399266E-3</v>
      </c>
      <c r="T169" s="284">
        <v>0</v>
      </c>
    </row>
    <row r="170" spans="1:38" hidden="1">
      <c r="A170" s="369">
        <v>6</v>
      </c>
      <c r="B170" s="516">
        <v>58977.886320562669</v>
      </c>
      <c r="C170" s="170">
        <v>0.91195630557363505</v>
      </c>
      <c r="D170" s="377">
        <v>0.76507299079473334</v>
      </c>
      <c r="E170" s="170">
        <v>0.163670100105996</v>
      </c>
      <c r="F170" s="170">
        <v>1.1123524832258647E-2</v>
      </c>
      <c r="G170" s="283">
        <v>2.4508438562394746E-3</v>
      </c>
      <c r="H170" s="283">
        <v>2.0644674009147771E-2</v>
      </c>
      <c r="I170" s="283">
        <v>6.910068178190399E-5</v>
      </c>
      <c r="J170" s="283">
        <v>9.469993327231193E-3</v>
      </c>
      <c r="K170" s="283">
        <v>2.7498772392611788E-2</v>
      </c>
      <c r="N170" s="283" t="s">
        <v>289</v>
      </c>
      <c r="O170" s="234" t="s">
        <v>283</v>
      </c>
      <c r="P170" s="284">
        <v>0.88064286699375005</v>
      </c>
      <c r="Q170" s="284">
        <v>1</v>
      </c>
      <c r="R170" s="284">
        <v>0.88064286699375005</v>
      </c>
      <c r="S170" s="284">
        <v>0</v>
      </c>
      <c r="T170" s="284">
        <v>0</v>
      </c>
    </row>
    <row r="171" spans="1:38" hidden="1">
      <c r="A171" s="369">
        <v>7</v>
      </c>
      <c r="B171" s="516">
        <v>54998.942177082899</v>
      </c>
      <c r="C171" s="170">
        <v>0.89100774797642535</v>
      </c>
      <c r="D171" s="377">
        <v>0.65885808430891557</v>
      </c>
      <c r="E171" s="170">
        <v>0.21953950923906923</v>
      </c>
      <c r="F171" s="170">
        <v>5.4136787540714978E-2</v>
      </c>
      <c r="G171" s="283">
        <v>5.4185971861239806E-3</v>
      </c>
      <c r="H171" s="283">
        <v>1.9043947193030854E-2</v>
      </c>
      <c r="I171" s="283">
        <v>7.2222744385006649E-4</v>
      </c>
      <c r="J171" s="283">
        <v>2.7957418115706161E-2</v>
      </c>
      <c r="K171" s="283">
        <v>1.4323428972589446E-2</v>
      </c>
      <c r="N171" s="283" t="s">
        <v>290</v>
      </c>
      <c r="O171" s="234" t="s">
        <v>283</v>
      </c>
      <c r="P171" s="284">
        <v>0.93925674487060495</v>
      </c>
      <c r="Q171" s="284">
        <v>1</v>
      </c>
      <c r="R171" s="284">
        <v>0.93925674487060495</v>
      </c>
      <c r="S171" s="284">
        <v>0</v>
      </c>
      <c r="T171" s="284">
        <v>0</v>
      </c>
    </row>
    <row r="172" spans="1:38" hidden="1">
      <c r="A172" s="369">
        <v>8</v>
      </c>
      <c r="B172" s="516">
        <v>86412.553672353024</v>
      </c>
      <c r="C172" s="170">
        <v>0.92381776741651189</v>
      </c>
      <c r="D172" s="377">
        <v>0.76896389163765411</v>
      </c>
      <c r="E172" s="170">
        <v>0.165500912414041</v>
      </c>
      <c r="F172" s="170">
        <v>4.4565955882745296E-3</v>
      </c>
      <c r="G172" s="283">
        <v>1.7300082535126284E-4</v>
      </c>
      <c r="H172" s="283">
        <v>2.6389384595256526E-2</v>
      </c>
      <c r="I172" s="283">
        <v>1.3680534657713718E-5</v>
      </c>
      <c r="J172" s="283">
        <v>1.1184959751603668E-2</v>
      </c>
      <c r="K172" s="283">
        <v>2.3317574653161505E-2</v>
      </c>
      <c r="N172" s="283" t="s">
        <v>291</v>
      </c>
      <c r="O172" s="234" t="s">
        <v>283</v>
      </c>
      <c r="P172" s="284">
        <v>0.90142800397443101</v>
      </c>
      <c r="Q172" s="284">
        <v>1</v>
      </c>
      <c r="R172" s="284">
        <v>0.90142800397443101</v>
      </c>
      <c r="S172" s="284">
        <v>0</v>
      </c>
      <c r="T172" s="284">
        <v>0</v>
      </c>
    </row>
    <row r="173" spans="1:38" hidden="1">
      <c r="A173" s="369">
        <v>9</v>
      </c>
      <c r="B173" s="516">
        <v>113686.83680527235</v>
      </c>
      <c r="C173" s="170">
        <v>0.9089572279767747</v>
      </c>
      <c r="D173" s="377">
        <v>0.78604331953949513</v>
      </c>
      <c r="E173" s="170">
        <v>0.14620265465372967</v>
      </c>
      <c r="F173" s="170">
        <v>5.414051365525043E-3</v>
      </c>
      <c r="G173" s="283">
        <v>6.3700425536326812E-4</v>
      </c>
      <c r="H173" s="283">
        <v>2.4705852197377833E-2</v>
      </c>
      <c r="I173" s="283">
        <v>0</v>
      </c>
      <c r="J173" s="283">
        <v>6.0427657503490479E-3</v>
      </c>
      <c r="K173" s="283">
        <v>3.0954352238160107E-2</v>
      </c>
      <c r="N173" s="283" t="s">
        <v>292</v>
      </c>
      <c r="O173" s="234" t="s">
        <v>283</v>
      </c>
      <c r="P173" s="284">
        <v>0.95705948824708598</v>
      </c>
      <c r="Q173" s="284">
        <v>1</v>
      </c>
      <c r="R173" s="284">
        <v>0.95705948824708598</v>
      </c>
      <c r="S173" s="284">
        <v>0</v>
      </c>
      <c r="T173" s="284">
        <v>0</v>
      </c>
    </row>
    <row r="174" spans="1:38" hidden="1">
      <c r="A174" s="369">
        <v>10</v>
      </c>
      <c r="B174" s="516">
        <v>79022.554204927146</v>
      </c>
      <c r="C174" s="170">
        <v>0.92478397198901918</v>
      </c>
      <c r="D174" s="377">
        <v>0.80530115303110983</v>
      </c>
      <c r="E174" s="170">
        <v>0.14299053974629539</v>
      </c>
      <c r="F174" s="170">
        <v>1.6114536103429042E-2</v>
      </c>
      <c r="G174" s="283">
        <v>1.612917647174096E-3</v>
      </c>
      <c r="H174" s="283">
        <v>1.4088387906942357E-2</v>
      </c>
      <c r="I174" s="283">
        <v>2.1498062126527621E-4</v>
      </c>
      <c r="J174" s="283">
        <v>1.5413925471768931E-2</v>
      </c>
      <c r="K174" s="283">
        <v>4.263559472015282E-3</v>
      </c>
      <c r="N174" s="283" t="s">
        <v>293</v>
      </c>
      <c r="O174" s="234" t="s">
        <v>283</v>
      </c>
      <c r="P174" s="284">
        <v>0.89139459199383597</v>
      </c>
      <c r="Q174" s="284">
        <v>1</v>
      </c>
      <c r="R174" s="284">
        <v>0.89139459199383597</v>
      </c>
      <c r="S174" s="284">
        <v>0</v>
      </c>
      <c r="T174" s="284">
        <v>0</v>
      </c>
    </row>
    <row r="175" spans="1:38" hidden="1">
      <c r="A175" s="369">
        <v>11</v>
      </c>
      <c r="B175" s="516">
        <v>37487.535087376062</v>
      </c>
      <c r="C175" s="170">
        <v>0.93329421435015691</v>
      </c>
      <c r="D175" s="377">
        <v>0.72859225603233635</v>
      </c>
      <c r="E175" s="170">
        <v>0.23761476858522959</v>
      </c>
      <c r="F175" s="170">
        <v>1.5084847648402037E-2</v>
      </c>
      <c r="G175" s="283">
        <v>9.5761347224953175E-4</v>
      </c>
      <c r="H175" s="283">
        <v>3.0897972344771712E-3</v>
      </c>
      <c r="I175" s="283">
        <v>7.8683030561463654E-3</v>
      </c>
      <c r="J175" s="283">
        <v>6.6293699668234039E-3</v>
      </c>
      <c r="K175" s="283">
        <v>1.6304400433546042E-4</v>
      </c>
      <c r="N175" s="283" t="s">
        <v>294</v>
      </c>
      <c r="O175" s="234" t="s">
        <v>283</v>
      </c>
      <c r="P175" s="284">
        <v>0.977802722510969</v>
      </c>
      <c r="Q175" s="284">
        <v>1</v>
      </c>
      <c r="R175" s="284">
        <v>0.977802722510969</v>
      </c>
      <c r="S175" s="284">
        <v>0</v>
      </c>
      <c r="T175" s="284">
        <v>0</v>
      </c>
    </row>
    <row r="176" spans="1:38" hidden="1">
      <c r="A176" s="369">
        <v>12</v>
      </c>
      <c r="B176" s="516">
        <v>150208.53733644707</v>
      </c>
      <c r="C176" s="170">
        <v>0.90464239453284545</v>
      </c>
      <c r="D176" s="377">
        <v>0.77568681069960188</v>
      </c>
      <c r="E176" s="170">
        <v>0.18514664043869317</v>
      </c>
      <c r="F176" s="170">
        <v>8.7431654364094804E-3</v>
      </c>
      <c r="G176" s="283">
        <v>1.7399685852372523E-3</v>
      </c>
      <c r="H176" s="283">
        <v>6.9040013944505979E-3</v>
      </c>
      <c r="I176" s="283">
        <v>3.4797778257463869E-3</v>
      </c>
      <c r="J176" s="283">
        <v>8.7180969751201043E-3</v>
      </c>
      <c r="K176" s="283">
        <v>9.5815386447411777E-3</v>
      </c>
      <c r="N176" s="283" t="s">
        <v>295</v>
      </c>
      <c r="O176" s="234" t="s">
        <v>283</v>
      </c>
      <c r="P176" s="284">
        <v>0.89511915061037595</v>
      </c>
      <c r="Q176" s="284">
        <v>0.99867527485921903</v>
      </c>
      <c r="R176" s="284">
        <v>0.89393336376756782</v>
      </c>
      <c r="S176" s="284">
        <v>0</v>
      </c>
      <c r="T176" s="284">
        <v>1.1857868428081263E-3</v>
      </c>
    </row>
    <row r="177" spans="1:38" hidden="1">
      <c r="A177" s="369">
        <v>13</v>
      </c>
      <c r="B177" s="516">
        <v>50088.741728662513</v>
      </c>
      <c r="C177" s="170">
        <v>0.93980193004644952</v>
      </c>
      <c r="D177" s="377">
        <v>0.78945048917622485</v>
      </c>
      <c r="E177" s="170">
        <v>0.18293135959177889</v>
      </c>
      <c r="F177" s="170">
        <v>6.9620229392698581E-3</v>
      </c>
      <c r="G177" s="283">
        <v>1.4815030530938226E-3</v>
      </c>
      <c r="H177" s="283">
        <v>6.4327521765735482E-3</v>
      </c>
      <c r="I177" s="283">
        <v>8.2583717886114336E-3</v>
      </c>
      <c r="J177" s="283">
        <v>4.4835012744475784E-3</v>
      </c>
      <c r="K177" s="283">
        <v>0</v>
      </c>
      <c r="N177" s="283" t="s">
        <v>296</v>
      </c>
      <c r="O177" s="234" t="s">
        <v>283</v>
      </c>
      <c r="P177" s="284">
        <v>0.87807868772736097</v>
      </c>
      <c r="Q177" s="284">
        <v>1</v>
      </c>
      <c r="R177" s="284">
        <v>0.87807868772736097</v>
      </c>
      <c r="S177" s="284">
        <v>0</v>
      </c>
      <c r="T177" s="284">
        <v>0</v>
      </c>
    </row>
    <row r="178" spans="1:38" hidden="1">
      <c r="A178" s="369">
        <v>14</v>
      </c>
      <c r="B178" s="516">
        <v>17714.031290219191</v>
      </c>
      <c r="C178" s="170">
        <v>0.91713423574635511</v>
      </c>
      <c r="D178" s="377">
        <v>0.83049551094359231</v>
      </c>
      <c r="E178" s="170">
        <v>0.12611675260105257</v>
      </c>
      <c r="F178" s="170">
        <v>4.265859382225466E-3</v>
      </c>
      <c r="G178" s="283">
        <v>2.0781537456971645E-4</v>
      </c>
      <c r="H178" s="283">
        <v>2.4826792490316222E-2</v>
      </c>
      <c r="I178" s="283">
        <v>1.0063945573880978E-3</v>
      </c>
      <c r="J178" s="283">
        <v>9.3161929036471441E-3</v>
      </c>
      <c r="K178" s="283">
        <v>3.7646817472086085E-3</v>
      </c>
      <c r="N178" s="283" t="s">
        <v>297</v>
      </c>
      <c r="O178" s="234" t="s">
        <v>283</v>
      </c>
      <c r="P178" s="284">
        <v>0.85900945727748701</v>
      </c>
      <c r="Q178" s="284">
        <v>1</v>
      </c>
      <c r="R178" s="284">
        <v>0.85900945727748701</v>
      </c>
      <c r="S178" s="284">
        <v>0</v>
      </c>
      <c r="T178" s="284">
        <v>0</v>
      </c>
    </row>
    <row r="179" spans="1:38" hidden="1">
      <c r="A179" s="369">
        <v>15</v>
      </c>
      <c r="B179" s="516">
        <v>41832.554330134873</v>
      </c>
      <c r="C179" s="170">
        <v>0.9761502571980385</v>
      </c>
      <c r="D179" s="377">
        <v>0.84978467687209569</v>
      </c>
      <c r="E179" s="170">
        <v>0.13726528468956206</v>
      </c>
      <c r="F179" s="170">
        <v>2.7378638044519833E-4</v>
      </c>
      <c r="G179" s="283">
        <v>6.9370148053156901E-5</v>
      </c>
      <c r="H179" s="283">
        <v>1.1072349191982282E-4</v>
      </c>
      <c r="I179" s="283">
        <v>2.3600802017618763E-4</v>
      </c>
      <c r="J179" s="283">
        <v>1.2228314868817272E-2</v>
      </c>
      <c r="K179" s="283">
        <v>3.1835528930659738E-5</v>
      </c>
      <c r="N179" s="283" t="s">
        <v>298</v>
      </c>
      <c r="O179" s="234" t="s">
        <v>283</v>
      </c>
      <c r="P179" s="284">
        <v>0.82313584815656304</v>
      </c>
      <c r="Q179" s="284">
        <v>1</v>
      </c>
      <c r="R179" s="284">
        <v>0.82313584815656304</v>
      </c>
      <c r="S179" s="284">
        <v>0</v>
      </c>
      <c r="T179" s="284">
        <v>0</v>
      </c>
    </row>
    <row r="180" spans="1:38" hidden="1">
      <c r="A180" s="369">
        <v>16</v>
      </c>
      <c r="B180" s="516">
        <v>74949.993530175241</v>
      </c>
      <c r="C180" s="170">
        <v>0.91559610932053004</v>
      </c>
      <c r="D180" s="377">
        <v>0.83491733278068514</v>
      </c>
      <c r="E180" s="170">
        <v>0.13552826593768794</v>
      </c>
      <c r="F180" s="170">
        <v>3.682330117175643E-3</v>
      </c>
      <c r="G180" s="283">
        <v>9.10952343422137E-4</v>
      </c>
      <c r="H180" s="283">
        <v>1.4584915310002741E-2</v>
      </c>
      <c r="I180" s="283">
        <v>4.1304263897341247E-3</v>
      </c>
      <c r="J180" s="283">
        <v>6.0561235134166452E-3</v>
      </c>
      <c r="K180" s="283">
        <v>1.8965360787561965E-4</v>
      </c>
      <c r="N180" s="283" t="s">
        <v>299</v>
      </c>
      <c r="O180" s="234" t="s">
        <v>283</v>
      </c>
      <c r="P180" s="284">
        <v>0.91735432268343498</v>
      </c>
      <c r="Q180" s="284">
        <v>1</v>
      </c>
      <c r="R180" s="284">
        <v>0.91735432268343498</v>
      </c>
      <c r="S180" s="284">
        <v>0</v>
      </c>
      <c r="T180" s="284">
        <v>0</v>
      </c>
    </row>
    <row r="181" spans="1:38" hidden="1"/>
    <row r="182" spans="1:38" hidden="1"/>
    <row r="183" spans="1:38" hidden="1">
      <c r="A183" s="154" t="s">
        <v>300</v>
      </c>
    </row>
    <row r="184" spans="1:38" hidden="1"/>
    <row r="185" spans="1:38" hidden="1"/>
    <row r="186" spans="1:38" hidden="1"/>
    <row r="187" spans="1:38" hidden="1"/>
    <row r="188" spans="1:38" hidden="1">
      <c r="A188" s="727" t="s">
        <v>301</v>
      </c>
      <c r="B188" s="727"/>
      <c r="C188" s="727"/>
      <c r="D188" s="727"/>
      <c r="E188" s="727"/>
      <c r="F188" s="727"/>
      <c r="G188" s="727"/>
      <c r="H188" s="727"/>
      <c r="I188" s="727"/>
      <c r="J188" s="727"/>
      <c r="K188" s="727"/>
      <c r="L188" s="727"/>
      <c r="M188" s="727"/>
      <c r="N188" s="727"/>
      <c r="O188" s="727"/>
      <c r="P188" s="727"/>
      <c r="Q188" s="727"/>
      <c r="R188" s="727"/>
      <c r="S188" s="727"/>
      <c r="T188" s="364"/>
      <c r="U188" s="364"/>
      <c r="V188" s="364"/>
      <c r="W188" s="364"/>
      <c r="X188" s="364"/>
      <c r="Y188" s="364"/>
      <c r="Z188" s="364"/>
      <c r="AA188" s="364"/>
      <c r="AB188" s="364"/>
      <c r="AC188" s="364"/>
      <c r="AD188" s="364"/>
      <c r="AE188" s="364"/>
      <c r="AF188" s="364"/>
      <c r="AG188" s="364"/>
      <c r="AH188" s="364"/>
      <c r="AI188" s="364"/>
      <c r="AJ188" s="364"/>
      <c r="AK188" s="364"/>
      <c r="AL188" s="364"/>
    </row>
    <row r="189" spans="1:38" hidden="1">
      <c r="A189" s="736" t="s">
        <v>256</v>
      </c>
      <c r="B189" s="738" t="s">
        <v>302</v>
      </c>
      <c r="C189" s="739"/>
      <c r="D189" s="740"/>
      <c r="E189" s="378"/>
      <c r="F189" s="738" t="s">
        <v>303</v>
      </c>
      <c r="G189" s="740"/>
      <c r="H189" s="379"/>
      <c r="I189" s="379"/>
      <c r="J189" s="735" t="s">
        <v>304</v>
      </c>
      <c r="K189" s="735"/>
      <c r="L189" s="735"/>
      <c r="M189" s="735"/>
      <c r="N189" s="735"/>
      <c r="O189" s="735"/>
      <c r="P189" s="735"/>
      <c r="Q189" s="735"/>
      <c r="R189" s="735"/>
      <c r="S189" s="735"/>
      <c r="U189" s="734"/>
      <c r="V189" s="734"/>
      <c r="W189" s="734"/>
      <c r="X189" s="734"/>
      <c r="Y189" s="734"/>
      <c r="Z189" s="734"/>
      <c r="AA189" s="734"/>
      <c r="AB189" s="734"/>
      <c r="AC189" s="734"/>
      <c r="AD189" s="734"/>
      <c r="AE189" s="734"/>
      <c r="AF189" s="734"/>
      <c r="AG189" s="734"/>
      <c r="AH189" s="734"/>
      <c r="AI189" s="734"/>
      <c r="AJ189" s="734"/>
      <c r="AK189" s="734"/>
      <c r="AL189" s="734"/>
    </row>
    <row r="190" spans="1:38" ht="30" hidden="1" customHeight="1">
      <c r="A190" s="737"/>
      <c r="B190" s="659" t="s">
        <v>305</v>
      </c>
      <c r="C190" s="659" t="s">
        <v>306</v>
      </c>
      <c r="D190" s="659" t="s">
        <v>1138</v>
      </c>
      <c r="E190" s="380"/>
      <c r="F190" s="381" t="s">
        <v>305</v>
      </c>
      <c r="G190" s="381" t="s">
        <v>306</v>
      </c>
      <c r="H190" s="382"/>
      <c r="I190" s="382"/>
      <c r="J190" s="383" t="s">
        <v>267</v>
      </c>
      <c r="K190" s="384" t="s">
        <v>268</v>
      </c>
      <c r="L190" s="384" t="s">
        <v>307</v>
      </c>
      <c r="M190" s="385" t="s">
        <v>269</v>
      </c>
      <c r="N190" s="385" t="s">
        <v>270</v>
      </c>
      <c r="O190" s="385" t="s">
        <v>308</v>
      </c>
      <c r="P190" s="385" t="s">
        <v>309</v>
      </c>
      <c r="Q190" s="385" t="s">
        <v>271</v>
      </c>
      <c r="R190" s="385" t="s">
        <v>272</v>
      </c>
      <c r="S190" s="385" t="s">
        <v>273</v>
      </c>
      <c r="T190" s="281"/>
      <c r="U190" s="281"/>
      <c r="V190" s="281"/>
      <c r="W190" s="510"/>
      <c r="X190" s="510"/>
      <c r="Y190" s="510"/>
      <c r="Z190" s="510"/>
      <c r="AA190" s="510"/>
      <c r="AB190" s="510"/>
      <c r="AC190" s="510"/>
      <c r="AD190" s="510"/>
      <c r="AE190" s="510"/>
      <c r="AF190" s="510"/>
      <c r="AG190" s="510"/>
      <c r="AH190" s="510"/>
      <c r="AI190" s="510"/>
      <c r="AJ190" s="510"/>
      <c r="AK190" s="510"/>
      <c r="AL190" s="510"/>
    </row>
    <row r="191" spans="1:38" hidden="1">
      <c r="A191" s="319">
        <v>1</v>
      </c>
      <c r="B191" s="282">
        <v>0.17458754504227411</v>
      </c>
      <c r="C191" s="282">
        <v>0.79798964406529516</v>
      </c>
      <c r="D191" s="282">
        <v>2.742281089243077E-2</v>
      </c>
      <c r="E191" s="386"/>
      <c r="F191" s="199">
        <v>1</v>
      </c>
      <c r="G191" s="199">
        <v>4</v>
      </c>
      <c r="H191" s="155"/>
      <c r="I191" s="155"/>
      <c r="J191" s="387" t="s">
        <v>282</v>
      </c>
      <c r="K191" s="234" t="s">
        <v>283</v>
      </c>
      <c r="L191" s="234" t="s">
        <v>222</v>
      </c>
      <c r="M191" s="388">
        <v>0.91160158583481499</v>
      </c>
      <c r="N191" s="388">
        <v>0.43376662308021102</v>
      </c>
      <c r="O191" s="388">
        <v>0.55528364756249704</v>
      </c>
      <c r="P191" s="388">
        <v>1.0949729357291899E-2</v>
      </c>
      <c r="Q191" s="388">
        <v>0.39542234148213301</v>
      </c>
      <c r="R191" s="388">
        <v>0.5061974537061128</v>
      </c>
      <c r="S191" s="388">
        <v>9.9817906465693249E-3</v>
      </c>
      <c r="T191" s="288"/>
      <c r="U191" s="164"/>
      <c r="V191" s="391"/>
      <c r="W191" s="511"/>
      <c r="X191" s="511"/>
      <c r="Y191" s="511"/>
      <c r="Z191" s="511"/>
      <c r="AA191" s="511"/>
      <c r="AB191" s="511"/>
      <c r="AC191" s="511"/>
      <c r="AD191" s="511"/>
      <c r="AE191" s="511"/>
      <c r="AF191" s="511"/>
      <c r="AG191" s="511"/>
      <c r="AH191" s="511"/>
      <c r="AI191" s="511"/>
      <c r="AJ191" s="511"/>
      <c r="AK191" s="511"/>
      <c r="AL191" s="511"/>
    </row>
    <row r="192" spans="1:38" hidden="1">
      <c r="A192" s="319">
        <v>2</v>
      </c>
      <c r="B192" s="282">
        <v>0.11958700347271459</v>
      </c>
      <c r="C192" s="282">
        <v>0.81405049531484719</v>
      </c>
      <c r="D192" s="282">
        <v>6.6362501212438349E-2</v>
      </c>
      <c r="E192" s="386"/>
      <c r="F192" s="199">
        <v>0</v>
      </c>
      <c r="G192" s="199">
        <v>5</v>
      </c>
      <c r="H192" s="155"/>
      <c r="I192" s="155"/>
      <c r="J192" s="283" t="s">
        <v>284</v>
      </c>
      <c r="K192" s="234" t="s">
        <v>283</v>
      </c>
      <c r="L192" s="234" t="s">
        <v>222</v>
      </c>
      <c r="M192" s="284">
        <v>0.913015137153385</v>
      </c>
      <c r="N192" s="284">
        <v>0.30732839182905403</v>
      </c>
      <c r="O192" s="284">
        <v>0.683792773703922</v>
      </c>
      <c r="P192" s="284">
        <v>8.8788344670240899E-3</v>
      </c>
      <c r="Q192" s="284">
        <v>0.28059547381693301</v>
      </c>
      <c r="R192" s="284">
        <v>0.6243131530677799</v>
      </c>
      <c r="S192" s="284">
        <v>8.1065102686722016E-3</v>
      </c>
      <c r="T192" s="288"/>
      <c r="U192" s="391"/>
      <c r="V192" s="391"/>
      <c r="W192" s="511"/>
      <c r="X192" s="511"/>
      <c r="Y192" s="511"/>
      <c r="Z192" s="511"/>
      <c r="AA192" s="511"/>
      <c r="AB192" s="511"/>
      <c r="AC192" s="511"/>
      <c r="AD192" s="511"/>
      <c r="AE192" s="511"/>
      <c r="AF192" s="511"/>
      <c r="AG192" s="511"/>
      <c r="AH192" s="511"/>
      <c r="AI192" s="511"/>
      <c r="AJ192" s="511"/>
      <c r="AK192" s="511"/>
      <c r="AL192" s="511"/>
    </row>
    <row r="193" spans="1:38" hidden="1">
      <c r="A193" s="319">
        <v>3</v>
      </c>
      <c r="B193" s="282">
        <v>0.29036953617669187</v>
      </c>
      <c r="C193" s="282">
        <v>0.69951172432630948</v>
      </c>
      <c r="D193" s="282">
        <v>1.0118739496998744E-2</v>
      </c>
      <c r="E193" s="386"/>
      <c r="F193" s="199">
        <v>1</v>
      </c>
      <c r="G193" s="199">
        <v>4</v>
      </c>
      <c r="H193" s="155"/>
      <c r="I193" s="155"/>
      <c r="J193" s="283" t="s">
        <v>285</v>
      </c>
      <c r="K193" s="234" t="s">
        <v>283</v>
      </c>
      <c r="L193" s="234" t="s">
        <v>222</v>
      </c>
      <c r="M193" s="284">
        <v>0.86214134248327801</v>
      </c>
      <c r="N193" s="284">
        <v>0.11930352976413799</v>
      </c>
      <c r="O193" s="284">
        <v>0.81413327321005802</v>
      </c>
      <c r="P193" s="284">
        <v>6.65631970258036E-2</v>
      </c>
      <c r="Q193" s="284">
        <v>0.10285650531384764</v>
      </c>
      <c r="R193" s="284">
        <v>0.70189795312562475</v>
      </c>
      <c r="S193" s="284">
        <v>5.738688404380525E-2</v>
      </c>
      <c r="T193" s="288"/>
      <c r="U193" s="391"/>
      <c r="V193" s="391"/>
      <c r="W193" s="511"/>
      <c r="X193" s="511"/>
      <c r="Y193" s="511"/>
      <c r="Z193" s="511"/>
      <c r="AA193" s="511"/>
      <c r="AB193" s="511"/>
      <c r="AC193" s="511"/>
      <c r="AD193" s="511"/>
      <c r="AE193" s="511"/>
      <c r="AF193" s="511"/>
      <c r="AG193" s="511"/>
      <c r="AH193" s="511"/>
      <c r="AI193" s="511"/>
      <c r="AJ193" s="511"/>
      <c r="AK193" s="511"/>
      <c r="AL193" s="511"/>
    </row>
    <row r="194" spans="1:38" hidden="1">
      <c r="A194" s="319">
        <v>4</v>
      </c>
      <c r="B194" s="282">
        <v>0.3004449769474134</v>
      </c>
      <c r="C194" s="282">
        <v>0.69157325710319772</v>
      </c>
      <c r="D194" s="282">
        <v>7.9817659493887465E-3</v>
      </c>
      <c r="E194" s="386"/>
      <c r="F194" s="199">
        <v>1</v>
      </c>
      <c r="G194" s="199">
        <v>4</v>
      </c>
      <c r="H194" s="155"/>
      <c r="I194" s="155"/>
      <c r="J194" s="283" t="s">
        <v>286</v>
      </c>
      <c r="K194" s="234" t="s">
        <v>283</v>
      </c>
      <c r="L194" s="234" t="s">
        <v>222</v>
      </c>
      <c r="M194" s="284">
        <v>0.89761067258268601</v>
      </c>
      <c r="N194" s="284">
        <v>0.25361457950326799</v>
      </c>
      <c r="O194" s="284">
        <v>0.66491077160192602</v>
      </c>
      <c r="P194" s="284">
        <v>8.1474648894806295E-2</v>
      </c>
      <c r="Q194" s="284">
        <v>0.22764715328470347</v>
      </c>
      <c r="R194" s="284">
        <v>0.59683100490507757</v>
      </c>
      <c r="S194" s="284">
        <v>7.3132514392905273E-2</v>
      </c>
      <c r="T194" s="288"/>
      <c r="U194" s="391"/>
      <c r="V194" s="391"/>
      <c r="W194" s="511"/>
      <c r="X194" s="511"/>
      <c r="Y194" s="511"/>
      <c r="Z194" s="511"/>
      <c r="AA194" s="511"/>
      <c r="AB194" s="511"/>
      <c r="AC194" s="511"/>
      <c r="AD194" s="511"/>
      <c r="AE194" s="511"/>
      <c r="AF194" s="511"/>
      <c r="AG194" s="511"/>
      <c r="AH194" s="511"/>
      <c r="AI194" s="511"/>
      <c r="AJ194" s="511"/>
      <c r="AK194" s="511"/>
      <c r="AL194" s="511"/>
    </row>
    <row r="195" spans="1:38" hidden="1">
      <c r="A195" s="319">
        <v>5</v>
      </c>
      <c r="B195" s="282">
        <v>0.25574667047955912</v>
      </c>
      <c r="C195" s="282">
        <v>0.74225143609778155</v>
      </c>
      <c r="D195" s="282">
        <v>2.001893422659357E-3</v>
      </c>
      <c r="E195" s="386"/>
      <c r="F195" s="199">
        <v>1</v>
      </c>
      <c r="G195" s="199">
        <v>4</v>
      </c>
      <c r="H195" s="155"/>
      <c r="I195" s="155"/>
      <c r="J195" s="283" t="s">
        <v>287</v>
      </c>
      <c r="K195" s="234" t="s">
        <v>283</v>
      </c>
      <c r="L195" s="234" t="s">
        <v>222</v>
      </c>
      <c r="M195" s="284">
        <v>0.89761067258268601</v>
      </c>
      <c r="N195" s="284">
        <v>0.25361457950326799</v>
      </c>
      <c r="O195" s="284">
        <v>0.66491077160192602</v>
      </c>
      <c r="P195" s="284">
        <v>8.1474648894806295E-2</v>
      </c>
      <c r="Q195" s="284">
        <v>0.22764715328470347</v>
      </c>
      <c r="R195" s="284">
        <v>0.59683100490507757</v>
      </c>
      <c r="S195" s="284">
        <v>7.3132514392905273E-2</v>
      </c>
      <c r="T195" s="288"/>
      <c r="U195" s="391"/>
      <c r="V195" s="391"/>
      <c r="W195" s="511"/>
      <c r="X195" s="511"/>
      <c r="Y195" s="511"/>
      <c r="Z195" s="511"/>
      <c r="AA195" s="511"/>
      <c r="AB195" s="511"/>
      <c r="AC195" s="511"/>
      <c r="AD195" s="511"/>
      <c r="AE195" s="511"/>
      <c r="AF195" s="511"/>
      <c r="AG195" s="511"/>
      <c r="AH195" s="511"/>
      <c r="AI195" s="511"/>
      <c r="AJ195" s="511"/>
      <c r="AK195" s="511"/>
      <c r="AL195" s="511"/>
    </row>
    <row r="196" spans="1:38" hidden="1">
      <c r="A196" s="319">
        <v>6</v>
      </c>
      <c r="B196" s="282">
        <v>0.57927979247956918</v>
      </c>
      <c r="C196" s="282">
        <v>0.42052532202742421</v>
      </c>
      <c r="D196" s="282">
        <v>1.9488549300658838E-4</v>
      </c>
      <c r="E196" s="386"/>
      <c r="F196" s="199">
        <v>3</v>
      </c>
      <c r="G196" s="199">
        <v>2</v>
      </c>
      <c r="H196" s="155"/>
      <c r="I196" s="155"/>
      <c r="J196" s="283" t="s">
        <v>288</v>
      </c>
      <c r="K196" s="234" t="s">
        <v>283</v>
      </c>
      <c r="L196" s="234" t="s">
        <v>222</v>
      </c>
      <c r="M196" s="284">
        <v>0.92215011146483605</v>
      </c>
      <c r="N196" s="284">
        <v>0.20498208869885901</v>
      </c>
      <c r="O196" s="284">
        <v>0.78911405428862003</v>
      </c>
      <c r="P196" s="284">
        <v>5.9038570125219403E-3</v>
      </c>
      <c r="Q196" s="284">
        <v>0.18902425594194774</v>
      </c>
      <c r="R196" s="284">
        <v>0.72768161312071966</v>
      </c>
      <c r="S196" s="284">
        <v>5.4442424021695609E-3</v>
      </c>
      <c r="T196" s="288"/>
      <c r="U196" s="391"/>
      <c r="V196" s="391"/>
      <c r="W196" s="511"/>
      <c r="X196" s="511"/>
      <c r="Y196" s="511"/>
      <c r="Z196" s="511"/>
      <c r="AA196" s="511"/>
      <c r="AB196" s="511"/>
      <c r="AC196" s="511"/>
      <c r="AD196" s="511"/>
      <c r="AE196" s="511"/>
      <c r="AF196" s="511"/>
      <c r="AG196" s="511"/>
      <c r="AH196" s="511"/>
      <c r="AI196" s="511"/>
      <c r="AJ196" s="511"/>
      <c r="AK196" s="511"/>
      <c r="AL196" s="511"/>
    </row>
    <row r="197" spans="1:38" hidden="1">
      <c r="A197" s="319">
        <v>7</v>
      </c>
      <c r="B197" s="282">
        <v>0</v>
      </c>
      <c r="C197" s="282">
        <v>0.99608460258660347</v>
      </c>
      <c r="D197" s="282">
        <v>3.9153974133965758E-3</v>
      </c>
      <c r="E197" s="386"/>
      <c r="F197" s="389">
        <v>2</v>
      </c>
      <c r="G197" s="389">
        <v>3</v>
      </c>
      <c r="H197" s="155"/>
      <c r="I197" s="155"/>
      <c r="J197" s="283" t="s">
        <v>289</v>
      </c>
      <c r="K197" s="234" t="s">
        <v>283</v>
      </c>
      <c r="L197" s="234" t="s">
        <v>222</v>
      </c>
      <c r="M197" s="284">
        <v>0.92647550734030604</v>
      </c>
      <c r="N197" s="284">
        <v>0.25462062143847902</v>
      </c>
      <c r="O197" s="284">
        <v>0.74336958835016798</v>
      </c>
      <c r="P197" s="284">
        <v>2.00979021135256E-3</v>
      </c>
      <c r="Q197" s="284">
        <v>0.23589976942651886</v>
      </c>
      <c r="R197" s="284">
        <v>0.68871371650807633</v>
      </c>
      <c r="S197" s="284">
        <v>1.8620214057104439E-3</v>
      </c>
      <c r="T197" s="288"/>
      <c r="U197" s="391"/>
      <c r="V197" s="391"/>
      <c r="W197" s="511"/>
      <c r="X197" s="511"/>
      <c r="Y197" s="511"/>
      <c r="Z197" s="511"/>
      <c r="AA197" s="511"/>
      <c r="AB197" s="511"/>
      <c r="AC197" s="511"/>
      <c r="AD197" s="511"/>
      <c r="AE197" s="511"/>
      <c r="AF197" s="511"/>
      <c r="AG197" s="511"/>
      <c r="AH197" s="511"/>
      <c r="AI197" s="511"/>
      <c r="AJ197" s="511"/>
      <c r="AK197" s="511"/>
      <c r="AL197" s="511"/>
    </row>
    <row r="198" spans="1:38" hidden="1">
      <c r="A198" s="319">
        <v>8</v>
      </c>
      <c r="B198" s="282">
        <v>0.63720526048823212</v>
      </c>
      <c r="C198" s="282">
        <v>0.36275748018169962</v>
      </c>
      <c r="D198" s="282">
        <v>3.7259330068183807E-5</v>
      </c>
      <c r="E198" s="386"/>
      <c r="F198" s="199">
        <v>3</v>
      </c>
      <c r="G198" s="199">
        <v>2</v>
      </c>
      <c r="H198" s="155"/>
      <c r="I198" s="155"/>
      <c r="J198" s="387" t="s">
        <v>290</v>
      </c>
      <c r="K198" s="234" t="s">
        <v>283</v>
      </c>
      <c r="L198" s="234" t="s">
        <v>222</v>
      </c>
      <c r="M198" s="388">
        <v>0.95232641393717099</v>
      </c>
      <c r="N198" s="388">
        <v>0.66151275494356798</v>
      </c>
      <c r="O198" s="388">
        <v>0.33848724505643202</v>
      </c>
      <c r="P198" s="388">
        <v>0</v>
      </c>
      <c r="Q198" s="390">
        <v>0.62997606968910669</v>
      </c>
      <c r="R198" s="390">
        <v>0.3223503442480643</v>
      </c>
      <c r="S198" s="388">
        <v>0</v>
      </c>
      <c r="T198" s="288"/>
      <c r="U198" s="391"/>
      <c r="V198" s="391"/>
      <c r="W198" s="511"/>
      <c r="X198" s="511"/>
      <c r="Y198" s="511"/>
      <c r="Z198" s="511"/>
      <c r="AA198" s="511"/>
      <c r="AB198" s="511"/>
      <c r="AC198" s="511"/>
      <c r="AD198" s="511"/>
      <c r="AE198" s="511"/>
      <c r="AF198" s="511"/>
      <c r="AG198" s="511"/>
      <c r="AH198" s="511"/>
      <c r="AI198" s="511"/>
      <c r="AJ198" s="511"/>
      <c r="AK198" s="511"/>
      <c r="AL198" s="511"/>
    </row>
    <row r="199" spans="1:38" hidden="1">
      <c r="A199" s="319">
        <v>9</v>
      </c>
      <c r="B199" s="282">
        <v>0.54413651166367216</v>
      </c>
      <c r="C199" s="282">
        <v>0.45586348833632784</v>
      </c>
      <c r="D199" s="282">
        <v>0</v>
      </c>
      <c r="E199" s="386"/>
      <c r="F199" s="199">
        <v>3</v>
      </c>
      <c r="G199" s="199">
        <v>2</v>
      </c>
      <c r="H199" s="155"/>
      <c r="I199" s="155"/>
      <c r="J199" s="387" t="s">
        <v>291</v>
      </c>
      <c r="K199" s="234" t="s">
        <v>283</v>
      </c>
      <c r="L199" s="234" t="s">
        <v>222</v>
      </c>
      <c r="M199" s="388">
        <v>0.93208847308618303</v>
      </c>
      <c r="N199" s="388">
        <v>0.54120830007463705</v>
      </c>
      <c r="O199" s="388">
        <v>0.45879169992536301</v>
      </c>
      <c r="P199" s="388">
        <v>0</v>
      </c>
      <c r="Q199" s="388">
        <v>0.50445401803813716</v>
      </c>
      <c r="R199" s="388">
        <v>0.42763445504804587</v>
      </c>
      <c r="S199" s="388">
        <v>0</v>
      </c>
      <c r="T199" s="288"/>
      <c r="U199" s="391"/>
      <c r="V199" s="391"/>
      <c r="W199" s="511"/>
      <c r="X199" s="511"/>
      <c r="Y199" s="511"/>
      <c r="Z199" s="511"/>
      <c r="AA199" s="511"/>
      <c r="AB199" s="511"/>
      <c r="AC199" s="511"/>
      <c r="AD199" s="511"/>
      <c r="AE199" s="511"/>
      <c r="AF199" s="511"/>
      <c r="AG199" s="511"/>
      <c r="AH199" s="511"/>
      <c r="AI199" s="511"/>
      <c r="AJ199" s="511"/>
      <c r="AK199" s="511"/>
      <c r="AL199" s="511"/>
    </row>
    <row r="200" spans="1:38" hidden="1">
      <c r="A200" s="319">
        <v>10</v>
      </c>
      <c r="B200" s="282">
        <v>0.41649117656353846</v>
      </c>
      <c r="C200" s="282">
        <v>0.57940210400535341</v>
      </c>
      <c r="D200" s="282">
        <v>4.1067194311081891E-3</v>
      </c>
      <c r="E200" s="386"/>
      <c r="F200" s="389">
        <v>2</v>
      </c>
      <c r="G200" s="389">
        <v>3</v>
      </c>
      <c r="H200" s="155"/>
      <c r="I200" s="155"/>
      <c r="J200" s="387" t="s">
        <v>292</v>
      </c>
      <c r="K200" s="234" t="s">
        <v>283</v>
      </c>
      <c r="L200" s="234" t="s">
        <v>222</v>
      </c>
      <c r="M200" s="388">
        <v>0.94526480719865702</v>
      </c>
      <c r="N200" s="388">
        <v>5.9542837671763001E-2</v>
      </c>
      <c r="O200" s="388">
        <v>0.91122329330998597</v>
      </c>
      <c r="P200" s="388">
        <v>2.92338690182509E-2</v>
      </c>
      <c r="Q200" s="388">
        <v>5.6283748971859983E-2</v>
      </c>
      <c r="R200" s="388">
        <v>0.86134731066558923</v>
      </c>
      <c r="S200" s="388">
        <v>2.763374756120773E-2</v>
      </c>
      <c r="T200" s="288"/>
      <c r="U200" s="391"/>
      <c r="V200" s="391"/>
      <c r="W200" s="511"/>
      <c r="X200" s="511"/>
      <c r="Y200" s="511"/>
      <c r="Z200" s="511"/>
      <c r="AA200" s="511"/>
      <c r="AB200" s="511"/>
      <c r="AC200" s="511"/>
      <c r="AD200" s="511"/>
      <c r="AE200" s="511"/>
      <c r="AF200" s="511"/>
      <c r="AG200" s="511"/>
      <c r="AH200" s="511"/>
      <c r="AI200" s="511"/>
      <c r="AJ200" s="511"/>
      <c r="AK200" s="511"/>
      <c r="AL200" s="511"/>
    </row>
    <row r="201" spans="1:38" hidden="1">
      <c r="A201" s="319">
        <v>11</v>
      </c>
      <c r="B201" s="282">
        <v>0.22852012600720278</v>
      </c>
      <c r="C201" s="282">
        <v>0.72989272929305038</v>
      </c>
      <c r="D201" s="282">
        <v>4.158714469974676E-2</v>
      </c>
      <c r="E201" s="386"/>
      <c r="F201" s="199">
        <v>1</v>
      </c>
      <c r="G201" s="199">
        <v>4</v>
      </c>
      <c r="H201" s="155"/>
      <c r="I201" s="155"/>
      <c r="J201" s="387" t="s">
        <v>293</v>
      </c>
      <c r="K201" s="234" t="s">
        <v>283</v>
      </c>
      <c r="L201" s="234" t="s">
        <v>222</v>
      </c>
      <c r="M201" s="388">
        <v>0.91238163204536304</v>
      </c>
      <c r="N201" s="388">
        <v>0.45969281260800399</v>
      </c>
      <c r="O201" s="388">
        <v>0.54030718739199601</v>
      </c>
      <c r="P201" s="388">
        <v>0</v>
      </c>
      <c r="Q201" s="388">
        <v>0.41941527860681393</v>
      </c>
      <c r="R201" s="388">
        <v>0.49296635343854911</v>
      </c>
      <c r="S201" s="388">
        <v>0</v>
      </c>
      <c r="T201" s="288"/>
      <c r="U201" s="391"/>
      <c r="V201" s="391"/>
      <c r="W201" s="511"/>
      <c r="X201" s="511"/>
      <c r="Y201" s="511"/>
      <c r="Z201" s="511"/>
      <c r="AA201" s="511"/>
      <c r="AB201" s="511"/>
      <c r="AC201" s="511"/>
      <c r="AD201" s="511"/>
      <c r="AE201" s="511"/>
      <c r="AF201" s="511"/>
      <c r="AG201" s="511"/>
      <c r="AH201" s="511"/>
      <c r="AI201" s="511"/>
      <c r="AJ201" s="511"/>
      <c r="AK201" s="511"/>
      <c r="AL201" s="511"/>
    </row>
    <row r="202" spans="1:38" hidden="1">
      <c r="A202" s="319">
        <v>12</v>
      </c>
      <c r="B202" s="282">
        <v>0.26305567284253734</v>
      </c>
      <c r="C202" s="282">
        <v>0.71533633078837222</v>
      </c>
      <c r="D202" s="282">
        <v>2.1607996369090537E-2</v>
      </c>
      <c r="E202" s="386"/>
      <c r="F202" s="199">
        <v>1</v>
      </c>
      <c r="G202" s="199">
        <v>4</v>
      </c>
      <c r="H202" s="155"/>
      <c r="I202" s="155"/>
      <c r="J202" s="387" t="s">
        <v>294</v>
      </c>
      <c r="K202" s="234" t="s">
        <v>283</v>
      </c>
      <c r="L202" s="234" t="s">
        <v>222</v>
      </c>
      <c r="M202" s="388">
        <v>0.98089903927879796</v>
      </c>
      <c r="N202" s="388">
        <v>0.535142770100697</v>
      </c>
      <c r="O202" s="388">
        <v>0.45769447083251602</v>
      </c>
      <c r="P202" s="388">
        <v>7.1627590667870103E-3</v>
      </c>
      <c r="Q202" s="388">
        <v>0.52492102906876836</v>
      </c>
      <c r="R202" s="388">
        <v>0.44895206672283278</v>
      </c>
      <c r="S202" s="388">
        <v>7.0259434871968781E-3</v>
      </c>
      <c r="T202" s="288"/>
      <c r="U202" s="391"/>
      <c r="V202" s="391"/>
      <c r="W202" s="511"/>
      <c r="X202" s="511"/>
      <c r="Y202" s="511"/>
      <c r="Z202" s="511"/>
      <c r="AA202" s="511"/>
      <c r="AB202" s="511"/>
      <c r="AC202" s="511"/>
      <c r="AD202" s="511"/>
      <c r="AE202" s="511"/>
      <c r="AF202" s="511"/>
      <c r="AG202" s="511"/>
      <c r="AH202" s="511"/>
      <c r="AI202" s="511"/>
      <c r="AJ202" s="511"/>
      <c r="AK202" s="511"/>
      <c r="AL202" s="511"/>
    </row>
    <row r="203" spans="1:38" hidden="1">
      <c r="A203" s="319">
        <v>13</v>
      </c>
      <c r="B203" s="282">
        <v>0.17779218754231824</v>
      </c>
      <c r="C203" s="282">
        <v>0.8119424043787391</v>
      </c>
      <c r="D203" s="282">
        <v>1.0265408078942762E-2</v>
      </c>
      <c r="E203" s="386"/>
      <c r="F203" s="199">
        <v>1</v>
      </c>
      <c r="G203" s="199">
        <v>4</v>
      </c>
      <c r="H203" s="155"/>
      <c r="I203" s="155"/>
      <c r="J203" s="387" t="s">
        <v>295</v>
      </c>
      <c r="K203" s="234" t="s">
        <v>283</v>
      </c>
      <c r="L203" s="234" t="s">
        <v>222</v>
      </c>
      <c r="M203" s="388">
        <v>0.90055976309347696</v>
      </c>
      <c r="N203" s="388">
        <v>0.57985696419694299</v>
      </c>
      <c r="O203" s="388">
        <v>0.41763915397062901</v>
      </c>
      <c r="P203" s="388">
        <v>2.50388183242737E-3</v>
      </c>
      <c r="Q203" s="388">
        <v>0.52219585030530169</v>
      </c>
      <c r="R203" s="388">
        <v>0.3761090175583498</v>
      </c>
      <c r="S203" s="388">
        <v>2.2548952298248534E-3</v>
      </c>
      <c r="T203" s="288"/>
      <c r="U203" s="391"/>
      <c r="V203" s="391"/>
      <c r="W203" s="511"/>
      <c r="X203" s="511"/>
      <c r="Y203" s="511"/>
      <c r="Z203" s="511"/>
      <c r="AA203" s="511"/>
      <c r="AB203" s="511"/>
      <c r="AC203" s="511"/>
      <c r="AD203" s="511"/>
      <c r="AE203" s="511"/>
      <c r="AF203" s="511"/>
      <c r="AG203" s="511"/>
      <c r="AH203" s="511"/>
      <c r="AI203" s="511"/>
      <c r="AJ203" s="511"/>
      <c r="AK203" s="511"/>
      <c r="AL203" s="511"/>
    </row>
    <row r="204" spans="1:38" hidden="1">
      <c r="A204" s="319">
        <v>14</v>
      </c>
      <c r="B204" s="282">
        <v>0.50913681841381442</v>
      </c>
      <c r="C204" s="282">
        <v>0.48838973468518848</v>
      </c>
      <c r="D204" s="282">
        <v>2.4734469009971309E-3</v>
      </c>
      <c r="E204" s="386"/>
      <c r="F204" s="199">
        <v>3</v>
      </c>
      <c r="G204" s="199">
        <v>2</v>
      </c>
      <c r="H204" s="155"/>
      <c r="I204" s="155"/>
      <c r="J204" s="387" t="s">
        <v>296</v>
      </c>
      <c r="K204" s="234" t="s">
        <v>283</v>
      </c>
      <c r="L204" s="234" t="s">
        <v>222</v>
      </c>
      <c r="M204" s="388">
        <v>0.87840233062968898</v>
      </c>
      <c r="N204" s="388">
        <v>0.420592802012414</v>
      </c>
      <c r="O204" s="388">
        <v>0.57801910777393595</v>
      </c>
      <c r="P204" s="388">
        <v>1.38809021364916E-3</v>
      </c>
      <c r="Q204" s="388">
        <v>0.36944969753377582</v>
      </c>
      <c r="R204" s="388">
        <v>0.50773333141711874</v>
      </c>
      <c r="S204" s="388">
        <v>1.219301678793685E-3</v>
      </c>
      <c r="T204" s="288"/>
      <c r="U204" s="391"/>
      <c r="V204" s="391"/>
      <c r="W204" s="511"/>
      <c r="X204" s="511"/>
      <c r="Y204" s="511"/>
      <c r="Z204" s="511"/>
      <c r="AA204" s="511"/>
      <c r="AB204" s="511"/>
      <c r="AC204" s="511"/>
      <c r="AD204" s="511"/>
      <c r="AE204" s="511"/>
      <c r="AF204" s="511"/>
      <c r="AG204" s="511"/>
      <c r="AH204" s="511"/>
      <c r="AI204" s="511"/>
      <c r="AJ204" s="511"/>
      <c r="AK204" s="511"/>
      <c r="AL204" s="511"/>
    </row>
    <row r="205" spans="1:38" hidden="1">
      <c r="A205" s="319">
        <v>15</v>
      </c>
      <c r="B205" s="282">
        <v>0.52427358907974586</v>
      </c>
      <c r="C205" s="282">
        <v>0.4686113719435282</v>
      </c>
      <c r="D205" s="282">
        <v>7.1150389767258857E-3</v>
      </c>
      <c r="E205" s="386"/>
      <c r="F205" s="199">
        <v>3</v>
      </c>
      <c r="G205" s="199">
        <v>2</v>
      </c>
      <c r="H205" s="155"/>
      <c r="I205" s="155"/>
      <c r="J205" s="387" t="s">
        <v>297</v>
      </c>
      <c r="K205" s="234" t="s">
        <v>283</v>
      </c>
      <c r="L205" s="234" t="s">
        <v>222</v>
      </c>
      <c r="M205" s="388">
        <v>0.86848685189464703</v>
      </c>
      <c r="N205" s="388">
        <v>0.38547467577294903</v>
      </c>
      <c r="O205" s="388">
        <v>0.61452532422705097</v>
      </c>
      <c r="P205" s="388">
        <v>0</v>
      </c>
      <c r="Q205" s="388">
        <v>0.33477968764715826</v>
      </c>
      <c r="R205" s="388">
        <v>0.53370716424748876</v>
      </c>
      <c r="S205" s="388">
        <v>0</v>
      </c>
      <c r="T205" s="288"/>
      <c r="U205" s="391"/>
      <c r="V205" s="391"/>
      <c r="W205" s="511"/>
      <c r="X205" s="511"/>
      <c r="Y205" s="511"/>
      <c r="Z205" s="511"/>
      <c r="AA205" s="511"/>
      <c r="AB205" s="511"/>
      <c r="AC205" s="511"/>
      <c r="AD205" s="511"/>
      <c r="AE205" s="511"/>
      <c r="AF205" s="511"/>
      <c r="AG205" s="511"/>
      <c r="AH205" s="511"/>
      <c r="AI205" s="511"/>
      <c r="AJ205" s="511"/>
      <c r="AK205" s="511"/>
      <c r="AL205" s="511"/>
    </row>
    <row r="206" spans="1:38" hidden="1">
      <c r="A206" s="319">
        <v>16</v>
      </c>
      <c r="B206" s="282">
        <v>0.32925015422628345</v>
      </c>
      <c r="C206" s="282">
        <v>0.66516017412819983</v>
      </c>
      <c r="D206" s="282">
        <v>5.5896716455166992E-3</v>
      </c>
      <c r="E206" s="386"/>
      <c r="F206" s="199">
        <v>1</v>
      </c>
      <c r="G206" s="199">
        <v>4</v>
      </c>
      <c r="H206" s="155"/>
      <c r="I206" s="155"/>
      <c r="J206" s="387" t="s">
        <v>298</v>
      </c>
      <c r="K206" s="234" t="s">
        <v>283</v>
      </c>
      <c r="L206" s="234" t="s">
        <v>222</v>
      </c>
      <c r="M206" s="388">
        <v>0.73640494632961395</v>
      </c>
      <c r="N206" s="388">
        <v>0.48204749105772099</v>
      </c>
      <c r="O206" s="388">
        <v>0.51795250894227896</v>
      </c>
      <c r="P206" s="388">
        <v>0</v>
      </c>
      <c r="Q206" s="390">
        <v>0.35498215678068606</v>
      </c>
      <c r="R206" s="390">
        <v>0.38142278954892783</v>
      </c>
      <c r="S206" s="388">
        <v>0</v>
      </c>
      <c r="T206" s="288"/>
      <c r="U206" s="391"/>
      <c r="V206" s="391"/>
      <c r="W206" s="511"/>
      <c r="X206" s="511"/>
      <c r="Y206" s="511"/>
      <c r="Z206" s="511"/>
      <c r="AA206" s="511"/>
      <c r="AB206" s="511"/>
      <c r="AC206" s="511"/>
      <c r="AD206" s="511"/>
      <c r="AE206" s="511"/>
      <c r="AF206" s="511"/>
      <c r="AG206" s="511"/>
      <c r="AH206" s="511"/>
      <c r="AI206" s="511"/>
      <c r="AJ206" s="511"/>
      <c r="AK206" s="511"/>
      <c r="AL206" s="511"/>
    </row>
    <row r="207" spans="1:38" hidden="1">
      <c r="J207" s="387" t="s">
        <v>299</v>
      </c>
      <c r="K207" s="234" t="s">
        <v>283</v>
      </c>
      <c r="L207" s="234" t="s">
        <v>222</v>
      </c>
      <c r="M207" s="388">
        <v>0.90563925890418395</v>
      </c>
      <c r="N207" s="388">
        <v>0.35215232552270398</v>
      </c>
      <c r="O207" s="388">
        <v>0.64784767447729597</v>
      </c>
      <c r="P207" s="388">
        <v>0</v>
      </c>
      <c r="Q207" s="388">
        <v>0.31892297110776657</v>
      </c>
      <c r="R207" s="388">
        <v>0.58671628779641738</v>
      </c>
      <c r="S207" s="388">
        <v>0</v>
      </c>
      <c r="T207" s="288"/>
      <c r="U207" s="391"/>
      <c r="V207" s="391"/>
      <c r="W207" s="511"/>
      <c r="X207" s="511"/>
      <c r="Y207" s="511"/>
      <c r="Z207" s="511"/>
      <c r="AA207" s="511"/>
      <c r="AB207" s="511"/>
      <c r="AC207" s="511"/>
      <c r="AD207" s="511"/>
      <c r="AE207" s="511"/>
      <c r="AF207" s="511"/>
      <c r="AG207" s="511"/>
      <c r="AH207" s="511"/>
      <c r="AI207" s="511"/>
      <c r="AJ207" s="511"/>
      <c r="AK207" s="511"/>
      <c r="AL207" s="511"/>
    </row>
    <row r="208" spans="1:38" hidden="1">
      <c r="U208" s="391"/>
      <c r="V208" s="391"/>
      <c r="W208" s="511"/>
      <c r="X208" s="511"/>
      <c r="Y208" s="511"/>
      <c r="Z208" s="511"/>
      <c r="AA208" s="511"/>
      <c r="AB208" s="511"/>
      <c r="AC208" s="511"/>
      <c r="AD208" s="511"/>
      <c r="AE208" s="511"/>
      <c r="AF208" s="511"/>
      <c r="AG208" s="511"/>
      <c r="AH208" s="511"/>
      <c r="AI208" s="511"/>
      <c r="AJ208" s="511"/>
      <c r="AK208" s="511"/>
      <c r="AL208" s="511"/>
    </row>
    <row r="209" spans="20:38" hidden="1">
      <c r="U209" s="391"/>
      <c r="V209" s="391"/>
      <c r="W209" s="511"/>
      <c r="X209" s="511"/>
      <c r="Y209" s="511"/>
      <c r="Z209" s="511"/>
      <c r="AA209" s="511"/>
      <c r="AB209" s="511"/>
      <c r="AC209" s="511"/>
      <c r="AD209" s="511"/>
      <c r="AE209" s="511"/>
      <c r="AF209" s="511"/>
      <c r="AG209" s="511"/>
      <c r="AH209" s="511"/>
      <c r="AI209" s="511"/>
      <c r="AJ209" s="511"/>
      <c r="AK209" s="511"/>
      <c r="AL209" s="511"/>
    </row>
    <row r="210" spans="20:38" hidden="1">
      <c r="U210" s="391"/>
      <c r="V210" s="391"/>
      <c r="W210" s="511"/>
      <c r="X210" s="511"/>
      <c r="Y210" s="511"/>
      <c r="Z210" s="511"/>
      <c r="AA210" s="511"/>
      <c r="AB210" s="511"/>
      <c r="AC210" s="511"/>
      <c r="AD210" s="511"/>
      <c r="AE210" s="511"/>
      <c r="AF210" s="511"/>
      <c r="AG210" s="511"/>
      <c r="AH210" s="511"/>
      <c r="AI210" s="511"/>
      <c r="AJ210" s="511"/>
      <c r="AK210" s="511"/>
      <c r="AL210" s="511"/>
    </row>
    <row r="211" spans="20:38" hidden="1">
      <c r="U211" s="391"/>
      <c r="V211" s="391"/>
      <c r="W211" s="511"/>
      <c r="X211" s="511"/>
      <c r="Y211" s="511"/>
      <c r="Z211" s="511"/>
      <c r="AA211" s="511"/>
      <c r="AB211" s="511"/>
      <c r="AC211" s="511"/>
      <c r="AD211" s="511"/>
      <c r="AE211" s="511"/>
      <c r="AF211" s="511"/>
      <c r="AG211" s="511"/>
      <c r="AH211" s="511"/>
      <c r="AI211" s="511"/>
      <c r="AJ211" s="511"/>
      <c r="AK211" s="511"/>
      <c r="AL211" s="511"/>
    </row>
    <row r="212" spans="20:38" hidden="1">
      <c r="U212" s="391"/>
      <c r="V212" s="512"/>
      <c r="W212" s="511"/>
      <c r="X212" s="511"/>
      <c r="Y212" s="511"/>
      <c r="Z212" s="511"/>
      <c r="AA212" s="511"/>
      <c r="AB212" s="511"/>
      <c r="AC212" s="511"/>
      <c r="AD212" s="511"/>
      <c r="AE212" s="511"/>
      <c r="AF212" s="511"/>
      <c r="AG212" s="511"/>
      <c r="AH212" s="511"/>
      <c r="AI212" s="511"/>
      <c r="AJ212" s="511"/>
      <c r="AK212" s="511"/>
      <c r="AL212" s="511"/>
    </row>
    <row r="213" spans="20:38" hidden="1">
      <c r="U213" s="164"/>
      <c r="V213" s="164"/>
      <c r="W213" s="391"/>
      <c r="X213" s="391"/>
      <c r="Y213" s="391"/>
      <c r="Z213" s="391"/>
      <c r="AA213" s="391"/>
      <c r="AB213" s="391"/>
      <c r="AC213" s="391"/>
      <c r="AD213" s="391"/>
      <c r="AE213" s="391"/>
      <c r="AF213" s="391"/>
      <c r="AG213" s="391"/>
      <c r="AH213" s="391"/>
      <c r="AI213" s="391"/>
      <c r="AJ213" s="391"/>
      <c r="AK213" s="391"/>
      <c r="AL213" s="391"/>
    </row>
    <row r="214" spans="20:38" hidden="1">
      <c r="W214" s="296"/>
      <c r="X214" s="296"/>
      <c r="Y214" s="296"/>
      <c r="Z214" s="296"/>
      <c r="AA214" s="296"/>
      <c r="AB214" s="296"/>
      <c r="AC214" s="296"/>
      <c r="AD214" s="296"/>
      <c r="AE214" s="296"/>
      <c r="AF214" s="296"/>
      <c r="AG214" s="296"/>
      <c r="AH214" s="296"/>
      <c r="AI214" s="296"/>
      <c r="AJ214" s="296"/>
      <c r="AK214" s="296"/>
      <c r="AL214" s="296"/>
    </row>
    <row r="215" spans="20:38" hidden="1"/>
    <row r="216" spans="20:38" hidden="1">
      <c r="U216" s="281"/>
      <c r="V216" s="281"/>
      <c r="W216" s="513"/>
      <c r="X216" s="513"/>
      <c r="Y216" s="513"/>
      <c r="Z216" s="513"/>
      <c r="AA216" s="513"/>
      <c r="AB216" s="513"/>
      <c r="AC216" s="513"/>
      <c r="AD216" s="513"/>
      <c r="AE216" s="513"/>
      <c r="AF216" s="513"/>
      <c r="AG216" s="513"/>
      <c r="AH216" s="513"/>
      <c r="AI216" s="513"/>
      <c r="AJ216" s="513"/>
      <c r="AK216" s="513"/>
      <c r="AL216" s="513"/>
    </row>
    <row r="217" spans="20:38" ht="16.95" hidden="1" customHeight="1">
      <c r="V217" s="514"/>
      <c r="W217" s="515"/>
      <c r="X217" s="515"/>
      <c r="Y217" s="515"/>
      <c r="Z217" s="515"/>
      <c r="AA217" s="515"/>
      <c r="AB217" s="515"/>
      <c r="AC217" s="515"/>
      <c r="AD217" s="515"/>
      <c r="AE217" s="515"/>
      <c r="AF217" s="515"/>
      <c r="AG217" s="515"/>
      <c r="AH217" s="515"/>
      <c r="AI217" s="515"/>
      <c r="AJ217" s="515"/>
      <c r="AK217" s="515"/>
      <c r="AL217" s="515"/>
    </row>
    <row r="218" spans="20:38" hidden="1">
      <c r="T218" s="155"/>
      <c r="U218" s="296"/>
      <c r="V218" s="514"/>
      <c r="W218" s="515"/>
      <c r="X218" s="515"/>
      <c r="Y218" s="515"/>
      <c r="Z218" s="515"/>
      <c r="AA218" s="515"/>
      <c r="AB218" s="515"/>
      <c r="AC218" s="515"/>
      <c r="AD218" s="515"/>
      <c r="AE218" s="515"/>
      <c r="AF218" s="515"/>
      <c r="AG218" s="515"/>
      <c r="AH218" s="515"/>
      <c r="AI218" s="515"/>
      <c r="AJ218" s="515"/>
      <c r="AK218" s="515"/>
      <c r="AL218" s="515"/>
    </row>
    <row r="219" spans="20:38" hidden="1">
      <c r="T219" s="161"/>
      <c r="U219" s="296"/>
      <c r="V219" s="514"/>
      <c r="W219" s="515"/>
      <c r="X219" s="515"/>
      <c r="Y219" s="515"/>
      <c r="Z219" s="515"/>
      <c r="AA219" s="515"/>
      <c r="AB219" s="515"/>
      <c r="AC219" s="515"/>
      <c r="AD219" s="515"/>
      <c r="AE219" s="515"/>
      <c r="AF219" s="515"/>
      <c r="AG219" s="515"/>
      <c r="AH219" s="515"/>
      <c r="AI219" s="515"/>
      <c r="AJ219" s="515"/>
      <c r="AK219" s="515"/>
      <c r="AL219" s="515"/>
    </row>
    <row r="220" spans="20:38" hidden="1">
      <c r="T220" s="161"/>
      <c r="U220" s="296"/>
      <c r="V220" s="514"/>
      <c r="W220" s="515"/>
      <c r="X220" s="515"/>
      <c r="Y220" s="515"/>
      <c r="Z220" s="515"/>
      <c r="AA220" s="515"/>
      <c r="AB220" s="515"/>
      <c r="AC220" s="515"/>
      <c r="AD220" s="515"/>
      <c r="AE220" s="515"/>
      <c r="AF220" s="515"/>
      <c r="AG220" s="515"/>
      <c r="AH220" s="515"/>
      <c r="AI220" s="515"/>
      <c r="AJ220" s="515"/>
      <c r="AK220" s="515"/>
      <c r="AL220" s="515"/>
    </row>
    <row r="221" spans="20:38">
      <c r="U221" s="296"/>
      <c r="V221" s="514"/>
      <c r="W221" s="515"/>
      <c r="X221" s="515"/>
      <c r="Y221" s="515"/>
      <c r="Z221" s="515"/>
      <c r="AA221" s="515"/>
      <c r="AB221" s="515"/>
      <c r="AC221" s="515"/>
      <c r="AD221" s="515"/>
      <c r="AE221" s="515"/>
      <c r="AF221" s="515"/>
      <c r="AG221" s="515"/>
      <c r="AH221" s="515"/>
      <c r="AI221" s="515"/>
      <c r="AJ221" s="515"/>
      <c r="AK221" s="515"/>
      <c r="AL221" s="515"/>
    </row>
    <row r="222" spans="20:38">
      <c r="U222" s="296"/>
      <c r="V222" s="514"/>
      <c r="W222" s="515"/>
      <c r="X222" s="515"/>
      <c r="Y222" s="515"/>
      <c r="Z222" s="515"/>
      <c r="AA222" s="515"/>
      <c r="AB222" s="515"/>
      <c r="AC222" s="515"/>
      <c r="AD222" s="515"/>
      <c r="AE222" s="515"/>
      <c r="AF222" s="515"/>
      <c r="AG222" s="515"/>
      <c r="AH222" s="515"/>
      <c r="AI222" s="515"/>
      <c r="AJ222" s="515"/>
      <c r="AK222" s="515"/>
      <c r="AL222" s="515"/>
    </row>
    <row r="223" spans="20:38">
      <c r="U223" s="296"/>
      <c r="V223" s="514"/>
      <c r="W223" s="515"/>
      <c r="X223" s="515"/>
      <c r="Y223" s="515"/>
      <c r="Z223" s="515"/>
      <c r="AA223" s="515"/>
      <c r="AB223" s="515"/>
      <c r="AC223" s="515"/>
      <c r="AD223" s="515"/>
      <c r="AE223" s="515"/>
      <c r="AF223" s="515"/>
      <c r="AG223" s="515"/>
      <c r="AH223" s="515"/>
      <c r="AI223" s="515"/>
      <c r="AJ223" s="515"/>
      <c r="AK223" s="515"/>
      <c r="AL223" s="515"/>
    </row>
    <row r="224" spans="20:38">
      <c r="U224" s="296"/>
      <c r="V224" s="514"/>
      <c r="W224" s="515"/>
      <c r="X224" s="515"/>
      <c r="Y224" s="515"/>
      <c r="Z224" s="515"/>
      <c r="AA224" s="515"/>
      <c r="AB224" s="515"/>
      <c r="AC224" s="515"/>
      <c r="AD224" s="515"/>
      <c r="AE224" s="515"/>
      <c r="AF224" s="515"/>
      <c r="AG224" s="515"/>
      <c r="AH224" s="515"/>
      <c r="AI224" s="515"/>
      <c r="AJ224" s="515"/>
      <c r="AK224" s="515"/>
      <c r="AL224" s="515"/>
    </row>
    <row r="225" spans="14:38">
      <c r="U225" s="296"/>
      <c r="V225" s="514"/>
      <c r="W225" s="515"/>
      <c r="X225" s="515"/>
      <c r="Y225" s="515"/>
      <c r="Z225" s="515"/>
      <c r="AA225" s="515"/>
      <c r="AB225" s="515"/>
      <c r="AC225" s="515"/>
      <c r="AD225" s="515"/>
      <c r="AE225" s="515"/>
      <c r="AF225" s="515"/>
      <c r="AG225" s="515"/>
      <c r="AH225" s="515"/>
      <c r="AI225" s="515"/>
      <c r="AJ225" s="515"/>
      <c r="AK225" s="515"/>
      <c r="AL225" s="515"/>
    </row>
    <row r="226" spans="14:38">
      <c r="U226" s="296"/>
      <c r="V226" s="514"/>
      <c r="W226" s="515"/>
      <c r="X226" s="515"/>
      <c r="Y226" s="515"/>
      <c r="Z226" s="515"/>
      <c r="AA226" s="515"/>
      <c r="AB226" s="515"/>
      <c r="AC226" s="515"/>
      <c r="AD226" s="515"/>
      <c r="AE226" s="515"/>
      <c r="AF226" s="515"/>
      <c r="AG226" s="515"/>
      <c r="AH226" s="515"/>
      <c r="AI226" s="515"/>
      <c r="AJ226" s="515"/>
      <c r="AK226" s="515"/>
      <c r="AL226" s="515"/>
    </row>
    <row r="227" spans="14:38">
      <c r="N227" s="392"/>
      <c r="O227" s="392"/>
      <c r="U227" s="296"/>
      <c r="V227" s="514"/>
      <c r="W227" s="515"/>
      <c r="X227" s="515"/>
      <c r="Y227" s="515"/>
      <c r="Z227" s="515"/>
      <c r="AA227" s="515"/>
      <c r="AB227" s="515"/>
      <c r="AC227" s="515"/>
      <c r="AD227" s="515"/>
      <c r="AE227" s="515"/>
      <c r="AF227" s="515"/>
      <c r="AG227" s="515"/>
      <c r="AH227" s="515"/>
      <c r="AI227" s="515"/>
      <c r="AJ227" s="515"/>
      <c r="AK227" s="515"/>
      <c r="AL227" s="515"/>
    </row>
    <row r="228" spans="14:38">
      <c r="U228" s="296"/>
      <c r="V228" s="514"/>
      <c r="W228" s="515"/>
      <c r="X228" s="515"/>
      <c r="Y228" s="515"/>
      <c r="Z228" s="515"/>
      <c r="AA228" s="515"/>
      <c r="AB228" s="515"/>
      <c r="AC228" s="515"/>
      <c r="AD228" s="515"/>
      <c r="AE228" s="515"/>
      <c r="AF228" s="515"/>
      <c r="AG228" s="515"/>
      <c r="AH228" s="515"/>
      <c r="AI228" s="515"/>
      <c r="AJ228" s="515"/>
      <c r="AK228" s="515"/>
      <c r="AL228" s="515"/>
    </row>
    <row r="230" spans="14:38">
      <c r="U230" s="296"/>
      <c r="V230" s="514"/>
      <c r="W230" s="515"/>
      <c r="X230" s="515"/>
      <c r="Y230" s="515"/>
      <c r="Z230" s="515"/>
      <c r="AA230" s="515"/>
      <c r="AB230" s="515"/>
      <c r="AC230" s="515"/>
      <c r="AD230" s="515"/>
      <c r="AE230" s="515"/>
      <c r="AF230" s="515"/>
      <c r="AG230" s="515"/>
      <c r="AH230" s="515"/>
      <c r="AI230" s="515"/>
      <c r="AJ230" s="515"/>
      <c r="AK230" s="515"/>
      <c r="AL230" s="515"/>
    </row>
    <row r="231" spans="14:38">
      <c r="U231" s="296"/>
      <c r="V231" s="514"/>
      <c r="W231" s="515"/>
      <c r="X231" s="515"/>
      <c r="Y231" s="515"/>
      <c r="Z231" s="515"/>
      <c r="AA231" s="515"/>
      <c r="AB231" s="515"/>
      <c r="AC231" s="515"/>
      <c r="AD231" s="515"/>
      <c r="AE231" s="515"/>
      <c r="AF231" s="515"/>
      <c r="AG231" s="515"/>
      <c r="AH231" s="515"/>
      <c r="AI231" s="515"/>
      <c r="AJ231" s="515"/>
      <c r="AK231" s="515"/>
      <c r="AL231" s="515"/>
    </row>
    <row r="232" spans="14:38">
      <c r="U232" s="296"/>
      <c r="V232" s="514"/>
      <c r="W232" s="515"/>
      <c r="X232" s="515"/>
      <c r="Y232" s="515"/>
      <c r="Z232" s="515"/>
      <c r="AA232" s="515"/>
      <c r="AB232" s="515"/>
      <c r="AC232" s="515"/>
      <c r="AD232" s="515"/>
      <c r="AE232" s="515"/>
      <c r="AF232" s="515"/>
      <c r="AG232" s="515"/>
      <c r="AH232" s="515"/>
      <c r="AI232" s="515"/>
      <c r="AJ232" s="515"/>
      <c r="AK232" s="515"/>
      <c r="AL232" s="515"/>
    </row>
    <row r="233" spans="14:38">
      <c r="U233" s="296"/>
      <c r="V233" s="514"/>
      <c r="W233" s="515"/>
      <c r="X233" s="515"/>
      <c r="Y233" s="515"/>
      <c r="Z233" s="515"/>
      <c r="AA233" s="515"/>
      <c r="AB233" s="515"/>
      <c r="AC233" s="515"/>
      <c r="AD233" s="515"/>
      <c r="AE233" s="515"/>
      <c r="AF233" s="515"/>
      <c r="AG233" s="515"/>
      <c r="AH233" s="515"/>
      <c r="AI233" s="515"/>
      <c r="AJ233" s="515"/>
      <c r="AK233" s="515"/>
      <c r="AL233" s="515"/>
    </row>
    <row r="234" spans="14:38">
      <c r="U234" s="296"/>
      <c r="V234" s="514"/>
      <c r="W234" s="515"/>
      <c r="X234" s="515"/>
      <c r="Y234" s="515"/>
      <c r="Z234" s="515"/>
      <c r="AA234" s="515"/>
      <c r="AB234" s="515"/>
      <c r="AC234" s="515"/>
      <c r="AD234" s="515"/>
      <c r="AE234" s="515"/>
      <c r="AF234" s="515"/>
      <c r="AG234" s="515"/>
      <c r="AH234" s="515"/>
      <c r="AI234" s="515"/>
      <c r="AJ234" s="515"/>
      <c r="AK234" s="515"/>
      <c r="AL234" s="515"/>
    </row>
    <row r="235" spans="14:38">
      <c r="U235" s="296"/>
      <c r="V235" s="514"/>
      <c r="W235" s="515"/>
      <c r="X235" s="515"/>
      <c r="Y235" s="515"/>
      <c r="Z235" s="515"/>
      <c r="AA235" s="515"/>
      <c r="AB235" s="515"/>
      <c r="AC235" s="515"/>
      <c r="AD235" s="515"/>
      <c r="AE235" s="515"/>
      <c r="AF235" s="515"/>
      <c r="AG235" s="515"/>
      <c r="AH235" s="515"/>
      <c r="AI235" s="515"/>
      <c r="AJ235" s="515"/>
      <c r="AK235" s="515"/>
      <c r="AL235" s="515"/>
    </row>
    <row r="236" spans="14:38">
      <c r="U236" s="296"/>
      <c r="V236" s="514"/>
      <c r="W236" s="515"/>
      <c r="X236" s="515"/>
      <c r="Y236" s="515"/>
      <c r="Z236" s="515"/>
      <c r="AA236" s="515"/>
      <c r="AB236" s="515"/>
      <c r="AC236" s="515"/>
      <c r="AD236" s="515"/>
      <c r="AE236" s="515"/>
      <c r="AF236" s="515"/>
      <c r="AG236" s="515"/>
      <c r="AH236" s="515"/>
      <c r="AI236" s="515"/>
      <c r="AJ236" s="515"/>
      <c r="AK236" s="515"/>
      <c r="AL236" s="515"/>
    </row>
    <row r="237" spans="14:38">
      <c r="U237" s="296"/>
      <c r="V237" s="514"/>
      <c r="W237" s="515"/>
      <c r="X237" s="515"/>
      <c r="Y237" s="515"/>
      <c r="Z237" s="515"/>
      <c r="AA237" s="515"/>
      <c r="AB237" s="515"/>
      <c r="AC237" s="515"/>
      <c r="AD237" s="515"/>
      <c r="AE237" s="515"/>
      <c r="AF237" s="515"/>
      <c r="AG237" s="515"/>
      <c r="AH237" s="515"/>
      <c r="AI237" s="515"/>
      <c r="AJ237" s="515"/>
      <c r="AK237" s="515"/>
      <c r="AL237" s="515"/>
    </row>
    <row r="238" spans="14:38">
      <c r="U238" s="296"/>
      <c r="W238" s="295"/>
      <c r="X238" s="295"/>
      <c r="Y238" s="295"/>
      <c r="Z238" s="295"/>
      <c r="AA238" s="295"/>
      <c r="AB238" s="295"/>
      <c r="AC238" s="295"/>
      <c r="AD238" s="295"/>
      <c r="AE238" s="295"/>
      <c r="AF238" s="295"/>
      <c r="AG238" s="295"/>
      <c r="AH238" s="295"/>
      <c r="AI238" s="295"/>
      <c r="AJ238" s="295"/>
      <c r="AK238" s="295"/>
      <c r="AL238" s="295"/>
    </row>
    <row r="239" spans="14:38">
      <c r="U239" s="314"/>
      <c r="W239" s="296"/>
      <c r="X239" s="296"/>
      <c r="Y239" s="296"/>
      <c r="Z239" s="296"/>
      <c r="AA239" s="296"/>
      <c r="AB239" s="296"/>
      <c r="AC239" s="296"/>
      <c r="AD239" s="296"/>
      <c r="AE239" s="296"/>
      <c r="AF239" s="296"/>
      <c r="AG239" s="296"/>
      <c r="AH239" s="296"/>
      <c r="AI239" s="296"/>
      <c r="AJ239" s="296"/>
      <c r="AK239" s="296"/>
      <c r="AL239" s="296"/>
    </row>
    <row r="240" spans="14:38">
      <c r="U240" s="296"/>
    </row>
    <row r="243" spans="21:38">
      <c r="U243" s="281"/>
      <c r="V243" s="281"/>
      <c r="W243" s="513"/>
      <c r="X243" s="513"/>
      <c r="Y243" s="513"/>
      <c r="Z243" s="513"/>
      <c r="AA243" s="513"/>
      <c r="AB243" s="513"/>
      <c r="AC243" s="513"/>
      <c r="AD243" s="513"/>
      <c r="AE243" s="513"/>
      <c r="AF243" s="513"/>
      <c r="AG243" s="513"/>
      <c r="AH243" s="513"/>
      <c r="AI243" s="513"/>
      <c r="AJ243" s="513"/>
      <c r="AK243" s="513"/>
      <c r="AL243" s="513"/>
    </row>
    <row r="244" spans="21:38">
      <c r="V244" s="315"/>
    </row>
    <row r="245" spans="21:38">
      <c r="U245" s="296"/>
      <c r="V245" s="315"/>
    </row>
    <row r="246" spans="21:38">
      <c r="U246" s="296"/>
      <c r="V246" s="315"/>
    </row>
    <row r="247" spans="21:38">
      <c r="U247" s="296"/>
      <c r="V247" s="315"/>
    </row>
    <row r="248" spans="21:38">
      <c r="U248" s="296"/>
      <c r="V248" s="315"/>
    </row>
    <row r="249" spans="21:38">
      <c r="U249" s="296"/>
      <c r="V249" s="315"/>
    </row>
    <row r="250" spans="21:38">
      <c r="U250" s="296"/>
      <c r="V250" s="315"/>
    </row>
    <row r="251" spans="21:38">
      <c r="U251" s="296"/>
      <c r="V251" s="315"/>
    </row>
    <row r="252" spans="21:38">
      <c r="U252" s="296"/>
      <c r="V252" s="315"/>
    </row>
    <row r="253" spans="21:38">
      <c r="U253" s="296"/>
      <c r="V253" s="315"/>
    </row>
    <row r="254" spans="21:38">
      <c r="U254" s="296"/>
      <c r="V254" s="315"/>
    </row>
    <row r="255" spans="21:38">
      <c r="U255" s="296"/>
      <c r="V255" s="315"/>
    </row>
    <row r="256" spans="21:38">
      <c r="U256" s="296"/>
      <c r="V256" s="315"/>
    </row>
    <row r="257" spans="21:38">
      <c r="U257" s="296"/>
      <c r="V257" s="315"/>
    </row>
    <row r="258" spans="21:38">
      <c r="U258" s="296"/>
      <c r="V258" s="315"/>
    </row>
    <row r="259" spans="21:38">
      <c r="U259" s="296"/>
      <c r="V259" s="315"/>
    </row>
    <row r="260" spans="21:38">
      <c r="U260" s="296"/>
      <c r="V260" s="315"/>
    </row>
    <row r="261" spans="21:38">
      <c r="U261" s="296"/>
      <c r="V261" s="315"/>
    </row>
    <row r="262" spans="21:38">
      <c r="U262" s="296"/>
      <c r="V262" s="315"/>
    </row>
    <row r="263" spans="21:38">
      <c r="U263" s="296"/>
      <c r="V263" s="315"/>
    </row>
    <row r="264" spans="21:38">
      <c r="U264" s="296"/>
      <c r="V264" s="315"/>
    </row>
    <row r="265" spans="21:38">
      <c r="U265" s="296"/>
      <c r="W265" s="295"/>
      <c r="X265" s="295"/>
      <c r="Y265" s="295"/>
      <c r="Z265" s="295"/>
      <c r="AA265" s="295"/>
      <c r="AB265" s="295"/>
      <c r="AC265" s="295"/>
      <c r="AD265" s="295"/>
      <c r="AE265" s="295"/>
      <c r="AF265" s="295"/>
      <c r="AG265" s="295"/>
      <c r="AH265" s="295"/>
      <c r="AI265" s="295"/>
      <c r="AJ265" s="295"/>
      <c r="AK265" s="295"/>
      <c r="AL265" s="295"/>
    </row>
    <row r="266" spans="21:38">
      <c r="U266" s="314"/>
      <c r="W266" s="296"/>
      <c r="X266" s="296"/>
      <c r="Y266" s="296"/>
      <c r="Z266" s="296"/>
      <c r="AA266" s="296"/>
      <c r="AB266" s="296"/>
      <c r="AC266" s="296"/>
      <c r="AD266" s="296"/>
      <c r="AE266" s="296"/>
      <c r="AF266" s="296"/>
      <c r="AG266" s="296"/>
      <c r="AH266" s="296"/>
      <c r="AI266" s="296"/>
      <c r="AJ266" s="296"/>
      <c r="AK266" s="296"/>
      <c r="AL266" s="296"/>
    </row>
  </sheetData>
  <mergeCells count="22">
    <mergeCell ref="A1:E1"/>
    <mergeCell ref="A8:E8"/>
    <mergeCell ref="F4:I4"/>
    <mergeCell ref="A23:E23"/>
    <mergeCell ref="U189:AL189"/>
    <mergeCell ref="A188:S188"/>
    <mergeCell ref="J189:S189"/>
    <mergeCell ref="A161:J161"/>
    <mergeCell ref="A189:A190"/>
    <mergeCell ref="B189:D189"/>
    <mergeCell ref="F189:G189"/>
    <mergeCell ref="C163:K163"/>
    <mergeCell ref="B121:H121"/>
    <mergeCell ref="A117:H119"/>
    <mergeCell ref="B112:H112"/>
    <mergeCell ref="A108:G110"/>
    <mergeCell ref="I141:J141"/>
    <mergeCell ref="A141:F141"/>
    <mergeCell ref="A140:J140"/>
    <mergeCell ref="A128:H129"/>
    <mergeCell ref="A124:H124"/>
    <mergeCell ref="A125:H126"/>
  </mergeCells>
  <phoneticPr fontId="9" type="noConversion"/>
  <hyperlinks>
    <hyperlink ref="C18" r:id="rId1" display="https://www.govinfo.gov/content/pkg/FR-2009-03-23/pdf/FR-2009-03-23.pdf" xr:uid="{5E4CD65A-46AD-4054-ABDD-55C36A7654BA}"/>
    <hyperlink ref="C19" r:id="rId2" xr:uid="{AC051AE5-5341-4B52-B74E-16B6564448D8}"/>
    <hyperlink ref="C20" r:id="rId3" xr:uid="{4496A998-9F77-4D1A-B531-066DDCD25171}"/>
    <hyperlink ref="C21" r:id="rId4" xr:uid="{98A8A415-E85E-4551-AC21-AE31B8D3FB6C}"/>
    <hyperlink ref="A29" r:id="rId5" xr:uid="{190B6805-89B5-4A8F-8D5B-EEFBBD33B816}"/>
    <hyperlink ref="K45" r:id="rId6" display="https://www.govinfo.gov/content/pkg/FR-2009-03-23/pdf/FR-2009-03-23.pdf" xr:uid="{62B6B51E-1A1B-45D0-AF34-27A0B47338E2}"/>
    <hyperlink ref="A100" r:id="rId7" display="file:///N:/Prj_SUS/2023/S23668%20SCE%20CA%20Prototypes%20Development/Technical/Database/Papers/Insights%20from%20hydronic%20heating%20systems%20in%20259%20commercial%20buildings/Insights%20from%20hydronic%20heating%20systems%20in%20259%20commercial%20buildings.pdf" xr:uid="{7A67BCDD-17F8-4522-BFA1-3E1F8BEA906B}"/>
  </hyperlinks>
  <pageMargins left="0.7" right="0.7" top="0.75" bottom="0.75" header="0.3" footer="0.3"/>
  <pageSetup orientation="portrait" r:id="rId8"/>
  <drawing r:id="rId9"/>
  <legacyDrawing r:id="rId1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D6AA-916D-4427-B361-5898BBB8B544}">
  <sheetPr codeName="Sheet8"/>
  <dimension ref="A1:AQ78"/>
  <sheetViews>
    <sheetView topLeftCell="L1" zoomScale="85" zoomScaleNormal="85" workbookViewId="0">
      <selection activeCell="AB3" sqref="AB3"/>
    </sheetView>
  </sheetViews>
  <sheetFormatPr defaultRowHeight="14.4"/>
  <cols>
    <col min="1" max="1" width="16.21875" customWidth="1"/>
    <col min="2" max="4" width="11.21875" customWidth="1"/>
    <col min="5" max="5" width="11.21875" style="74" customWidth="1"/>
    <col min="6" max="8" width="11.21875" customWidth="1"/>
    <col min="9" max="9" width="2.77734375" customWidth="1"/>
    <col min="15" max="24" width="15.21875" customWidth="1"/>
    <col min="25" max="25" width="11.21875" customWidth="1"/>
    <col min="26" max="26" width="7.77734375" customWidth="1"/>
    <col min="27" max="27" width="12.44140625" customWidth="1"/>
    <col min="28" max="43" width="6.5546875" customWidth="1"/>
  </cols>
  <sheetData>
    <row r="1" spans="1:43" ht="30" customHeight="1">
      <c r="A1" s="755" t="s">
        <v>310</v>
      </c>
      <c r="B1" s="756" t="s">
        <v>311</v>
      </c>
      <c r="C1" s="756"/>
      <c r="D1" s="756"/>
      <c r="E1" s="71"/>
      <c r="F1" s="752" t="s">
        <v>312</v>
      </c>
      <c r="G1" s="753"/>
      <c r="H1" s="753"/>
      <c r="I1" s="58"/>
      <c r="J1" s="754" t="s">
        <v>303</v>
      </c>
      <c r="K1" s="754"/>
      <c r="L1" s="69"/>
      <c r="M1" s="69"/>
      <c r="Z1" s="751" t="s">
        <v>313</v>
      </c>
      <c r="AA1" s="751"/>
      <c r="AB1" s="751"/>
      <c r="AC1" s="751"/>
      <c r="AD1" s="751"/>
      <c r="AE1" s="751"/>
      <c r="AF1" s="751"/>
      <c r="AG1" s="751"/>
      <c r="AH1" s="751"/>
      <c r="AI1" s="751"/>
      <c r="AJ1" s="751"/>
      <c r="AK1" s="751"/>
      <c r="AL1" s="751"/>
      <c r="AM1" s="751"/>
      <c r="AN1" s="751"/>
      <c r="AO1" s="751"/>
      <c r="AP1" s="751"/>
      <c r="AQ1" s="751"/>
    </row>
    <row r="2" spans="1:43" ht="30" customHeight="1">
      <c r="A2" s="755"/>
      <c r="B2" s="59" t="str">
        <f>AA28</f>
        <v>Saturation (Electric)</v>
      </c>
      <c r="C2" s="59" t="str">
        <f>AA2</f>
        <v>Saturation (Gas)</v>
      </c>
      <c r="D2" s="59" t="str">
        <f>AA55</f>
        <v>Saturation
(Other Fuels)</v>
      </c>
      <c r="E2" s="72"/>
      <c r="F2" s="68" t="str">
        <f>'HVAC System'!B190</f>
        <v>Elec</v>
      </c>
      <c r="G2" s="68" t="str">
        <f>'HVAC System'!C190</f>
        <v>Gas</v>
      </c>
      <c r="H2" s="68" t="str">
        <f>'HVAC System'!D190</f>
        <v>Un-known</v>
      </c>
      <c r="I2" s="56"/>
      <c r="J2" s="55" t="s">
        <v>305</v>
      </c>
      <c r="K2" s="55" t="s">
        <v>306</v>
      </c>
      <c r="L2" s="70"/>
      <c r="M2" s="70"/>
      <c r="O2" s="11" t="s">
        <v>267</v>
      </c>
      <c r="P2" s="4" t="s">
        <v>268</v>
      </c>
      <c r="Q2" s="4" t="s">
        <v>307</v>
      </c>
      <c r="R2" s="5" t="s">
        <v>269</v>
      </c>
      <c r="S2" s="5" t="s">
        <v>270</v>
      </c>
      <c r="T2" s="5" t="s">
        <v>308</v>
      </c>
      <c r="U2" s="5" t="s">
        <v>309</v>
      </c>
      <c r="V2" s="20" t="s">
        <v>271</v>
      </c>
      <c r="W2" s="20" t="s">
        <v>272</v>
      </c>
      <c r="X2" s="5" t="s">
        <v>273</v>
      </c>
      <c r="Y2" s="22"/>
      <c r="Z2" s="63"/>
      <c r="AA2" s="63" t="s">
        <v>272</v>
      </c>
      <c r="AB2" s="64">
        <v>1</v>
      </c>
      <c r="AC2" s="64">
        <v>2</v>
      </c>
      <c r="AD2" s="64">
        <v>3</v>
      </c>
      <c r="AE2" s="64">
        <v>4</v>
      </c>
      <c r="AF2" s="64">
        <v>5</v>
      </c>
      <c r="AG2" s="64">
        <v>6</v>
      </c>
      <c r="AH2" s="64">
        <v>7</v>
      </c>
      <c r="AI2" s="64">
        <v>8</v>
      </c>
      <c r="AJ2" s="64">
        <v>9</v>
      </c>
      <c r="AK2" s="64">
        <v>10</v>
      </c>
      <c r="AL2" s="64">
        <v>11</v>
      </c>
      <c r="AM2" s="64">
        <v>12</v>
      </c>
      <c r="AN2" s="64">
        <v>13</v>
      </c>
      <c r="AO2" s="64">
        <v>14</v>
      </c>
      <c r="AP2" s="64">
        <v>15</v>
      </c>
      <c r="AQ2" s="64">
        <v>16</v>
      </c>
    </row>
    <row r="3" spans="1:43">
      <c r="A3" s="29">
        <v>1</v>
      </c>
      <c r="B3" s="8">
        <f>AB51</f>
        <v>0.16953287025664909</v>
      </c>
      <c r="C3" s="8">
        <f>AB25</f>
        <v>0.79946567280119618</v>
      </c>
      <c r="D3" s="8">
        <f>AB78</f>
        <v>3.100145694215484E-2</v>
      </c>
      <c r="E3" s="73"/>
      <c r="F3" s="53">
        <f>'HVAC System'!B191</f>
        <v>0.17458754504227411</v>
      </c>
      <c r="G3" s="53">
        <f>'HVAC System'!C191</f>
        <v>0.79798964406529516</v>
      </c>
      <c r="H3" s="53">
        <f>'HVAC System'!D191</f>
        <v>2.742281089243077E-2</v>
      </c>
      <c r="I3" s="57"/>
      <c r="J3" s="93">
        <v>1</v>
      </c>
      <c r="K3" s="93">
        <v>4</v>
      </c>
      <c r="L3" s="1"/>
      <c r="M3" s="84">
        <f>B3-F3</f>
        <v>-5.0546747856250185E-3</v>
      </c>
      <c r="O3" s="14" t="s">
        <v>282</v>
      </c>
      <c r="P3" s="15" t="s">
        <v>283</v>
      </c>
      <c r="Q3" s="15" t="s">
        <v>222</v>
      </c>
      <c r="R3" s="16">
        <v>0.91160158583481499</v>
      </c>
      <c r="S3" s="16">
        <v>0.43376662308021102</v>
      </c>
      <c r="T3" s="16">
        <v>0.55528364756249704</v>
      </c>
      <c r="U3" s="16">
        <v>1.0949729357291899E-2</v>
      </c>
      <c r="V3" s="16">
        <v>0.39542234148213301</v>
      </c>
      <c r="W3" s="16">
        <v>0.5061974537061128</v>
      </c>
      <c r="X3" s="16">
        <v>9.9817906465693249E-3</v>
      </c>
      <c r="Y3" s="21"/>
      <c r="Z3" t="s">
        <v>314</v>
      </c>
      <c r="AA3" s="48">
        <f>AA18</f>
        <v>0.72768161312071966</v>
      </c>
      <c r="AB3" s="48">
        <f>$AA3*'FZ-CZ'!I30</f>
        <v>0.13024778246920285</v>
      </c>
      <c r="AC3" s="48">
        <f>$AA3*'FZ-CZ'!J30</f>
        <v>0</v>
      </c>
      <c r="AD3" s="48">
        <f>$AA3*'FZ-CZ'!K30</f>
        <v>0</v>
      </c>
      <c r="AE3" s="48">
        <f>$AA3*'FZ-CZ'!L30</f>
        <v>0</v>
      </c>
      <c r="AF3" s="48">
        <f>$AA3*'FZ-CZ'!M30</f>
        <v>0</v>
      </c>
      <c r="AG3" s="48">
        <f>$AA3*'FZ-CZ'!N30</f>
        <v>0</v>
      </c>
      <c r="AH3" s="48">
        <f>$AA3*'FZ-CZ'!O30</f>
        <v>0</v>
      </c>
      <c r="AI3" s="48">
        <f>$AA3*'FZ-CZ'!P30</f>
        <v>0</v>
      </c>
      <c r="AJ3" s="48">
        <f>$AA3*'FZ-CZ'!Q30</f>
        <v>0</v>
      </c>
      <c r="AK3" s="48">
        <f>$AA3*'FZ-CZ'!R30</f>
        <v>0</v>
      </c>
      <c r="AL3" s="48">
        <f>$AA3*'FZ-CZ'!S30</f>
        <v>3.0699879829198919E-3</v>
      </c>
      <c r="AM3" s="48">
        <f>$AA3*'FZ-CZ'!T30</f>
        <v>0</v>
      </c>
      <c r="AN3" s="48">
        <f>$AA3*'FZ-CZ'!U30</f>
        <v>0</v>
      </c>
      <c r="AO3" s="48">
        <f>$AA3*'FZ-CZ'!V30</f>
        <v>9.4461168705227443E-6</v>
      </c>
      <c r="AP3" s="48">
        <f>$AA3*'FZ-CZ'!W30</f>
        <v>2.3157155508086513E-2</v>
      </c>
      <c r="AQ3" s="48">
        <f>$AA3*'FZ-CZ'!X30</f>
        <v>0.57119724104363989</v>
      </c>
    </row>
    <row r="4" spans="1:43">
      <c r="A4" s="29">
        <v>2</v>
      </c>
      <c r="B4" s="8">
        <f>AC51</f>
        <v>0.11952452214019187</v>
      </c>
      <c r="C4" s="8">
        <f>AC25</f>
        <v>0.81406874065132717</v>
      </c>
      <c r="D4" s="8">
        <f>AC78</f>
        <v>6.6406737208481018E-2</v>
      </c>
      <c r="E4" s="73"/>
      <c r="F4" s="53">
        <f>'HVAC System'!B192</f>
        <v>0.11958700347271459</v>
      </c>
      <c r="G4" s="53">
        <f>'HVAC System'!C192</f>
        <v>0.81405049531484719</v>
      </c>
      <c r="H4" s="53">
        <f>'HVAC System'!D192</f>
        <v>6.6362501212438349E-2</v>
      </c>
      <c r="I4" s="57"/>
      <c r="J4" s="93">
        <v>0</v>
      </c>
      <c r="K4" s="93">
        <v>5</v>
      </c>
      <c r="L4" s="1"/>
      <c r="M4" s="84">
        <f t="shared" ref="M4:M18" si="0">B4-F4</f>
        <v>-6.2481332522720812E-5</v>
      </c>
      <c r="O4" s="6" t="s">
        <v>284</v>
      </c>
      <c r="P4" s="7" t="s">
        <v>283</v>
      </c>
      <c r="Q4" s="7" t="s">
        <v>222</v>
      </c>
      <c r="R4" s="13">
        <v>0.913015137153385</v>
      </c>
      <c r="S4" s="13">
        <v>0.30732839182905403</v>
      </c>
      <c r="T4" s="13">
        <v>0.683792773703922</v>
      </c>
      <c r="U4" s="13">
        <v>8.8788344670240899E-3</v>
      </c>
      <c r="V4" s="13">
        <v>0.28059547381693301</v>
      </c>
      <c r="W4" s="13">
        <v>0.6243131530677799</v>
      </c>
      <c r="X4" s="13">
        <v>8.1065102686722016E-3</v>
      </c>
      <c r="Y4" s="21"/>
      <c r="Z4" s="23" t="s">
        <v>284</v>
      </c>
      <c r="AA4" s="48">
        <f t="shared" ref="AA4:AA14" si="1">W4</f>
        <v>0.6243131530677799</v>
      </c>
      <c r="AB4" s="48">
        <f>$AA4*'FZ-CZ'!I31</f>
        <v>0</v>
      </c>
      <c r="AC4" s="48">
        <f>$AA4*'FZ-CZ'!J31</f>
        <v>0</v>
      </c>
      <c r="AD4" s="48">
        <f>$AA4*'FZ-CZ'!K31</f>
        <v>0.32735025190516587</v>
      </c>
      <c r="AE4" s="48">
        <f>$AA4*'FZ-CZ'!L31</f>
        <v>0.18971677917470214</v>
      </c>
      <c r="AF4" s="48">
        <f>$AA4*'FZ-CZ'!M31</f>
        <v>0</v>
      </c>
      <c r="AG4" s="48">
        <f>$AA4*'FZ-CZ'!N31</f>
        <v>0</v>
      </c>
      <c r="AH4" s="48">
        <f>$AA4*'FZ-CZ'!O31</f>
        <v>0</v>
      </c>
      <c r="AI4" s="48">
        <f>$AA4*'FZ-CZ'!P31</f>
        <v>0</v>
      </c>
      <c r="AJ4" s="48">
        <f>$AA4*'FZ-CZ'!Q31</f>
        <v>0</v>
      </c>
      <c r="AK4" s="48">
        <f>$AA4*'FZ-CZ'!R31</f>
        <v>0</v>
      </c>
      <c r="AL4" s="48">
        <f>$AA4*'FZ-CZ'!S31</f>
        <v>0</v>
      </c>
      <c r="AM4" s="48">
        <f>$AA4*'FZ-CZ'!T31</f>
        <v>0.10724612198791186</v>
      </c>
      <c r="AN4" s="48">
        <f>$AA4*'FZ-CZ'!U31</f>
        <v>0</v>
      </c>
      <c r="AO4" s="48">
        <f>$AA4*'FZ-CZ'!V31</f>
        <v>0</v>
      </c>
      <c r="AP4" s="48">
        <f>$AA4*'FZ-CZ'!W31</f>
        <v>0</v>
      </c>
      <c r="AQ4" s="48">
        <f>$AA4*'FZ-CZ'!X31</f>
        <v>0</v>
      </c>
    </row>
    <row r="5" spans="1:43">
      <c r="A5" s="29">
        <v>3</v>
      </c>
      <c r="B5" s="8">
        <f>AD51</f>
        <v>0.27164112770723664</v>
      </c>
      <c r="C5" s="8">
        <f>AD25</f>
        <v>0.71741247932531427</v>
      </c>
      <c r="D5" s="8">
        <f>AD78</f>
        <v>1.0946392967449189E-2</v>
      </c>
      <c r="E5" s="73"/>
      <c r="F5" s="53">
        <f>'HVAC System'!B193</f>
        <v>0.29036953617669187</v>
      </c>
      <c r="G5" s="53">
        <f>'HVAC System'!C193</f>
        <v>0.69951172432630948</v>
      </c>
      <c r="H5" s="53">
        <f>'HVAC System'!D193</f>
        <v>1.0118739496998744E-2</v>
      </c>
      <c r="I5" s="57"/>
      <c r="J5" s="93">
        <v>1</v>
      </c>
      <c r="K5" s="93">
        <v>4</v>
      </c>
      <c r="L5" s="1"/>
      <c r="M5" s="84">
        <f t="shared" si="0"/>
        <v>-1.8728408469455227E-2</v>
      </c>
      <c r="O5" s="6" t="s">
        <v>285</v>
      </c>
      <c r="P5" s="7" t="s">
        <v>283</v>
      </c>
      <c r="Q5" s="7" t="s">
        <v>222</v>
      </c>
      <c r="R5" s="13">
        <v>0.86214134248327801</v>
      </c>
      <c r="S5" s="13">
        <v>0.11930352976413799</v>
      </c>
      <c r="T5" s="13">
        <v>0.81413327321005802</v>
      </c>
      <c r="U5" s="13">
        <v>6.65631970258036E-2</v>
      </c>
      <c r="V5" s="13">
        <v>0.10285650531384764</v>
      </c>
      <c r="W5" s="13">
        <v>0.70189795312562475</v>
      </c>
      <c r="X5" s="13">
        <v>5.738688404380525E-2</v>
      </c>
      <c r="Y5" s="21"/>
      <c r="Z5" s="23" t="s">
        <v>285</v>
      </c>
      <c r="AA5" s="48">
        <f t="shared" si="1"/>
        <v>0.70189795312562475</v>
      </c>
      <c r="AB5" s="48">
        <f>$AA5*'FZ-CZ'!I32</f>
        <v>9.4836442158976478E-2</v>
      </c>
      <c r="AC5" s="48">
        <f>$AA5*'FZ-CZ'!J32</f>
        <v>0.56290841568376804</v>
      </c>
      <c r="AD5" s="48">
        <f>$AA5*'FZ-CZ'!K32</f>
        <v>4.4114250027562217E-2</v>
      </c>
      <c r="AE5" s="48">
        <f>$AA5*'FZ-CZ'!L32</f>
        <v>0</v>
      </c>
      <c r="AF5" s="48">
        <f>$AA5*'FZ-CZ'!M32</f>
        <v>0</v>
      </c>
      <c r="AG5" s="48">
        <f>$AA5*'FZ-CZ'!N32</f>
        <v>0</v>
      </c>
      <c r="AH5" s="48">
        <f>$AA5*'FZ-CZ'!O32</f>
        <v>0</v>
      </c>
      <c r="AI5" s="48">
        <f>$AA5*'FZ-CZ'!P32</f>
        <v>0</v>
      </c>
      <c r="AJ5" s="48">
        <f>$AA5*'FZ-CZ'!Q32</f>
        <v>0</v>
      </c>
      <c r="AK5" s="48">
        <f>$AA5*'FZ-CZ'!R32</f>
        <v>0</v>
      </c>
      <c r="AL5" s="48">
        <f>$AA5*'FZ-CZ'!S32</f>
        <v>0</v>
      </c>
      <c r="AM5" s="48">
        <f>$AA5*'FZ-CZ'!T32</f>
        <v>0</v>
      </c>
      <c r="AN5" s="48">
        <f>$AA5*'FZ-CZ'!U32</f>
        <v>0</v>
      </c>
      <c r="AO5" s="48">
        <f>$AA5*'FZ-CZ'!V32</f>
        <v>0</v>
      </c>
      <c r="AP5" s="48">
        <f>$AA5*'FZ-CZ'!W32</f>
        <v>0</v>
      </c>
      <c r="AQ5" s="48">
        <f>$AA5*'FZ-CZ'!X32</f>
        <v>3.8845255317950801E-5</v>
      </c>
    </row>
    <row r="6" spans="1:43">
      <c r="A6" s="29">
        <v>4</v>
      </c>
      <c r="B6" s="8">
        <f>AE51</f>
        <v>0.28943550224992476</v>
      </c>
      <c r="C6" s="8">
        <f>AE25</f>
        <v>0.70401752155499331</v>
      </c>
      <c r="D6" s="8">
        <f>AE78</f>
        <v>6.5469761950820637E-3</v>
      </c>
      <c r="E6" s="73"/>
      <c r="F6" s="53">
        <f>'HVAC System'!B194</f>
        <v>0.3004449769474134</v>
      </c>
      <c r="G6" s="53">
        <f>'HVAC System'!C194</f>
        <v>0.69157325710319772</v>
      </c>
      <c r="H6" s="53">
        <f>'HVAC System'!D194</f>
        <v>7.9817659493887465E-3</v>
      </c>
      <c r="I6" s="57"/>
      <c r="J6" s="93">
        <v>1</v>
      </c>
      <c r="K6" s="93">
        <v>4</v>
      </c>
      <c r="L6" s="1"/>
      <c r="M6" s="84">
        <f t="shared" si="0"/>
        <v>-1.1009474697488641E-2</v>
      </c>
      <c r="O6" s="6" t="s">
        <v>286</v>
      </c>
      <c r="P6" s="7" t="s">
        <v>283</v>
      </c>
      <c r="Q6" s="7" t="s">
        <v>222</v>
      </c>
      <c r="R6" s="13">
        <v>0.89761067258268601</v>
      </c>
      <c r="S6" s="13">
        <v>0.25361457950326799</v>
      </c>
      <c r="T6" s="13">
        <v>0.66491077160192602</v>
      </c>
      <c r="U6" s="13">
        <v>8.1474648894806295E-2</v>
      </c>
      <c r="V6" s="13">
        <v>0.22764715328470347</v>
      </c>
      <c r="W6" s="13">
        <v>0.59683100490507757</v>
      </c>
      <c r="X6" s="13">
        <v>7.3132514392905273E-2</v>
      </c>
      <c r="Y6" s="21"/>
      <c r="Z6" s="23" t="s">
        <v>286</v>
      </c>
      <c r="AA6" s="48">
        <f t="shared" si="1"/>
        <v>0.59683100490507757</v>
      </c>
      <c r="AB6" s="48">
        <f>$AA6*'FZ-CZ'!I33</f>
        <v>0</v>
      </c>
      <c r="AC6" s="48">
        <f>$AA6*'FZ-CZ'!J33</f>
        <v>0</v>
      </c>
      <c r="AD6" s="48">
        <f>$AA6*'FZ-CZ'!K33</f>
        <v>0</v>
      </c>
      <c r="AE6" s="48">
        <f>$AA6*'FZ-CZ'!L33</f>
        <v>0</v>
      </c>
      <c r="AF6" s="48">
        <f>$AA6*'FZ-CZ'!M33</f>
        <v>0</v>
      </c>
      <c r="AG6" s="48">
        <f>$AA6*'FZ-CZ'!N33</f>
        <v>0</v>
      </c>
      <c r="AH6" s="48">
        <f>$AA6*'FZ-CZ'!O33</f>
        <v>0</v>
      </c>
      <c r="AI6" s="48">
        <f>$AA6*'FZ-CZ'!P33</f>
        <v>0</v>
      </c>
      <c r="AJ6" s="48">
        <f>$AA6*'FZ-CZ'!Q33</f>
        <v>0</v>
      </c>
      <c r="AK6" s="48">
        <f>$AA6*'FZ-CZ'!R33</f>
        <v>0</v>
      </c>
      <c r="AL6" s="48">
        <f>$AA6*'FZ-CZ'!S33</f>
        <v>0.5059475223734583</v>
      </c>
      <c r="AM6" s="48">
        <f>$AA6*'FZ-CZ'!T33</f>
        <v>0</v>
      </c>
      <c r="AN6" s="48">
        <f>$AA6*'FZ-CZ'!U33</f>
        <v>0</v>
      </c>
      <c r="AO6" s="48">
        <f>$AA6*'FZ-CZ'!V33</f>
        <v>0</v>
      </c>
      <c r="AP6" s="48">
        <f>$AA6*'FZ-CZ'!W33</f>
        <v>0</v>
      </c>
      <c r="AQ6" s="48">
        <f>$AA6*'FZ-CZ'!X33</f>
        <v>9.0883482531619278E-2</v>
      </c>
    </row>
    <row r="7" spans="1:43">
      <c r="A7" s="29">
        <v>5</v>
      </c>
      <c r="B7" s="8">
        <f>AF51</f>
        <v>0.25624227721470549</v>
      </c>
      <c r="C7" s="8">
        <f>AF25</f>
        <v>0.74175930496762188</v>
      </c>
      <c r="D7" s="8">
        <f>AF78</f>
        <v>1.9984178176727175E-3</v>
      </c>
      <c r="E7" s="73"/>
      <c r="F7" s="53">
        <f>'HVAC System'!B195</f>
        <v>0.25574667047955912</v>
      </c>
      <c r="G7" s="53">
        <f>'HVAC System'!C195</f>
        <v>0.74225143609778155</v>
      </c>
      <c r="H7" s="53">
        <f>'HVAC System'!D195</f>
        <v>2.001893422659357E-3</v>
      </c>
      <c r="I7" s="57"/>
      <c r="J7" s="93">
        <v>1</v>
      </c>
      <c r="K7" s="93">
        <v>4</v>
      </c>
      <c r="L7" s="1"/>
      <c r="M7" s="84">
        <f t="shared" si="0"/>
        <v>4.9560673514636999E-4</v>
      </c>
      <c r="O7" s="6" t="s">
        <v>287</v>
      </c>
      <c r="P7" s="7" t="s">
        <v>283</v>
      </c>
      <c r="Q7" s="7" t="s">
        <v>222</v>
      </c>
      <c r="R7" s="13">
        <v>0.89761067258268601</v>
      </c>
      <c r="S7" s="13">
        <v>0.25361457950326799</v>
      </c>
      <c r="T7" s="13">
        <v>0.66491077160192602</v>
      </c>
      <c r="U7" s="13">
        <v>8.1474648894806295E-2</v>
      </c>
      <c r="V7" s="13">
        <v>0.22764715328470347</v>
      </c>
      <c r="W7" s="13">
        <v>0.59683100490507757</v>
      </c>
      <c r="X7" s="13">
        <v>7.3132514392905273E-2</v>
      </c>
      <c r="Y7" s="21"/>
      <c r="Z7" s="23" t="s">
        <v>287</v>
      </c>
      <c r="AA7" s="48">
        <f t="shared" si="1"/>
        <v>0.59683100490507757</v>
      </c>
      <c r="AB7" s="48">
        <f>$AA7*'FZ-CZ'!I34</f>
        <v>0</v>
      </c>
      <c r="AC7" s="48">
        <f>$AA7*'FZ-CZ'!J34</f>
        <v>0</v>
      </c>
      <c r="AD7" s="48">
        <f>$AA7*'FZ-CZ'!K34</f>
        <v>2.1714037635106216E-2</v>
      </c>
      <c r="AE7" s="48">
        <f>$AA7*'FZ-CZ'!L34</f>
        <v>0</v>
      </c>
      <c r="AF7" s="48">
        <f>$AA7*'FZ-CZ'!M34</f>
        <v>0</v>
      </c>
      <c r="AG7" s="48">
        <f>$AA7*'FZ-CZ'!N34</f>
        <v>0</v>
      </c>
      <c r="AH7" s="48">
        <f>$AA7*'FZ-CZ'!O34</f>
        <v>0</v>
      </c>
      <c r="AI7" s="48">
        <f>$AA7*'FZ-CZ'!P34</f>
        <v>0</v>
      </c>
      <c r="AJ7" s="48">
        <f>$AA7*'FZ-CZ'!Q34</f>
        <v>0</v>
      </c>
      <c r="AK7" s="48">
        <f>$AA7*'FZ-CZ'!R34</f>
        <v>0</v>
      </c>
      <c r="AL7" s="48">
        <f>$AA7*'FZ-CZ'!S34</f>
        <v>0.13172999242553021</v>
      </c>
      <c r="AM7" s="48">
        <f>$AA7*'FZ-CZ'!T34</f>
        <v>0.43333264452745984</v>
      </c>
      <c r="AN7" s="48">
        <f>$AA7*'FZ-CZ'!U34</f>
        <v>0</v>
      </c>
      <c r="AO7" s="48">
        <f>$AA7*'FZ-CZ'!V34</f>
        <v>0</v>
      </c>
      <c r="AP7" s="48">
        <f>$AA7*'FZ-CZ'!W34</f>
        <v>0</v>
      </c>
      <c r="AQ7" s="48">
        <f>$AA7*'FZ-CZ'!X34</f>
        <v>1.0054330316981356E-2</v>
      </c>
    </row>
    <row r="8" spans="1:43">
      <c r="A8" s="29">
        <v>6</v>
      </c>
      <c r="B8" s="8">
        <f>AG51</f>
        <v>0.55379956738529079</v>
      </c>
      <c r="C8" s="8">
        <f>AG25</f>
        <v>0.44607772463966916</v>
      </c>
      <c r="D8" s="8">
        <f>AG78</f>
        <v>1.2270797504002949E-4</v>
      </c>
      <c r="E8" s="73"/>
      <c r="F8" s="53">
        <f>'HVAC System'!B196</f>
        <v>0.57927979247956918</v>
      </c>
      <c r="G8" s="53">
        <f>'HVAC System'!C196</f>
        <v>0.42052532202742421</v>
      </c>
      <c r="H8" s="53">
        <f>'HVAC System'!D196</f>
        <v>1.9488549300658838E-4</v>
      </c>
      <c r="I8" s="57"/>
      <c r="J8" s="93">
        <v>3</v>
      </c>
      <c r="K8" s="93">
        <v>2</v>
      </c>
      <c r="L8" s="1"/>
      <c r="M8" s="84">
        <f t="shared" si="0"/>
        <v>-2.5480225094278386E-2</v>
      </c>
      <c r="O8" s="6" t="s">
        <v>288</v>
      </c>
      <c r="P8" s="7" t="s">
        <v>283</v>
      </c>
      <c r="Q8" s="7" t="s">
        <v>222</v>
      </c>
      <c r="R8" s="13">
        <v>0.92215011146483605</v>
      </c>
      <c r="S8" s="13">
        <v>0.20498208869885901</v>
      </c>
      <c r="T8" s="13">
        <v>0.78911405428862003</v>
      </c>
      <c r="U8" s="13">
        <v>5.9038570125219403E-3</v>
      </c>
      <c r="V8" s="13">
        <v>0.18902425594194774</v>
      </c>
      <c r="W8" s="13">
        <v>0.72768161312071966</v>
      </c>
      <c r="X8" s="13">
        <v>5.4442424021695609E-3</v>
      </c>
      <c r="Y8" s="21"/>
      <c r="Z8" s="23" t="s">
        <v>288</v>
      </c>
      <c r="AA8" s="48">
        <f t="shared" si="1"/>
        <v>0.72768161312071966</v>
      </c>
      <c r="AB8" s="48">
        <f>$AA8*'FZ-CZ'!I35</f>
        <v>0</v>
      </c>
      <c r="AC8" s="48">
        <f>$AA8*'FZ-CZ'!J35</f>
        <v>0</v>
      </c>
      <c r="AD8" s="48">
        <f>$AA8*'FZ-CZ'!K35</f>
        <v>0</v>
      </c>
      <c r="AE8" s="48">
        <f>$AA8*'FZ-CZ'!L35</f>
        <v>0</v>
      </c>
      <c r="AF8" s="48">
        <f>$AA8*'FZ-CZ'!M35</f>
        <v>0</v>
      </c>
      <c r="AG8" s="48">
        <f>$AA8*'FZ-CZ'!N35</f>
        <v>0</v>
      </c>
      <c r="AH8" s="48">
        <f>$AA8*'FZ-CZ'!O35</f>
        <v>0</v>
      </c>
      <c r="AI8" s="48">
        <f>$AA8*'FZ-CZ'!P35</f>
        <v>0</v>
      </c>
      <c r="AJ8" s="48">
        <f>$AA8*'FZ-CZ'!Q35</f>
        <v>0</v>
      </c>
      <c r="AK8" s="48">
        <f>$AA8*'FZ-CZ'!R35</f>
        <v>0</v>
      </c>
      <c r="AL8" s="48">
        <f>$AA8*'FZ-CZ'!S35</f>
        <v>0</v>
      </c>
      <c r="AM8" s="48">
        <f>$AA8*'FZ-CZ'!T35</f>
        <v>3.3143556449130279E-2</v>
      </c>
      <c r="AN8" s="48">
        <f>$AA8*'FZ-CZ'!U35</f>
        <v>0.68988459631831123</v>
      </c>
      <c r="AO8" s="48">
        <f>$AA8*'FZ-CZ'!V35</f>
        <v>0</v>
      </c>
      <c r="AP8" s="48">
        <f>$AA8*'FZ-CZ'!W35</f>
        <v>0</v>
      </c>
      <c r="AQ8" s="48">
        <f>$AA8*'FZ-CZ'!X35</f>
        <v>4.6534603532781549E-3</v>
      </c>
    </row>
    <row r="9" spans="1:43">
      <c r="A9" s="29">
        <v>7</v>
      </c>
      <c r="B9" s="8">
        <f>AH51</f>
        <v>0.50121672124725547</v>
      </c>
      <c r="C9" s="8">
        <f>AH25</f>
        <v>0.49683034399327042</v>
      </c>
      <c r="D9" s="8">
        <f>AH78</f>
        <v>1.9529347594739587E-3</v>
      </c>
      <c r="E9" s="73"/>
      <c r="F9" s="53">
        <f>'HVAC System'!B197</f>
        <v>0</v>
      </c>
      <c r="G9" s="53">
        <f>'HVAC System'!C197</f>
        <v>0.99608460258660347</v>
      </c>
      <c r="H9" s="53">
        <f>'HVAC System'!D197</f>
        <v>3.9153974133965758E-3</v>
      </c>
      <c r="I9" s="57"/>
      <c r="J9" s="86">
        <v>2</v>
      </c>
      <c r="K9" s="86">
        <v>3</v>
      </c>
      <c r="L9" s="1"/>
      <c r="M9" s="84">
        <f t="shared" si="0"/>
        <v>0.50121672124725547</v>
      </c>
      <c r="O9" s="6" t="s">
        <v>289</v>
      </c>
      <c r="P9" s="7" t="s">
        <v>283</v>
      </c>
      <c r="Q9" s="7" t="s">
        <v>222</v>
      </c>
      <c r="R9" s="13">
        <v>0.92647550734030604</v>
      </c>
      <c r="S9" s="13">
        <v>0.25462062143847902</v>
      </c>
      <c r="T9" s="13">
        <v>0.74336958835016798</v>
      </c>
      <c r="U9" s="13">
        <v>2.00979021135256E-3</v>
      </c>
      <c r="V9" s="13">
        <v>0.23589976942651886</v>
      </c>
      <c r="W9" s="13">
        <v>0.68871371650807633</v>
      </c>
      <c r="X9" s="13">
        <v>1.8620214057104439E-3</v>
      </c>
      <c r="Y9" s="21"/>
      <c r="Z9" s="23" t="s">
        <v>289</v>
      </c>
      <c r="AA9" s="48">
        <f t="shared" si="1"/>
        <v>0.68871371650807633</v>
      </c>
      <c r="AB9" s="48">
        <f>$AA9*'FZ-CZ'!I36</f>
        <v>0</v>
      </c>
      <c r="AC9" s="48">
        <f>$AA9*'FZ-CZ'!J36</f>
        <v>0</v>
      </c>
      <c r="AD9" s="48">
        <f>$AA9*'FZ-CZ'!K36</f>
        <v>0.35993730722098183</v>
      </c>
      <c r="AE9" s="48">
        <f>$AA9*'FZ-CZ'!L36</f>
        <v>0.10599895778063531</v>
      </c>
      <c r="AF9" s="48">
        <f>$AA9*'FZ-CZ'!M36</f>
        <v>0.22269469655638904</v>
      </c>
      <c r="AG9" s="48">
        <f>$AA9*'FZ-CZ'!N36</f>
        <v>8.2754950070123011E-5</v>
      </c>
      <c r="AH9" s="48">
        <f>$AA9*'FZ-CZ'!O36</f>
        <v>0</v>
      </c>
      <c r="AI9" s="48">
        <f>$AA9*'FZ-CZ'!P36</f>
        <v>0</v>
      </c>
      <c r="AJ9" s="48">
        <f>$AA9*'FZ-CZ'!Q36</f>
        <v>0</v>
      </c>
      <c r="AK9" s="48">
        <f>$AA9*'FZ-CZ'!R36</f>
        <v>0</v>
      </c>
      <c r="AL9" s="48">
        <f>$AA9*'FZ-CZ'!S36</f>
        <v>0</v>
      </c>
      <c r="AM9" s="48">
        <f>$AA9*'FZ-CZ'!T36</f>
        <v>0</v>
      </c>
      <c r="AN9" s="48">
        <f>$AA9*'FZ-CZ'!U36</f>
        <v>0</v>
      </c>
      <c r="AO9" s="48">
        <f>$AA9*'FZ-CZ'!V36</f>
        <v>0</v>
      </c>
      <c r="AP9" s="48">
        <f>$AA9*'FZ-CZ'!W36</f>
        <v>0</v>
      </c>
      <c r="AQ9" s="48">
        <f>$AA9*'FZ-CZ'!X36</f>
        <v>0</v>
      </c>
    </row>
    <row r="10" spans="1:43">
      <c r="A10" s="29">
        <v>8</v>
      </c>
      <c r="B10" s="8">
        <f>AI51</f>
        <v>0.59973366278841578</v>
      </c>
      <c r="C10" s="8">
        <f>AI25</f>
        <v>0.40021386522079</v>
      </c>
      <c r="D10" s="8">
        <f>AI78</f>
        <v>5.2471990794081334E-5</v>
      </c>
      <c r="E10" s="73"/>
      <c r="F10" s="53">
        <f>'HVAC System'!B198</f>
        <v>0.63720526048823212</v>
      </c>
      <c r="G10" s="53">
        <f>'HVAC System'!C198</f>
        <v>0.36275748018169962</v>
      </c>
      <c r="H10" s="53">
        <f>'HVAC System'!D198</f>
        <v>3.7259330068183807E-5</v>
      </c>
      <c r="I10" s="57"/>
      <c r="J10" s="93">
        <v>3</v>
      </c>
      <c r="K10" s="93">
        <v>2</v>
      </c>
      <c r="L10" s="1"/>
      <c r="M10" s="84">
        <f t="shared" si="0"/>
        <v>-3.7471597699816339E-2</v>
      </c>
      <c r="O10" s="17" t="s">
        <v>290</v>
      </c>
      <c r="P10" s="7" t="s">
        <v>283</v>
      </c>
      <c r="Q10" s="7" t="s">
        <v>222</v>
      </c>
      <c r="R10" s="18">
        <v>0.95232641393717099</v>
      </c>
      <c r="S10" s="18">
        <v>0.66151275494356798</v>
      </c>
      <c r="T10" s="18">
        <v>0.33848724505643202</v>
      </c>
      <c r="U10" s="18">
        <v>0</v>
      </c>
      <c r="V10" s="87">
        <v>0.62997606968910669</v>
      </c>
      <c r="W10" s="87">
        <v>0.3223503442480643</v>
      </c>
      <c r="X10" s="18">
        <v>0</v>
      </c>
      <c r="Y10" s="21"/>
      <c r="Z10" s="24" t="s">
        <v>290</v>
      </c>
      <c r="AA10" s="48">
        <f t="shared" si="1"/>
        <v>0.3223503442480643</v>
      </c>
      <c r="AB10" s="48">
        <f>$AA10*'FZ-CZ'!I37</f>
        <v>0</v>
      </c>
      <c r="AC10" s="48">
        <f>$AA10*'FZ-CZ'!J37</f>
        <v>0</v>
      </c>
      <c r="AD10" s="48">
        <f>$AA10*'FZ-CZ'!K37</f>
        <v>0</v>
      </c>
      <c r="AE10" s="48">
        <f>$AA10*'FZ-CZ'!L37</f>
        <v>0</v>
      </c>
      <c r="AF10" s="48">
        <f>$AA10*'FZ-CZ'!M37</f>
        <v>0</v>
      </c>
      <c r="AG10" s="48">
        <f>$AA10*'FZ-CZ'!N37</f>
        <v>6.089101749171736E-2</v>
      </c>
      <c r="AH10" s="48">
        <f>$AA10*'FZ-CZ'!O37</f>
        <v>0</v>
      </c>
      <c r="AI10" s="48">
        <f>$AA10*'FZ-CZ'!P37</f>
        <v>0.14179111845703599</v>
      </c>
      <c r="AJ10" s="48">
        <f>$AA10*'FZ-CZ'!Q37</f>
        <v>0.10408929456876465</v>
      </c>
      <c r="AK10" s="48">
        <f>$AA10*'FZ-CZ'!R37</f>
        <v>0</v>
      </c>
      <c r="AL10" s="48">
        <f>$AA10*'FZ-CZ'!S37</f>
        <v>0</v>
      </c>
      <c r="AM10" s="48">
        <f>$AA10*'FZ-CZ'!T37</f>
        <v>0</v>
      </c>
      <c r="AN10" s="48">
        <f>$AA10*'FZ-CZ'!U37</f>
        <v>0</v>
      </c>
      <c r="AO10" s="48">
        <f>$AA10*'FZ-CZ'!V37</f>
        <v>1.4524958364181301E-2</v>
      </c>
      <c r="AP10" s="48">
        <f>$AA10*'FZ-CZ'!W37</f>
        <v>0</v>
      </c>
      <c r="AQ10" s="48">
        <f>$AA10*'FZ-CZ'!X37</f>
        <v>1.0539553663650118E-3</v>
      </c>
    </row>
    <row r="11" spans="1:43">
      <c r="A11" s="29">
        <v>9</v>
      </c>
      <c r="B11" s="67">
        <f>AJ51</f>
        <v>0.42660407455144062</v>
      </c>
      <c r="C11" s="67">
        <f>AJ25</f>
        <v>0.57339592544855944</v>
      </c>
      <c r="D11" s="8">
        <f>AJ78</f>
        <v>0</v>
      </c>
      <c r="E11" s="73"/>
      <c r="F11" s="85">
        <f>'HVAC System'!B199</f>
        <v>0.54413651166367216</v>
      </c>
      <c r="G11" s="85">
        <f>'HVAC System'!C199</f>
        <v>0.45586348833632784</v>
      </c>
      <c r="H11" s="53">
        <f>'HVAC System'!D199</f>
        <v>0</v>
      </c>
      <c r="I11" s="57"/>
      <c r="J11" s="93">
        <v>3</v>
      </c>
      <c r="K11" s="93">
        <v>2</v>
      </c>
      <c r="L11" s="1"/>
      <c r="M11" s="84">
        <f t="shared" si="0"/>
        <v>-0.11753243711223155</v>
      </c>
      <c r="O11" s="17" t="s">
        <v>291</v>
      </c>
      <c r="P11" s="7" t="s">
        <v>283</v>
      </c>
      <c r="Q11" s="7" t="s">
        <v>222</v>
      </c>
      <c r="R11" s="18">
        <v>0.93208847308618303</v>
      </c>
      <c r="S11" s="18">
        <v>0.54120830007463705</v>
      </c>
      <c r="T11" s="18">
        <v>0.45879169992536301</v>
      </c>
      <c r="U11" s="18">
        <v>0</v>
      </c>
      <c r="V11" s="87">
        <v>0.50445401803813705</v>
      </c>
      <c r="W11" s="87">
        <v>0.42763445504804587</v>
      </c>
      <c r="X11" s="18">
        <v>0</v>
      </c>
      <c r="Y11" s="21"/>
      <c r="Z11" s="24" t="s">
        <v>291</v>
      </c>
      <c r="AA11" s="48">
        <f t="shared" si="1"/>
        <v>0.42763445504804587</v>
      </c>
      <c r="AB11" s="48">
        <f>$AA11*'FZ-CZ'!I38</f>
        <v>0</v>
      </c>
      <c r="AC11" s="48">
        <f>$AA11*'FZ-CZ'!J38</f>
        <v>0</v>
      </c>
      <c r="AD11" s="48">
        <f>$AA11*'FZ-CZ'!K38</f>
        <v>0</v>
      </c>
      <c r="AE11" s="48">
        <f>$AA11*'FZ-CZ'!L38</f>
        <v>0</v>
      </c>
      <c r="AF11" s="48">
        <f>$AA11*'FZ-CZ'!M38</f>
        <v>7.8214311944911207E-4</v>
      </c>
      <c r="AG11" s="48">
        <f>$AA11*'FZ-CZ'!N38</f>
        <v>0.26166234953104983</v>
      </c>
      <c r="AH11" s="48">
        <f>$AA11*'FZ-CZ'!O38</f>
        <v>0</v>
      </c>
      <c r="AI11" s="48">
        <f>$AA11*'FZ-CZ'!P38</f>
        <v>0</v>
      </c>
      <c r="AJ11" s="48">
        <f>$AA11*'FZ-CZ'!Q38</f>
        <v>0.1591581948616459</v>
      </c>
      <c r="AK11" s="48">
        <f>$AA11*'FZ-CZ'!R38</f>
        <v>0</v>
      </c>
      <c r="AL11" s="48">
        <f>$AA11*'FZ-CZ'!S38</f>
        <v>0</v>
      </c>
      <c r="AM11" s="48">
        <f>$AA11*'FZ-CZ'!T38</f>
        <v>0</v>
      </c>
      <c r="AN11" s="48">
        <f>$AA11*'FZ-CZ'!U38</f>
        <v>0</v>
      </c>
      <c r="AO11" s="48">
        <f>$AA11*'FZ-CZ'!V38</f>
        <v>0</v>
      </c>
      <c r="AP11" s="48">
        <f>$AA11*'FZ-CZ'!W38</f>
        <v>0</v>
      </c>
      <c r="AQ11" s="48">
        <f>$AA11*'FZ-CZ'!X38</f>
        <v>6.0317675359010496E-3</v>
      </c>
    </row>
    <row r="12" spans="1:43">
      <c r="A12" s="29">
        <v>10</v>
      </c>
      <c r="B12" s="8">
        <f>AK51</f>
        <v>0.50218471834066858</v>
      </c>
      <c r="C12" s="8">
        <f>AK25</f>
        <v>0.49406450337237073</v>
      </c>
      <c r="D12" s="8">
        <f>AK78</f>
        <v>3.7507782869606321E-3</v>
      </c>
      <c r="E12" s="73"/>
      <c r="F12" s="53">
        <f>'HVAC System'!B200</f>
        <v>0.41649117656353846</v>
      </c>
      <c r="G12" s="53">
        <f>'HVAC System'!C200</f>
        <v>0.57940210400535341</v>
      </c>
      <c r="H12" s="53">
        <f>'HVAC System'!D200</f>
        <v>4.1067194311081891E-3</v>
      </c>
      <c r="I12" s="57"/>
      <c r="J12" s="86">
        <v>2</v>
      </c>
      <c r="K12" s="86">
        <v>3</v>
      </c>
      <c r="L12" s="1"/>
      <c r="M12" s="84">
        <f t="shared" si="0"/>
        <v>8.5693541777130122E-2</v>
      </c>
      <c r="O12" s="17" t="s">
        <v>292</v>
      </c>
      <c r="P12" s="7" t="s">
        <v>283</v>
      </c>
      <c r="Q12" s="7" t="s">
        <v>222</v>
      </c>
      <c r="R12" s="18">
        <v>0.94526480719865702</v>
      </c>
      <c r="S12" s="18">
        <v>5.9542837671763001E-2</v>
      </c>
      <c r="T12" s="18">
        <v>0.91122329330998597</v>
      </c>
      <c r="U12" s="18">
        <v>2.92338690182509E-2</v>
      </c>
      <c r="V12" s="88">
        <v>5.6283748971859983E-2</v>
      </c>
      <c r="W12" s="88">
        <v>0.86134731066558923</v>
      </c>
      <c r="X12" s="18">
        <v>2.763374756120773E-2</v>
      </c>
      <c r="Y12" s="21"/>
      <c r="Z12" s="24" t="s">
        <v>292</v>
      </c>
      <c r="AA12" s="48">
        <f t="shared" si="1"/>
        <v>0.86134731066558923</v>
      </c>
      <c r="AB12" s="48">
        <f>$AA12*'FZ-CZ'!I39</f>
        <v>0</v>
      </c>
      <c r="AC12" s="48">
        <f>$AA12*'FZ-CZ'!J39</f>
        <v>0</v>
      </c>
      <c r="AD12" s="48">
        <f>$AA12*'FZ-CZ'!K39</f>
        <v>0</v>
      </c>
      <c r="AE12" s="48">
        <f>$AA12*'FZ-CZ'!L39</f>
        <v>0</v>
      </c>
      <c r="AF12" s="48">
        <f>$AA12*'FZ-CZ'!M39</f>
        <v>0</v>
      </c>
      <c r="AG12" s="48">
        <f>$AA12*'FZ-CZ'!N39</f>
        <v>0</v>
      </c>
      <c r="AH12" s="48">
        <f>$AA12*'FZ-CZ'!O39</f>
        <v>0</v>
      </c>
      <c r="AI12" s="48">
        <f>$AA12*'FZ-CZ'!P39</f>
        <v>0</v>
      </c>
      <c r="AJ12" s="48">
        <f>$AA12*'FZ-CZ'!Q39</f>
        <v>0</v>
      </c>
      <c r="AK12" s="48">
        <f>$AA12*'FZ-CZ'!R39</f>
        <v>0</v>
      </c>
      <c r="AL12" s="48">
        <f>$AA12*'FZ-CZ'!S39</f>
        <v>0</v>
      </c>
      <c r="AM12" s="48">
        <f>$AA12*'FZ-CZ'!T39</f>
        <v>0</v>
      </c>
      <c r="AN12" s="48">
        <f>$AA12*'FZ-CZ'!U39</f>
        <v>0.67604574668761308</v>
      </c>
      <c r="AO12" s="48">
        <f>$AA12*'FZ-CZ'!V39</f>
        <v>0.10423933160497965</v>
      </c>
      <c r="AP12" s="48">
        <f>$AA12*'FZ-CZ'!W39</f>
        <v>0</v>
      </c>
      <c r="AQ12" s="48">
        <f>$AA12*'FZ-CZ'!X39</f>
        <v>8.1062232372996479E-2</v>
      </c>
    </row>
    <row r="13" spans="1:43">
      <c r="A13" s="29">
        <v>11</v>
      </c>
      <c r="B13" s="8">
        <f>AL51</f>
        <v>0.23932331899947071</v>
      </c>
      <c r="C13" s="8">
        <f>AL25</f>
        <v>0.70216947399700702</v>
      </c>
      <c r="D13" s="8">
        <f>AL78</f>
        <v>5.8507207003522306E-2</v>
      </c>
      <c r="E13" s="73"/>
      <c r="F13" s="53">
        <f>'HVAC System'!B201</f>
        <v>0.22852012600720278</v>
      </c>
      <c r="G13" s="53">
        <f>'HVAC System'!C201</f>
        <v>0.72989272929305038</v>
      </c>
      <c r="H13" s="53">
        <f>'HVAC System'!D201</f>
        <v>4.158714469974676E-2</v>
      </c>
      <c r="I13" s="57"/>
      <c r="J13" s="93">
        <v>1</v>
      </c>
      <c r="K13" s="93">
        <v>4</v>
      </c>
      <c r="L13" s="1"/>
      <c r="M13" s="84">
        <f t="shared" si="0"/>
        <v>1.0803192992267924E-2</v>
      </c>
      <c r="O13" s="17" t="s">
        <v>293</v>
      </c>
      <c r="P13" s="7" t="s">
        <v>283</v>
      </c>
      <c r="Q13" s="7" t="s">
        <v>222</v>
      </c>
      <c r="R13" s="18">
        <v>0.91238163204536304</v>
      </c>
      <c r="S13" s="18">
        <v>0.45969281260800399</v>
      </c>
      <c r="T13" s="18">
        <v>0.54030718739199601</v>
      </c>
      <c r="U13" s="18">
        <v>0</v>
      </c>
      <c r="V13" s="87">
        <v>0.41941527860681393</v>
      </c>
      <c r="W13" s="87">
        <v>0.49296635343854911</v>
      </c>
      <c r="X13" s="18">
        <v>0</v>
      </c>
      <c r="Y13" s="21"/>
      <c r="Z13" s="24" t="s">
        <v>293</v>
      </c>
      <c r="AA13" s="48">
        <f t="shared" si="1"/>
        <v>0.49296635343854911</v>
      </c>
      <c r="AB13" s="48">
        <f>$AA13*'FZ-CZ'!I40</f>
        <v>0</v>
      </c>
      <c r="AC13" s="48">
        <f>$AA13*'FZ-CZ'!J40</f>
        <v>0</v>
      </c>
      <c r="AD13" s="48">
        <f>$AA13*'FZ-CZ'!K40</f>
        <v>0</v>
      </c>
      <c r="AE13" s="48">
        <f>$AA13*'FZ-CZ'!L40</f>
        <v>0</v>
      </c>
      <c r="AF13" s="48">
        <f>$AA13*'FZ-CZ'!M40</f>
        <v>0</v>
      </c>
      <c r="AG13" s="48">
        <f>$AA13*'FZ-CZ'!N40</f>
        <v>0</v>
      </c>
      <c r="AH13" s="48">
        <f>$AA13*'FZ-CZ'!O40</f>
        <v>0</v>
      </c>
      <c r="AI13" s="48">
        <f>$AA13*'FZ-CZ'!P40</f>
        <v>0</v>
      </c>
      <c r="AJ13" s="48">
        <f>$AA13*'FZ-CZ'!Q40</f>
        <v>0</v>
      </c>
      <c r="AK13" s="48">
        <f>$AA13*'FZ-CZ'!R40</f>
        <v>0.35092134621536947</v>
      </c>
      <c r="AL13" s="48">
        <f>$AA13*'FZ-CZ'!S40</f>
        <v>0</v>
      </c>
      <c r="AM13" s="48">
        <f>$AA13*'FZ-CZ'!T40</f>
        <v>0</v>
      </c>
      <c r="AN13" s="48">
        <f>$AA13*'FZ-CZ'!U40</f>
        <v>0</v>
      </c>
      <c r="AO13" s="48">
        <f>$AA13*'FZ-CZ'!V40</f>
        <v>0.11914627224403862</v>
      </c>
      <c r="AP13" s="48">
        <f>$AA13*'FZ-CZ'!W40</f>
        <v>4.7184981606329982E-4</v>
      </c>
      <c r="AQ13" s="48">
        <f>$AA13*'FZ-CZ'!X40</f>
        <v>2.2426885163077694E-2</v>
      </c>
    </row>
    <row r="14" spans="1:43">
      <c r="A14" s="29">
        <v>12</v>
      </c>
      <c r="B14" s="8">
        <f>AM51</f>
        <v>0.27025179109473668</v>
      </c>
      <c r="C14" s="8">
        <f>AM25</f>
        <v>0.70955990330243068</v>
      </c>
      <c r="D14" s="8">
        <f>AM78</f>
        <v>2.018830560283268E-2</v>
      </c>
      <c r="E14" s="73"/>
      <c r="F14" s="53">
        <f>'HVAC System'!B202</f>
        <v>0.26305567284253734</v>
      </c>
      <c r="G14" s="53">
        <f>'HVAC System'!C202</f>
        <v>0.71533633078837222</v>
      </c>
      <c r="H14" s="53">
        <f>'HVAC System'!D202</f>
        <v>2.1607996369090537E-2</v>
      </c>
      <c r="I14" s="57"/>
      <c r="J14" s="93">
        <v>1</v>
      </c>
      <c r="K14" s="93">
        <v>4</v>
      </c>
      <c r="L14" s="1"/>
      <c r="M14" s="84">
        <f t="shared" si="0"/>
        <v>7.1961182521993461E-3</v>
      </c>
      <c r="O14" s="17" t="s">
        <v>294</v>
      </c>
      <c r="P14" s="7" t="s">
        <v>283</v>
      </c>
      <c r="Q14" s="7" t="s">
        <v>222</v>
      </c>
      <c r="R14" s="18">
        <v>0.98089903927879796</v>
      </c>
      <c r="S14" s="18">
        <v>0.535142770100697</v>
      </c>
      <c r="T14" s="18">
        <v>0.45769447083251602</v>
      </c>
      <c r="U14" s="18">
        <v>7.1627590667870103E-3</v>
      </c>
      <c r="V14" s="87">
        <v>0.52492102906876836</v>
      </c>
      <c r="W14" s="87">
        <v>0.44895206672283278</v>
      </c>
      <c r="X14" s="18">
        <v>7.0259434871968781E-3</v>
      </c>
      <c r="Y14" s="21"/>
      <c r="Z14" s="24" t="s">
        <v>294</v>
      </c>
      <c r="AA14" s="48">
        <f t="shared" si="1"/>
        <v>0.44895206672283278</v>
      </c>
      <c r="AB14" s="48">
        <f>$AA14*'FZ-CZ'!I41</f>
        <v>0</v>
      </c>
      <c r="AC14" s="48">
        <f>$AA14*'FZ-CZ'!J41</f>
        <v>0</v>
      </c>
      <c r="AD14" s="48">
        <f>$AA14*'FZ-CZ'!K41</f>
        <v>0</v>
      </c>
      <c r="AE14" s="48">
        <f>$AA14*'FZ-CZ'!L41</f>
        <v>0</v>
      </c>
      <c r="AF14" s="48">
        <f>$AA14*'FZ-CZ'!M41</f>
        <v>0</v>
      </c>
      <c r="AG14" s="48">
        <f>$AA14*'FZ-CZ'!N41</f>
        <v>0</v>
      </c>
      <c r="AH14" s="48">
        <f>$AA14*'FZ-CZ'!O41</f>
        <v>0</v>
      </c>
      <c r="AI14" s="48">
        <f>$AA14*'FZ-CZ'!P41</f>
        <v>0</v>
      </c>
      <c r="AJ14" s="48">
        <f>$AA14*'FZ-CZ'!Q41</f>
        <v>0</v>
      </c>
      <c r="AK14" s="48">
        <f>$AA14*'FZ-CZ'!R41</f>
        <v>0.38659001548926997</v>
      </c>
      <c r="AL14" s="48">
        <f>$AA14*'FZ-CZ'!S41</f>
        <v>0</v>
      </c>
      <c r="AM14" s="48">
        <f>$AA14*'FZ-CZ'!T41</f>
        <v>0</v>
      </c>
      <c r="AN14" s="48">
        <f>$AA14*'FZ-CZ'!U41</f>
        <v>0</v>
      </c>
      <c r="AO14" s="48">
        <f>$AA14*'FZ-CZ'!V41</f>
        <v>1.1358421681844034E-6</v>
      </c>
      <c r="AP14" s="48">
        <f>$AA14*'FZ-CZ'!W41</f>
        <v>5.9867060326928997E-2</v>
      </c>
      <c r="AQ14" s="48">
        <f>$AA14*'FZ-CZ'!X41</f>
        <v>2.4938550644656764E-3</v>
      </c>
    </row>
    <row r="15" spans="1:43">
      <c r="A15" s="29">
        <v>13</v>
      </c>
      <c r="B15" s="8">
        <f>AN51</f>
        <v>0.13821722459724894</v>
      </c>
      <c r="C15" s="8">
        <f>AN25</f>
        <v>0.84516911983137077</v>
      </c>
      <c r="D15" s="8">
        <f>AN78</f>
        <v>1.6613655571380233E-2</v>
      </c>
      <c r="E15" s="73"/>
      <c r="F15" s="53">
        <f>'HVAC System'!B203</f>
        <v>0.17779218754231824</v>
      </c>
      <c r="G15" s="53">
        <f>'HVAC System'!C203</f>
        <v>0.8119424043787391</v>
      </c>
      <c r="H15" s="53">
        <f>'HVAC System'!D203</f>
        <v>1.0265408078942762E-2</v>
      </c>
      <c r="I15" s="57"/>
      <c r="J15" s="93">
        <v>1</v>
      </c>
      <c r="K15" s="93">
        <v>4</v>
      </c>
      <c r="L15" s="1"/>
      <c r="M15" s="84">
        <f t="shared" si="0"/>
        <v>-3.9574962945069292E-2</v>
      </c>
      <c r="O15" s="17" t="s">
        <v>295</v>
      </c>
      <c r="P15" s="7" t="s">
        <v>283</v>
      </c>
      <c r="Q15" s="7" t="s">
        <v>222</v>
      </c>
      <c r="R15" s="18">
        <v>0.90055976309347696</v>
      </c>
      <c r="S15" s="18">
        <v>0.57985696419694299</v>
      </c>
      <c r="T15" s="18">
        <v>0.41763915397062901</v>
      </c>
      <c r="U15" s="18">
        <v>2.50388183242737E-3</v>
      </c>
      <c r="V15" s="87">
        <v>0.52219585030530169</v>
      </c>
      <c r="W15" s="87">
        <v>0.3761090175583498</v>
      </c>
      <c r="X15" s="18">
        <v>2.2548952298248534E-3</v>
      </c>
      <c r="Y15" s="21"/>
      <c r="Z15" s="24" t="s">
        <v>214</v>
      </c>
      <c r="AA15" s="48">
        <f>(W15+W16)/2</f>
        <v>0.44192117448773427</v>
      </c>
      <c r="AB15" s="48">
        <f>$AA15*'FZ-CZ'!I42</f>
        <v>0</v>
      </c>
      <c r="AC15" s="48">
        <f>$AA15*'FZ-CZ'!J42</f>
        <v>0</v>
      </c>
      <c r="AD15" s="48">
        <f>$AA15*'FZ-CZ'!K42</f>
        <v>0</v>
      </c>
      <c r="AE15" s="48">
        <f>$AA15*'FZ-CZ'!L42</f>
        <v>0</v>
      </c>
      <c r="AF15" s="48">
        <f>$AA15*'FZ-CZ'!M42</f>
        <v>0</v>
      </c>
      <c r="AG15" s="48">
        <f>$AA15*'FZ-CZ'!N42</f>
        <v>2.9146994415361983E-2</v>
      </c>
      <c r="AH15" s="48">
        <f>$AA15*'FZ-CZ'!O42</f>
        <v>0.27756072618782546</v>
      </c>
      <c r="AI15" s="48">
        <f>$AA15*'FZ-CZ'!P42</f>
        <v>8.5647448928795784E-3</v>
      </c>
      <c r="AJ15" s="48">
        <f>$AA15*'FZ-CZ'!Q42</f>
        <v>0</v>
      </c>
      <c r="AK15" s="48">
        <f>$AA15*'FZ-CZ'!R42</f>
        <v>0.12320799254792923</v>
      </c>
      <c r="AL15" s="48">
        <f>$AA15*'FZ-CZ'!S42</f>
        <v>0</v>
      </c>
      <c r="AM15" s="48">
        <f>$AA15*'FZ-CZ'!T42</f>
        <v>0</v>
      </c>
      <c r="AN15" s="48">
        <f>$AA15*'FZ-CZ'!U42</f>
        <v>0</v>
      </c>
      <c r="AO15" s="48">
        <f>$AA15*'FZ-CZ'!V42</f>
        <v>2.9266511007704577E-3</v>
      </c>
      <c r="AP15" s="48">
        <f>$AA15*'FZ-CZ'!W42</f>
        <v>5.140653429675533E-4</v>
      </c>
      <c r="AQ15" s="48">
        <f>$AA15*'FZ-CZ'!X42</f>
        <v>0</v>
      </c>
    </row>
    <row r="16" spans="1:43">
      <c r="A16" s="29">
        <v>14</v>
      </c>
      <c r="B16" s="67">
        <f>AO51</f>
        <v>0.36370721434457981</v>
      </c>
      <c r="C16" s="67">
        <f>AO25</f>
        <v>0.62754849244676114</v>
      </c>
      <c r="D16" s="8">
        <f>AO78</f>
        <v>8.744293208659196E-3</v>
      </c>
      <c r="E16" s="73"/>
      <c r="F16" s="85">
        <f>'HVAC System'!B204</f>
        <v>0.50913681841381442</v>
      </c>
      <c r="G16" s="85">
        <f>'HVAC System'!C204</f>
        <v>0.48838973468518848</v>
      </c>
      <c r="H16" s="53">
        <f>'HVAC System'!D204</f>
        <v>2.4734469009971309E-3</v>
      </c>
      <c r="I16" s="57"/>
      <c r="J16" s="93">
        <v>3</v>
      </c>
      <c r="K16" s="93">
        <v>2</v>
      </c>
      <c r="L16" s="1"/>
      <c r="M16" s="84">
        <f t="shared" si="0"/>
        <v>-0.14542960406923461</v>
      </c>
      <c r="O16" s="17" t="s">
        <v>296</v>
      </c>
      <c r="P16" s="7" t="s">
        <v>283</v>
      </c>
      <c r="Q16" s="7" t="s">
        <v>222</v>
      </c>
      <c r="R16" s="18">
        <v>0.87840233062968898</v>
      </c>
      <c r="S16" s="18">
        <v>0.420592802012414</v>
      </c>
      <c r="T16" s="18">
        <v>0.57801910777393595</v>
      </c>
      <c r="U16" s="18">
        <v>1.38809021364916E-3</v>
      </c>
      <c r="V16" s="87">
        <v>0.36944969753377582</v>
      </c>
      <c r="W16" s="87">
        <v>0.50773333141711874</v>
      </c>
      <c r="X16" s="18">
        <v>1.219301678793685E-3</v>
      </c>
      <c r="Y16" s="21"/>
      <c r="Z16" s="24" t="s">
        <v>297</v>
      </c>
      <c r="AA16" s="48">
        <f>W17</f>
        <v>0.53370716424748876</v>
      </c>
      <c r="AB16" s="48">
        <f>$AA16*'FZ-CZ'!I43</f>
        <v>0</v>
      </c>
      <c r="AC16" s="48">
        <f>$AA16*'FZ-CZ'!J43</f>
        <v>0</v>
      </c>
      <c r="AD16" s="48">
        <f>$AA16*'FZ-CZ'!K43</f>
        <v>0</v>
      </c>
      <c r="AE16" s="48">
        <f>$AA16*'FZ-CZ'!L43</f>
        <v>0</v>
      </c>
      <c r="AF16" s="48">
        <f>$AA16*'FZ-CZ'!M43</f>
        <v>0</v>
      </c>
      <c r="AG16" s="48">
        <f>$AA16*'FZ-CZ'!N43</f>
        <v>0</v>
      </c>
      <c r="AH16" s="48">
        <f>$AA16*'FZ-CZ'!O43</f>
        <v>0</v>
      </c>
      <c r="AI16" s="48">
        <f>$AA16*'FZ-CZ'!P43</f>
        <v>0</v>
      </c>
      <c r="AJ16" s="48">
        <f>$AA16*'FZ-CZ'!Q43</f>
        <v>0</v>
      </c>
      <c r="AK16" s="48">
        <f>$AA16*'FZ-CZ'!R43</f>
        <v>0</v>
      </c>
      <c r="AL16" s="48">
        <f>$AA16*'FZ-CZ'!S43</f>
        <v>2.2463856383712478E-3</v>
      </c>
      <c r="AM16" s="48">
        <f>$AA16*'FZ-CZ'!T43</f>
        <v>0.53146077860911756</v>
      </c>
      <c r="AN16" s="48">
        <f>$AA16*'FZ-CZ'!U43</f>
        <v>0</v>
      </c>
      <c r="AO16" s="48">
        <f>$AA16*'FZ-CZ'!V43</f>
        <v>0</v>
      </c>
      <c r="AP16" s="48">
        <f>$AA16*'FZ-CZ'!W43</f>
        <v>0</v>
      </c>
      <c r="AQ16" s="48">
        <f>$AA16*'FZ-CZ'!X43</f>
        <v>0</v>
      </c>
    </row>
    <row r="17" spans="1:43">
      <c r="A17" s="29">
        <v>15</v>
      </c>
      <c r="B17" s="8">
        <f>AP51</f>
        <v>0.52657563173633404</v>
      </c>
      <c r="C17" s="8">
        <f>AP25</f>
        <v>0.4663041300009691</v>
      </c>
      <c r="D17" s="8">
        <f>AP78</f>
        <v>7.1202382626967941E-3</v>
      </c>
      <c r="E17" s="73"/>
      <c r="F17" s="53">
        <f>'HVAC System'!B205</f>
        <v>0.52427358907974586</v>
      </c>
      <c r="G17" s="53">
        <f>'HVAC System'!C205</f>
        <v>0.4686113719435282</v>
      </c>
      <c r="H17" s="53">
        <f>'HVAC System'!D205</f>
        <v>7.1150389767258857E-3</v>
      </c>
      <c r="I17" s="57"/>
      <c r="J17" s="93">
        <v>3</v>
      </c>
      <c r="K17" s="93">
        <v>2</v>
      </c>
      <c r="L17" s="1"/>
      <c r="M17" s="84">
        <f t="shared" si="0"/>
        <v>2.3020426565881769E-3</v>
      </c>
      <c r="O17" s="17" t="s">
        <v>297</v>
      </c>
      <c r="P17" s="7" t="s">
        <v>283</v>
      </c>
      <c r="Q17" s="7" t="s">
        <v>222</v>
      </c>
      <c r="R17" s="18">
        <v>0.86848685189464703</v>
      </c>
      <c r="S17" s="18">
        <v>0.38547467577294903</v>
      </c>
      <c r="T17" s="18">
        <v>0.61452532422705097</v>
      </c>
      <c r="U17" s="18">
        <v>0</v>
      </c>
      <c r="V17" s="87">
        <v>0.33477968764715826</v>
      </c>
      <c r="W17" s="87">
        <v>0.53370716424748876</v>
      </c>
      <c r="X17" s="18">
        <v>0</v>
      </c>
      <c r="Y17" s="21"/>
      <c r="Z17" s="24" t="s">
        <v>315</v>
      </c>
      <c r="AA17" s="48">
        <f>W8</f>
        <v>0.72768161312071966</v>
      </c>
      <c r="AB17" s="48">
        <f>$AA17*'FZ-CZ'!I44</f>
        <v>0</v>
      </c>
      <c r="AC17" s="48">
        <f>$AA17*'FZ-CZ'!J44</f>
        <v>0</v>
      </c>
      <c r="AD17" s="48">
        <f>$AA17*'FZ-CZ'!K44</f>
        <v>0</v>
      </c>
      <c r="AE17" s="48">
        <f>$AA17*'FZ-CZ'!L44</f>
        <v>0</v>
      </c>
      <c r="AF17" s="48">
        <f>$AA17*'FZ-CZ'!M44</f>
        <v>0</v>
      </c>
      <c r="AG17" s="48">
        <f>$AA17*'FZ-CZ'!N44</f>
        <v>0</v>
      </c>
      <c r="AH17" s="48">
        <f>$AA17*'FZ-CZ'!O44</f>
        <v>0</v>
      </c>
      <c r="AI17" s="48">
        <f>$AA17*'FZ-CZ'!P44</f>
        <v>0</v>
      </c>
      <c r="AJ17" s="48">
        <f>$AA17*'FZ-CZ'!Q44</f>
        <v>0</v>
      </c>
      <c r="AK17" s="48">
        <f>$AA17*'FZ-CZ'!R44</f>
        <v>0</v>
      </c>
      <c r="AL17" s="48">
        <f>$AA17*'FZ-CZ'!S44</f>
        <v>0</v>
      </c>
      <c r="AM17" s="48">
        <f>$AA17*'FZ-CZ'!T44</f>
        <v>0.72768161312071966</v>
      </c>
      <c r="AN17" s="48">
        <f>$AA17*'FZ-CZ'!U44</f>
        <v>0</v>
      </c>
      <c r="AO17" s="48">
        <f>$AA17*'FZ-CZ'!V44</f>
        <v>0</v>
      </c>
      <c r="AP17" s="48">
        <f>$AA17*'FZ-CZ'!W44</f>
        <v>0</v>
      </c>
      <c r="AQ17" s="48">
        <f>$AA17*'FZ-CZ'!X44</f>
        <v>0</v>
      </c>
    </row>
    <row r="18" spans="1:43">
      <c r="A18" s="29">
        <v>16</v>
      </c>
      <c r="B18" s="8">
        <f>AQ51</f>
        <v>0.32942604912516604</v>
      </c>
      <c r="C18" s="8">
        <f>AQ25</f>
        <v>0.6607252796919818</v>
      </c>
      <c r="D18" s="8">
        <f>AQ78</f>
        <v>9.8486711828521881E-3</v>
      </c>
      <c r="E18" s="73"/>
      <c r="F18" s="53">
        <f>'HVAC System'!B206</f>
        <v>0.32925015422628345</v>
      </c>
      <c r="G18" s="53">
        <f>'HVAC System'!C206</f>
        <v>0.66516017412819983</v>
      </c>
      <c r="H18" s="53">
        <f>'HVAC System'!D206</f>
        <v>5.5896716455166992E-3</v>
      </c>
      <c r="I18" s="57"/>
      <c r="J18" s="93">
        <v>1</v>
      </c>
      <c r="K18" s="93">
        <v>4</v>
      </c>
      <c r="L18" s="1"/>
      <c r="M18" s="84">
        <f t="shared" si="0"/>
        <v>1.7589489888258925E-4</v>
      </c>
      <c r="O18" s="17" t="s">
        <v>298</v>
      </c>
      <c r="P18" s="7" t="s">
        <v>283</v>
      </c>
      <c r="Q18" s="7" t="s">
        <v>222</v>
      </c>
      <c r="R18" s="18">
        <v>0.73640494632961395</v>
      </c>
      <c r="S18" s="18">
        <v>0.48204749105772099</v>
      </c>
      <c r="T18" s="18">
        <v>0.51795250894227896</v>
      </c>
      <c r="U18" s="18">
        <v>0</v>
      </c>
      <c r="V18" s="87">
        <v>0.35498215678068606</v>
      </c>
      <c r="W18" s="87">
        <v>0.38142278954892783</v>
      </c>
      <c r="X18" s="18">
        <v>0</v>
      </c>
      <c r="Y18" s="21"/>
      <c r="Z18" s="24" t="s">
        <v>316</v>
      </c>
      <c r="AA18" s="48">
        <f>W8</f>
        <v>0.72768161312071966</v>
      </c>
      <c r="AB18" s="48">
        <f>$AA18*'FZ-CZ'!I45</f>
        <v>0</v>
      </c>
      <c r="AC18" s="48">
        <f>$AA18*'FZ-CZ'!J45</f>
        <v>1.4109407763886008E-3</v>
      </c>
      <c r="AD18" s="48">
        <f>$AA18*'FZ-CZ'!K45</f>
        <v>0</v>
      </c>
      <c r="AE18" s="48">
        <f>$AA18*'FZ-CZ'!L45</f>
        <v>0</v>
      </c>
      <c r="AF18" s="48">
        <f>$AA18*'FZ-CZ'!M45</f>
        <v>0</v>
      </c>
      <c r="AG18" s="48">
        <f>$AA18*'FZ-CZ'!N45</f>
        <v>0</v>
      </c>
      <c r="AH18" s="48">
        <f>$AA18*'FZ-CZ'!O45</f>
        <v>0</v>
      </c>
      <c r="AI18" s="48">
        <f>$AA18*'FZ-CZ'!P45</f>
        <v>0</v>
      </c>
      <c r="AJ18" s="48">
        <f>$AA18*'FZ-CZ'!Q45</f>
        <v>0</v>
      </c>
      <c r="AK18" s="48">
        <f>$AA18*'FZ-CZ'!R45</f>
        <v>0</v>
      </c>
      <c r="AL18" s="48">
        <f>$AA18*'FZ-CZ'!S45</f>
        <v>0.32414959312645952</v>
      </c>
      <c r="AM18" s="48">
        <f>$AA18*'FZ-CZ'!T45</f>
        <v>0.38314436946751285</v>
      </c>
      <c r="AN18" s="48">
        <f>$AA18*'FZ-CZ'!U45</f>
        <v>0</v>
      </c>
      <c r="AO18" s="48">
        <f>$AA18*'FZ-CZ'!V45</f>
        <v>0</v>
      </c>
      <c r="AP18" s="48">
        <f>$AA18*'FZ-CZ'!W45</f>
        <v>0</v>
      </c>
      <c r="AQ18" s="48">
        <f>$AA18*'FZ-CZ'!X45</f>
        <v>1.8976709750358634E-2</v>
      </c>
    </row>
    <row r="19" spans="1:43">
      <c r="O19" s="17" t="s">
        <v>299</v>
      </c>
      <c r="P19" s="7" t="s">
        <v>283</v>
      </c>
      <c r="Q19" s="7" t="s">
        <v>222</v>
      </c>
      <c r="R19" s="18">
        <v>0.90563925890418395</v>
      </c>
      <c r="S19" s="18">
        <v>0.35215232552270398</v>
      </c>
      <c r="T19" s="18">
        <v>0.64784767447729597</v>
      </c>
      <c r="U19" s="18">
        <v>0</v>
      </c>
      <c r="V19" s="18">
        <v>0.31892297110776657</v>
      </c>
      <c r="W19" s="18">
        <v>0.58671628779641738</v>
      </c>
      <c r="X19" s="18">
        <v>0</v>
      </c>
      <c r="Y19" s="21"/>
      <c r="Z19" s="24" t="s">
        <v>298</v>
      </c>
      <c r="AA19" s="48">
        <f>W18</f>
        <v>0.38142278954892783</v>
      </c>
      <c r="AB19" s="48">
        <f>$AA19*'FZ-CZ'!I46</f>
        <v>0</v>
      </c>
      <c r="AC19" s="48">
        <f>$AA19*'FZ-CZ'!J46</f>
        <v>0</v>
      </c>
      <c r="AD19" s="48">
        <f>$AA19*'FZ-CZ'!K46</f>
        <v>0</v>
      </c>
      <c r="AE19" s="48">
        <f>$AA19*'FZ-CZ'!L46</f>
        <v>0</v>
      </c>
      <c r="AF19" s="48">
        <f>$AA19*'FZ-CZ'!M46</f>
        <v>0</v>
      </c>
      <c r="AG19" s="48">
        <f>$AA19*'FZ-CZ'!N46</f>
        <v>6.5526534305071688E-2</v>
      </c>
      <c r="AH19" s="48">
        <f>$AA19*'FZ-CZ'!O46</f>
        <v>0</v>
      </c>
      <c r="AI19" s="48">
        <f>$AA19*'FZ-CZ'!P46</f>
        <v>0.10642262818784845</v>
      </c>
      <c r="AJ19" s="48">
        <f>$AA19*'FZ-CZ'!Q46</f>
        <v>0.20947362705600769</v>
      </c>
      <c r="AK19" s="48">
        <f>$AA19*'FZ-CZ'!R46</f>
        <v>0</v>
      </c>
      <c r="AL19" s="48">
        <f>$AA19*'FZ-CZ'!S46</f>
        <v>0</v>
      </c>
      <c r="AM19" s="48">
        <f>$AA19*'FZ-CZ'!T46</f>
        <v>0</v>
      </c>
      <c r="AN19" s="48">
        <f>$AA19*'FZ-CZ'!U46</f>
        <v>0</v>
      </c>
      <c r="AO19" s="48">
        <f>$AA19*'FZ-CZ'!V46</f>
        <v>0</v>
      </c>
      <c r="AP19" s="48">
        <f>$AA19*'FZ-CZ'!W46</f>
        <v>0</v>
      </c>
      <c r="AQ19" s="48">
        <f>$AA19*'FZ-CZ'!X46</f>
        <v>0</v>
      </c>
    </row>
    <row r="20" spans="1:43">
      <c r="Z20" s="24" t="s">
        <v>299</v>
      </c>
      <c r="AA20" s="48">
        <f>W19</f>
        <v>0.58671628779641738</v>
      </c>
      <c r="AB20" s="48">
        <f>$AA20*'FZ-CZ'!I47</f>
        <v>0</v>
      </c>
      <c r="AC20" s="48">
        <f>$AA20*'FZ-CZ'!J47</f>
        <v>0</v>
      </c>
      <c r="AD20" s="48">
        <f>$AA20*'FZ-CZ'!K47</f>
        <v>0</v>
      </c>
      <c r="AE20" s="48">
        <f>$AA20*'FZ-CZ'!L47</f>
        <v>0</v>
      </c>
      <c r="AF20" s="48">
        <f>$AA20*'FZ-CZ'!M47</f>
        <v>0</v>
      </c>
      <c r="AG20" s="48">
        <f>$AA20*'FZ-CZ'!N47</f>
        <v>0</v>
      </c>
      <c r="AH20" s="48">
        <f>$AA20*'FZ-CZ'!O47</f>
        <v>0</v>
      </c>
      <c r="AI20" s="48">
        <f>$AA20*'FZ-CZ'!P47</f>
        <v>0</v>
      </c>
      <c r="AJ20" s="48">
        <f>$AA20*'FZ-CZ'!Q47</f>
        <v>0.58292662942063367</v>
      </c>
      <c r="AK20" s="48">
        <f>$AA20*'FZ-CZ'!R47</f>
        <v>0</v>
      </c>
      <c r="AL20" s="48">
        <f>$AA20*'FZ-CZ'!S47</f>
        <v>0</v>
      </c>
      <c r="AM20" s="48">
        <f>$AA20*'FZ-CZ'!T47</f>
        <v>0</v>
      </c>
      <c r="AN20" s="48">
        <f>$AA20*'FZ-CZ'!U47</f>
        <v>0</v>
      </c>
      <c r="AO20" s="48">
        <f>$AA20*'FZ-CZ'!V47</f>
        <v>0</v>
      </c>
      <c r="AP20" s="48">
        <f>$AA20*'FZ-CZ'!W47</f>
        <v>0</v>
      </c>
      <c r="AQ20" s="48">
        <f>$AA20*'FZ-CZ'!X47</f>
        <v>3.7896583757836598E-3</v>
      </c>
    </row>
    <row r="21" spans="1:43">
      <c r="Z21" s="24" t="s">
        <v>317</v>
      </c>
      <c r="AA21" s="48">
        <f>W19</f>
        <v>0.58671628779641738</v>
      </c>
      <c r="AB21" s="48">
        <f>$AA21*'FZ-CZ'!I48</f>
        <v>0</v>
      </c>
      <c r="AC21" s="48">
        <f>$AA21*'FZ-CZ'!J48</f>
        <v>0</v>
      </c>
      <c r="AD21" s="48">
        <f>$AA21*'FZ-CZ'!K48</f>
        <v>0</v>
      </c>
      <c r="AE21" s="48">
        <f>$AA21*'FZ-CZ'!L48</f>
        <v>0</v>
      </c>
      <c r="AF21" s="48">
        <f>$AA21*'FZ-CZ'!M48</f>
        <v>0</v>
      </c>
      <c r="AG21" s="48">
        <f>$AA21*'FZ-CZ'!N48</f>
        <v>0</v>
      </c>
      <c r="AH21" s="48">
        <f>$AA21*'FZ-CZ'!O48</f>
        <v>0</v>
      </c>
      <c r="AI21" s="48">
        <f>$AA21*'FZ-CZ'!P48</f>
        <v>0</v>
      </c>
      <c r="AJ21" s="48">
        <f>$AA21*'FZ-CZ'!Q48</f>
        <v>0.58671628779641738</v>
      </c>
      <c r="AK21" s="48">
        <f>$AA21*'FZ-CZ'!R48</f>
        <v>0</v>
      </c>
      <c r="AL21" s="48">
        <f>$AA21*'FZ-CZ'!S48</f>
        <v>0</v>
      </c>
      <c r="AM21" s="48">
        <f>$AA21*'FZ-CZ'!T48</f>
        <v>0</v>
      </c>
      <c r="AN21" s="48">
        <f>$AA21*'FZ-CZ'!U48</f>
        <v>0</v>
      </c>
      <c r="AO21" s="48">
        <f>$AA21*'FZ-CZ'!V48</f>
        <v>0</v>
      </c>
      <c r="AP21" s="48">
        <f>$AA21*'FZ-CZ'!W48</f>
        <v>0</v>
      </c>
      <c r="AQ21" s="48">
        <f>$AA21*'FZ-CZ'!X48</f>
        <v>0</v>
      </c>
    </row>
    <row r="22" spans="1:43">
      <c r="Z22" s="24" t="s">
        <v>318</v>
      </c>
      <c r="AA22" s="60">
        <f>W14</f>
        <v>0.44895206672283278</v>
      </c>
      <c r="AB22" s="48">
        <f>$AA22*'FZ-CZ'!I49</f>
        <v>0</v>
      </c>
      <c r="AC22" s="48">
        <f>$AA22*'FZ-CZ'!J49</f>
        <v>0</v>
      </c>
      <c r="AD22" s="48">
        <f>$AA22*'FZ-CZ'!K49</f>
        <v>0</v>
      </c>
      <c r="AE22" s="48">
        <f>$AA22*'FZ-CZ'!L49</f>
        <v>0</v>
      </c>
      <c r="AF22" s="48">
        <f>$AA22*'FZ-CZ'!M49</f>
        <v>0</v>
      </c>
      <c r="AG22" s="48">
        <f>$AA22*'FZ-CZ'!N49</f>
        <v>0</v>
      </c>
      <c r="AH22" s="48">
        <f>$AA22*'FZ-CZ'!O49</f>
        <v>0</v>
      </c>
      <c r="AI22" s="48">
        <f>$AA22*'FZ-CZ'!P49</f>
        <v>0</v>
      </c>
      <c r="AJ22" s="48">
        <f>$AA22*'FZ-CZ'!Q49</f>
        <v>0</v>
      </c>
      <c r="AK22" s="48">
        <f>$AA22*'FZ-CZ'!R49</f>
        <v>0</v>
      </c>
      <c r="AL22" s="48">
        <f>$AA22*'FZ-CZ'!S49</f>
        <v>0</v>
      </c>
      <c r="AM22" s="48">
        <f>$AA22*'FZ-CZ'!T49</f>
        <v>0</v>
      </c>
      <c r="AN22" s="48">
        <f>$AA22*'FZ-CZ'!U49</f>
        <v>0</v>
      </c>
      <c r="AO22" s="48">
        <f>$AA22*'FZ-CZ'!V49</f>
        <v>1.0873675113292541E-4</v>
      </c>
      <c r="AP22" s="48">
        <f>$AA22*'FZ-CZ'!W49</f>
        <v>0.44884332997169984</v>
      </c>
      <c r="AQ22" s="48">
        <f>$AA22*'FZ-CZ'!X49</f>
        <v>0</v>
      </c>
    </row>
    <row r="23" spans="1:43">
      <c r="Z23" s="61" t="s">
        <v>319</v>
      </c>
      <c r="AA23" s="62">
        <f>W13</f>
        <v>0.49296635343854911</v>
      </c>
      <c r="AB23" s="48">
        <f>$AA23*'FZ-CZ'!I50</f>
        <v>0</v>
      </c>
      <c r="AC23" s="48">
        <f>$AA23*'FZ-CZ'!J50</f>
        <v>0</v>
      </c>
      <c r="AD23" s="48">
        <f>$AA23*'FZ-CZ'!K50</f>
        <v>0</v>
      </c>
      <c r="AE23" s="48">
        <f>$AA23*'FZ-CZ'!L50</f>
        <v>0</v>
      </c>
      <c r="AF23" s="48">
        <f>$AA23*'FZ-CZ'!M50</f>
        <v>0</v>
      </c>
      <c r="AG23" s="48">
        <f>$AA23*'FZ-CZ'!N50</f>
        <v>0</v>
      </c>
      <c r="AH23" s="48">
        <f>$AA23*'FZ-CZ'!O50</f>
        <v>0</v>
      </c>
      <c r="AI23" s="48">
        <f>$AA23*'FZ-CZ'!P50</f>
        <v>0</v>
      </c>
      <c r="AJ23" s="48">
        <f>$AA23*'FZ-CZ'!Q50</f>
        <v>0</v>
      </c>
      <c r="AK23" s="48">
        <f>$AA23*'FZ-CZ'!R50</f>
        <v>0</v>
      </c>
      <c r="AL23" s="48">
        <f>$AA23*'FZ-CZ'!S50</f>
        <v>0</v>
      </c>
      <c r="AM23" s="48">
        <f>$AA23*'FZ-CZ'!T50</f>
        <v>0</v>
      </c>
      <c r="AN23" s="48">
        <f>$AA23*'FZ-CZ'!U50</f>
        <v>0</v>
      </c>
      <c r="AO23" s="48">
        <f>$AA23*'FZ-CZ'!V50</f>
        <v>0</v>
      </c>
      <c r="AP23" s="48">
        <f>$AA23*'FZ-CZ'!W50</f>
        <v>0</v>
      </c>
      <c r="AQ23" s="48">
        <f>$AA23*'FZ-CZ'!X50</f>
        <v>0.49296635343854911</v>
      </c>
    </row>
    <row r="24" spans="1:43">
      <c r="Z24" s="24" t="s">
        <v>320</v>
      </c>
      <c r="AA24" s="98"/>
      <c r="AB24" s="138">
        <f>SUM(AB3:AB23)</f>
        <v>0.22508422462817934</v>
      </c>
      <c r="AC24" s="138">
        <f t="shared" ref="AC24:AQ24" si="2">SUM(AC3:AC23)</f>
        <v>0.56431935646015663</v>
      </c>
      <c r="AD24" s="138">
        <f t="shared" si="2"/>
        <v>0.75311584678881616</v>
      </c>
      <c r="AE24" s="138">
        <f t="shared" si="2"/>
        <v>0.29571573695533748</v>
      </c>
      <c r="AF24" s="138">
        <f t="shared" si="2"/>
        <v>0.22347683967583815</v>
      </c>
      <c r="AG24" s="138">
        <f t="shared" si="2"/>
        <v>0.41730965069327097</v>
      </c>
      <c r="AH24" s="138">
        <f t="shared" si="2"/>
        <v>0.27756072618782546</v>
      </c>
      <c r="AI24" s="138">
        <f t="shared" si="2"/>
        <v>0.256778491537764</v>
      </c>
      <c r="AJ24" s="138">
        <f t="shared" si="2"/>
        <v>1.6423640337034693</v>
      </c>
      <c r="AK24" s="138">
        <f t="shared" si="2"/>
        <v>0.86071935425256862</v>
      </c>
      <c r="AL24" s="138">
        <f t="shared" si="2"/>
        <v>0.96714348154673913</v>
      </c>
      <c r="AM24" s="138">
        <f t="shared" si="2"/>
        <v>2.2160090841618518</v>
      </c>
      <c r="AN24" s="138">
        <f t="shared" si="2"/>
        <v>1.3659303430059242</v>
      </c>
      <c r="AO24" s="138">
        <f t="shared" si="2"/>
        <v>0.24095653202414166</v>
      </c>
      <c r="AP24" s="138">
        <f t="shared" si="2"/>
        <v>0.53285346096574626</v>
      </c>
      <c r="AQ24" s="138">
        <f t="shared" si="2"/>
        <v>1.3056287765683339</v>
      </c>
    </row>
    <row r="25" spans="1:43">
      <c r="AB25" s="138">
        <f>AB24/(AB50+AB24+AB77)</f>
        <v>0.79946567280119618</v>
      </c>
      <c r="AC25" s="138">
        <f t="shared" ref="AC25:AQ25" si="3">AC24/(AC50+AC24+AC77)</f>
        <v>0.81406874065132717</v>
      </c>
      <c r="AD25" s="138">
        <f t="shared" si="3"/>
        <v>0.71741247932531427</v>
      </c>
      <c r="AE25" s="138">
        <f t="shared" si="3"/>
        <v>0.70401752155499331</v>
      </c>
      <c r="AF25" s="138">
        <f t="shared" si="3"/>
        <v>0.74175930496762188</v>
      </c>
      <c r="AG25" s="138">
        <f t="shared" si="3"/>
        <v>0.44607772463966916</v>
      </c>
      <c r="AH25" s="138">
        <f t="shared" si="3"/>
        <v>0.49683034399327042</v>
      </c>
      <c r="AI25" s="138">
        <f t="shared" si="3"/>
        <v>0.40021386522079</v>
      </c>
      <c r="AJ25" s="138">
        <f t="shared" si="3"/>
        <v>0.57339592544855944</v>
      </c>
      <c r="AK25" s="138">
        <f t="shared" si="3"/>
        <v>0.49406450337237073</v>
      </c>
      <c r="AL25" s="138">
        <f t="shared" si="3"/>
        <v>0.70216947399700702</v>
      </c>
      <c r="AM25" s="138">
        <f t="shared" si="3"/>
        <v>0.70955990330243068</v>
      </c>
      <c r="AN25" s="138">
        <f t="shared" si="3"/>
        <v>0.84516911983137077</v>
      </c>
      <c r="AO25" s="138">
        <f t="shared" si="3"/>
        <v>0.62754849244676114</v>
      </c>
      <c r="AP25" s="138">
        <f t="shared" si="3"/>
        <v>0.4663041300009691</v>
      </c>
      <c r="AQ25" s="138">
        <f t="shared" si="3"/>
        <v>0.6607252796919818</v>
      </c>
    </row>
    <row r="26" spans="1:43">
      <c r="AB26" s="138"/>
      <c r="AC26" s="138"/>
      <c r="AD26" s="138"/>
      <c r="AE26" s="138"/>
      <c r="AF26" s="138"/>
      <c r="AG26" s="138"/>
      <c r="AH26" s="138"/>
      <c r="AI26" s="138"/>
      <c r="AJ26" s="138"/>
      <c r="AK26" s="138"/>
      <c r="AL26" s="138"/>
      <c r="AM26" s="138"/>
      <c r="AN26" s="138"/>
      <c r="AO26" s="138"/>
      <c r="AP26" s="138"/>
      <c r="AQ26" s="138"/>
    </row>
    <row r="28" spans="1:43" ht="28.8">
      <c r="Z28" s="46"/>
      <c r="AA28" s="5" t="s">
        <v>271</v>
      </c>
      <c r="AB28" s="30">
        <v>1</v>
      </c>
      <c r="AC28" s="34">
        <v>2</v>
      </c>
      <c r="AD28" s="34">
        <v>3</v>
      </c>
      <c r="AE28" s="34">
        <v>4</v>
      </c>
      <c r="AF28" s="34">
        <v>5</v>
      </c>
      <c r="AG28" s="34">
        <v>6</v>
      </c>
      <c r="AH28" s="34">
        <v>7</v>
      </c>
      <c r="AI28" s="34">
        <v>8</v>
      </c>
      <c r="AJ28" s="34">
        <v>9</v>
      </c>
      <c r="AK28" s="34">
        <v>10</v>
      </c>
      <c r="AL28" s="34">
        <v>11</v>
      </c>
      <c r="AM28" s="34">
        <v>12</v>
      </c>
      <c r="AN28" s="34">
        <v>13</v>
      </c>
      <c r="AO28" s="34">
        <v>14</v>
      </c>
      <c r="AP28" s="34">
        <v>15</v>
      </c>
      <c r="AQ28" s="38">
        <v>16</v>
      </c>
    </row>
    <row r="29" spans="1:43" ht="16.95" customHeight="1">
      <c r="Z29" t="s">
        <v>314</v>
      </c>
      <c r="AA29" s="48">
        <f>AA44</f>
        <v>0.18902425594194774</v>
      </c>
      <c r="AB29" s="138">
        <f>$AA29*'FZ-CZ'!I30</f>
        <v>3.3833464698585662E-2</v>
      </c>
      <c r="AC29" s="138">
        <f>$AA29*'FZ-CZ'!J30</f>
        <v>0</v>
      </c>
      <c r="AD29" s="138">
        <f>$AA29*'FZ-CZ'!K30</f>
        <v>0</v>
      </c>
      <c r="AE29" s="138">
        <f>$AA29*'FZ-CZ'!L30</f>
        <v>0</v>
      </c>
      <c r="AF29" s="138">
        <f>$AA29*'FZ-CZ'!M30</f>
        <v>0</v>
      </c>
      <c r="AG29" s="138">
        <f>$AA29*'FZ-CZ'!N30</f>
        <v>0</v>
      </c>
      <c r="AH29" s="138">
        <f>$AA29*'FZ-CZ'!O30</f>
        <v>0</v>
      </c>
      <c r="AI29" s="138">
        <f>$AA29*'FZ-CZ'!P30</f>
        <v>0</v>
      </c>
      <c r="AJ29" s="138">
        <f>$AA29*'FZ-CZ'!Q30</f>
        <v>0</v>
      </c>
      <c r="AK29" s="138">
        <f>$AA29*'FZ-CZ'!R30</f>
        <v>0</v>
      </c>
      <c r="AL29" s="138">
        <f>$AA29*'FZ-CZ'!S30</f>
        <v>7.9746716662728646E-4</v>
      </c>
      <c r="AM29" s="138">
        <f>$AA29*'FZ-CZ'!T30</f>
        <v>0</v>
      </c>
      <c r="AN29" s="138">
        <f>$AA29*'FZ-CZ'!U30</f>
        <v>0</v>
      </c>
      <c r="AO29" s="138">
        <f>$AA29*'FZ-CZ'!V30</f>
        <v>2.4537451280839585E-6</v>
      </c>
      <c r="AP29" s="138">
        <f>$AA29*'FZ-CZ'!W30</f>
        <v>6.0153561814978249E-3</v>
      </c>
      <c r="AQ29" s="138">
        <f>$AA29*'FZ-CZ'!X30</f>
        <v>0.14837551415010888</v>
      </c>
    </row>
    <row r="30" spans="1:43">
      <c r="Y30" s="1"/>
      <c r="Z30" s="23" t="s">
        <v>284</v>
      </c>
      <c r="AA30" s="48">
        <f t="shared" ref="AA30:AA40" si="4">V4</f>
        <v>0.28059547381693301</v>
      </c>
      <c r="AB30" s="138">
        <f>$AA30*'FZ-CZ'!I31</f>
        <v>0</v>
      </c>
      <c r="AC30" s="138">
        <f>$AA30*'FZ-CZ'!J31</f>
        <v>0</v>
      </c>
      <c r="AD30" s="138">
        <f>$AA30*'FZ-CZ'!K31</f>
        <v>0.1471264838584142</v>
      </c>
      <c r="AE30" s="138">
        <f>$AA30*'FZ-CZ'!L31</f>
        <v>8.5267576507023504E-2</v>
      </c>
      <c r="AF30" s="138">
        <f>$AA30*'FZ-CZ'!M31</f>
        <v>0</v>
      </c>
      <c r="AG30" s="138">
        <f>$AA30*'FZ-CZ'!N31</f>
        <v>0</v>
      </c>
      <c r="AH30" s="138">
        <f>$AA30*'FZ-CZ'!O31</f>
        <v>0</v>
      </c>
      <c r="AI30" s="138">
        <f>$AA30*'FZ-CZ'!P31</f>
        <v>0</v>
      </c>
      <c r="AJ30" s="138">
        <f>$AA30*'FZ-CZ'!Q31</f>
        <v>0</v>
      </c>
      <c r="AK30" s="138">
        <f>$AA30*'FZ-CZ'!R31</f>
        <v>0</v>
      </c>
      <c r="AL30" s="138">
        <f>$AA30*'FZ-CZ'!S31</f>
        <v>0</v>
      </c>
      <c r="AM30" s="138">
        <f>$AA30*'FZ-CZ'!T31</f>
        <v>4.8201413451495298E-2</v>
      </c>
      <c r="AN30" s="138">
        <f>$AA30*'FZ-CZ'!U31</f>
        <v>0</v>
      </c>
      <c r="AO30" s="138">
        <f>$AA30*'FZ-CZ'!V31</f>
        <v>0</v>
      </c>
      <c r="AP30" s="138">
        <f>$AA30*'FZ-CZ'!W31</f>
        <v>0</v>
      </c>
      <c r="AQ30" s="138">
        <f>$AA30*'FZ-CZ'!X31</f>
        <v>0</v>
      </c>
    </row>
    <row r="31" spans="1:43" ht="15.6">
      <c r="Y31" s="54"/>
      <c r="Z31" s="23" t="s">
        <v>285</v>
      </c>
      <c r="AA31" s="48">
        <f t="shared" si="4"/>
        <v>0.10285650531384764</v>
      </c>
      <c r="AB31" s="138">
        <f>$AA31*'FZ-CZ'!I32</f>
        <v>1.3897383477802099E-2</v>
      </c>
      <c r="AC31" s="138">
        <f>$AA31*'FZ-CZ'!J32</f>
        <v>8.2488903395654151E-2</v>
      </c>
      <c r="AD31" s="138">
        <f>$AA31*'FZ-CZ'!K32</f>
        <v>6.4645260356874876E-3</v>
      </c>
      <c r="AE31" s="138">
        <f>$AA31*'FZ-CZ'!L32</f>
        <v>0</v>
      </c>
      <c r="AF31" s="138">
        <f>$AA31*'FZ-CZ'!M32</f>
        <v>0</v>
      </c>
      <c r="AG31" s="138">
        <f>$AA31*'FZ-CZ'!N32</f>
        <v>0</v>
      </c>
      <c r="AH31" s="138">
        <f>$AA31*'FZ-CZ'!O32</f>
        <v>0</v>
      </c>
      <c r="AI31" s="138">
        <f>$AA31*'FZ-CZ'!P32</f>
        <v>0</v>
      </c>
      <c r="AJ31" s="138">
        <f>$AA31*'FZ-CZ'!Q32</f>
        <v>0</v>
      </c>
      <c r="AK31" s="138">
        <f>$AA31*'FZ-CZ'!R32</f>
        <v>0</v>
      </c>
      <c r="AL31" s="138">
        <f>$AA31*'FZ-CZ'!S32</f>
        <v>0</v>
      </c>
      <c r="AM31" s="138">
        <f>$AA31*'FZ-CZ'!T32</f>
        <v>0</v>
      </c>
      <c r="AN31" s="138">
        <f>$AA31*'FZ-CZ'!U32</f>
        <v>0</v>
      </c>
      <c r="AO31" s="138">
        <f>$AA31*'FZ-CZ'!V32</f>
        <v>0</v>
      </c>
      <c r="AP31" s="138">
        <f>$AA31*'FZ-CZ'!W32</f>
        <v>0</v>
      </c>
      <c r="AQ31" s="138">
        <f>$AA31*'FZ-CZ'!X32</f>
        <v>5.6924047038978445E-6</v>
      </c>
    </row>
    <row r="32" spans="1:43" ht="15.6">
      <c r="Y32" s="54"/>
      <c r="Z32" s="23" t="s">
        <v>286</v>
      </c>
      <c r="AA32" s="48">
        <f t="shared" si="4"/>
        <v>0.22764715328470347</v>
      </c>
      <c r="AB32" s="138">
        <f>$AA32*'FZ-CZ'!I33</f>
        <v>0</v>
      </c>
      <c r="AC32" s="138">
        <f>$AA32*'FZ-CZ'!J33</f>
        <v>0</v>
      </c>
      <c r="AD32" s="138">
        <f>$AA32*'FZ-CZ'!K33</f>
        <v>0</v>
      </c>
      <c r="AE32" s="138">
        <f>$AA32*'FZ-CZ'!L33</f>
        <v>0</v>
      </c>
      <c r="AF32" s="138">
        <f>$AA32*'FZ-CZ'!M33</f>
        <v>0</v>
      </c>
      <c r="AG32" s="138">
        <f>$AA32*'FZ-CZ'!N33</f>
        <v>0</v>
      </c>
      <c r="AH32" s="138">
        <f>$AA32*'FZ-CZ'!O33</f>
        <v>0</v>
      </c>
      <c r="AI32" s="138">
        <f>$AA32*'FZ-CZ'!P33</f>
        <v>0</v>
      </c>
      <c r="AJ32" s="138">
        <f>$AA32*'FZ-CZ'!Q33</f>
        <v>0</v>
      </c>
      <c r="AK32" s="138">
        <f>$AA32*'FZ-CZ'!R33</f>
        <v>0</v>
      </c>
      <c r="AL32" s="138">
        <f>$AA32*'FZ-CZ'!S33</f>
        <v>0.1929817858542468</v>
      </c>
      <c r="AM32" s="138">
        <f>$AA32*'FZ-CZ'!T33</f>
        <v>0</v>
      </c>
      <c r="AN32" s="138">
        <f>$AA32*'FZ-CZ'!U33</f>
        <v>0</v>
      </c>
      <c r="AO32" s="138">
        <f>$AA32*'FZ-CZ'!V33</f>
        <v>0</v>
      </c>
      <c r="AP32" s="138">
        <f>$AA32*'FZ-CZ'!W33</f>
        <v>0</v>
      </c>
      <c r="AQ32" s="138">
        <f>$AA32*'FZ-CZ'!X33</f>
        <v>3.4665367430456673E-2</v>
      </c>
    </row>
    <row r="33" spans="19:43">
      <c r="Z33" s="23" t="s">
        <v>287</v>
      </c>
      <c r="AA33" s="48">
        <f t="shared" si="4"/>
        <v>0.22764715328470347</v>
      </c>
      <c r="AB33" s="138">
        <f>$AA33*'FZ-CZ'!I34</f>
        <v>0</v>
      </c>
      <c r="AC33" s="138">
        <f>$AA33*'FZ-CZ'!J34</f>
        <v>0</v>
      </c>
      <c r="AD33" s="138">
        <f>$AA33*'FZ-CZ'!K34</f>
        <v>8.282309084688088E-3</v>
      </c>
      <c r="AE33" s="138">
        <f>$AA33*'FZ-CZ'!L34</f>
        <v>0</v>
      </c>
      <c r="AF33" s="138">
        <f>$AA33*'FZ-CZ'!M34</f>
        <v>0</v>
      </c>
      <c r="AG33" s="138">
        <f>$AA33*'FZ-CZ'!N34</f>
        <v>0</v>
      </c>
      <c r="AH33" s="138">
        <f>$AA33*'FZ-CZ'!O34</f>
        <v>0</v>
      </c>
      <c r="AI33" s="138">
        <f>$AA33*'FZ-CZ'!P34</f>
        <v>0</v>
      </c>
      <c r="AJ33" s="138">
        <f>$AA33*'FZ-CZ'!Q34</f>
        <v>0</v>
      </c>
      <c r="AK33" s="138">
        <f>$AA33*'FZ-CZ'!R34</f>
        <v>0</v>
      </c>
      <c r="AL33" s="138">
        <f>$AA33*'FZ-CZ'!S34</f>
        <v>5.024530818846603E-2</v>
      </c>
      <c r="AM33" s="138">
        <f>$AA33*'FZ-CZ'!T34</f>
        <v>0.16528454812379892</v>
      </c>
      <c r="AN33" s="138">
        <f>$AA33*'FZ-CZ'!U34</f>
        <v>0</v>
      </c>
      <c r="AO33" s="138">
        <f>$AA33*'FZ-CZ'!V34</f>
        <v>0</v>
      </c>
      <c r="AP33" s="138">
        <f>$AA33*'FZ-CZ'!W34</f>
        <v>0</v>
      </c>
      <c r="AQ33" s="138">
        <f>$AA33*'FZ-CZ'!X34</f>
        <v>3.8349878877504402E-3</v>
      </c>
    </row>
    <row r="34" spans="19:43">
      <c r="Z34" s="23" t="s">
        <v>288</v>
      </c>
      <c r="AA34" s="48">
        <f t="shared" si="4"/>
        <v>0.18902425594194774</v>
      </c>
      <c r="AB34" s="138">
        <f>$AA34*'FZ-CZ'!I35</f>
        <v>0</v>
      </c>
      <c r="AC34" s="138">
        <f>$AA34*'FZ-CZ'!J35</f>
        <v>0</v>
      </c>
      <c r="AD34" s="138">
        <f>$AA34*'FZ-CZ'!K35</f>
        <v>0</v>
      </c>
      <c r="AE34" s="138">
        <f>$AA34*'FZ-CZ'!L35</f>
        <v>0</v>
      </c>
      <c r="AF34" s="138">
        <f>$AA34*'FZ-CZ'!M35</f>
        <v>0</v>
      </c>
      <c r="AG34" s="138">
        <f>$AA34*'FZ-CZ'!N35</f>
        <v>0</v>
      </c>
      <c r="AH34" s="138">
        <f>$AA34*'FZ-CZ'!O35</f>
        <v>0</v>
      </c>
      <c r="AI34" s="138">
        <f>$AA34*'FZ-CZ'!P35</f>
        <v>0</v>
      </c>
      <c r="AJ34" s="138">
        <f>$AA34*'FZ-CZ'!Q35</f>
        <v>0</v>
      </c>
      <c r="AK34" s="138">
        <f>$AA34*'FZ-CZ'!R35</f>
        <v>0</v>
      </c>
      <c r="AL34" s="138">
        <f>$AA34*'FZ-CZ'!S35</f>
        <v>0</v>
      </c>
      <c r="AM34" s="138">
        <f>$AA34*'FZ-CZ'!T35</f>
        <v>8.6094467471826367E-3</v>
      </c>
      <c r="AN34" s="138">
        <f>$AA34*'FZ-CZ'!U35</f>
        <v>0.17920601558919158</v>
      </c>
      <c r="AO34" s="138">
        <f>$AA34*'FZ-CZ'!V35</f>
        <v>0</v>
      </c>
      <c r="AP34" s="138">
        <f>$AA34*'FZ-CZ'!W35</f>
        <v>0</v>
      </c>
      <c r="AQ34" s="138">
        <f>$AA34*'FZ-CZ'!X35</f>
        <v>1.2087936055735289E-3</v>
      </c>
    </row>
    <row r="35" spans="19:43">
      <c r="Z35" s="23" t="s">
        <v>289</v>
      </c>
      <c r="AA35" s="48">
        <f t="shared" si="4"/>
        <v>0.23589976942651886</v>
      </c>
      <c r="AB35" s="138">
        <f>$AA35*'FZ-CZ'!I36</f>
        <v>0</v>
      </c>
      <c r="AC35" s="138">
        <f>$AA35*'FZ-CZ'!J36</f>
        <v>0</v>
      </c>
      <c r="AD35" s="138">
        <f>$AA35*'FZ-CZ'!K36</f>
        <v>0.12328653509609025</v>
      </c>
      <c r="AE35" s="138">
        <f>$AA35*'FZ-CZ'!L36</f>
        <v>3.6307001153809533E-2</v>
      </c>
      <c r="AF35" s="138">
        <f>$AA35*'FZ-CZ'!M36</f>
        <v>7.6277887765205721E-2</v>
      </c>
      <c r="AG35" s="138">
        <f>$AA35*'FZ-CZ'!N36</f>
        <v>2.8345411413359256E-5</v>
      </c>
      <c r="AH35" s="138">
        <f>$AA35*'FZ-CZ'!O36</f>
        <v>0</v>
      </c>
      <c r="AI35" s="138">
        <f>$AA35*'FZ-CZ'!P36</f>
        <v>0</v>
      </c>
      <c r="AJ35" s="138">
        <f>$AA35*'FZ-CZ'!Q36</f>
        <v>0</v>
      </c>
      <c r="AK35" s="138">
        <f>$AA35*'FZ-CZ'!R36</f>
        <v>0</v>
      </c>
      <c r="AL35" s="138">
        <f>$AA35*'FZ-CZ'!S36</f>
        <v>0</v>
      </c>
      <c r="AM35" s="138">
        <f>$AA35*'FZ-CZ'!T36</f>
        <v>0</v>
      </c>
      <c r="AN35" s="138">
        <f>$AA35*'FZ-CZ'!U36</f>
        <v>0</v>
      </c>
      <c r="AO35" s="138">
        <f>$AA35*'FZ-CZ'!V36</f>
        <v>0</v>
      </c>
      <c r="AP35" s="138">
        <f>$AA35*'FZ-CZ'!W36</f>
        <v>0</v>
      </c>
      <c r="AQ35" s="138">
        <f>$AA35*'FZ-CZ'!X36</f>
        <v>0</v>
      </c>
    </row>
    <row r="36" spans="19:43">
      <c r="Z36" s="24" t="s">
        <v>290</v>
      </c>
      <c r="AA36" s="48">
        <f t="shared" si="4"/>
        <v>0.62997606968910669</v>
      </c>
      <c r="AB36" s="138">
        <f>$AA36*'FZ-CZ'!I37</f>
        <v>0</v>
      </c>
      <c r="AC36" s="138">
        <f>$AA36*'FZ-CZ'!J37</f>
        <v>0</v>
      </c>
      <c r="AD36" s="138">
        <f>$AA36*'FZ-CZ'!K37</f>
        <v>0</v>
      </c>
      <c r="AE36" s="138">
        <f>$AA36*'FZ-CZ'!L37</f>
        <v>0</v>
      </c>
      <c r="AF36" s="138">
        <f>$AA36*'FZ-CZ'!M37</f>
        <v>0</v>
      </c>
      <c r="AG36" s="138">
        <f>$AA36*'FZ-CZ'!N37</f>
        <v>0.11900059845843673</v>
      </c>
      <c r="AH36" s="138">
        <f>$AA36*'FZ-CZ'!O37</f>
        <v>0</v>
      </c>
      <c r="AI36" s="138">
        <f>$AA36*'FZ-CZ'!P37</f>
        <v>0.27710537034092986</v>
      </c>
      <c r="AJ36" s="138">
        <f>$AA36*'FZ-CZ'!Q37</f>
        <v>0.20342390153825868</v>
      </c>
      <c r="AK36" s="138">
        <f>$AA36*'FZ-CZ'!R37</f>
        <v>0</v>
      </c>
      <c r="AL36" s="138">
        <f>$AA36*'FZ-CZ'!S37</f>
        <v>0</v>
      </c>
      <c r="AM36" s="138">
        <f>$AA36*'FZ-CZ'!T37</f>
        <v>0</v>
      </c>
      <c r="AN36" s="138">
        <f>$AA36*'FZ-CZ'!U37</f>
        <v>0</v>
      </c>
      <c r="AO36" s="138">
        <f>$AA36*'FZ-CZ'!V37</f>
        <v>2.8386432172143709E-2</v>
      </c>
      <c r="AP36" s="138">
        <f>$AA36*'FZ-CZ'!W37</f>
        <v>0</v>
      </c>
      <c r="AQ36" s="138">
        <f>$AA36*'FZ-CZ'!X37</f>
        <v>2.0597671793377019E-3</v>
      </c>
    </row>
    <row r="37" spans="19:43">
      <c r="Z37" s="24" t="s">
        <v>291</v>
      </c>
      <c r="AA37" s="48">
        <f t="shared" si="4"/>
        <v>0.50445401803813705</v>
      </c>
      <c r="AB37" s="138">
        <f>$AA37*'FZ-CZ'!I38</f>
        <v>0</v>
      </c>
      <c r="AC37" s="138">
        <f>$AA37*'FZ-CZ'!J38</f>
        <v>0</v>
      </c>
      <c r="AD37" s="138">
        <f>$AA37*'FZ-CZ'!K38</f>
        <v>0</v>
      </c>
      <c r="AE37" s="138">
        <f>$AA37*'FZ-CZ'!L38</f>
        <v>0</v>
      </c>
      <c r="AF37" s="138">
        <f>$AA37*'FZ-CZ'!M38</f>
        <v>9.2264604647597395E-4</v>
      </c>
      <c r="AG37" s="138">
        <f>$AA37*'FZ-CZ'!N38</f>
        <v>0.30866695148642165</v>
      </c>
      <c r="AH37" s="138">
        <f>$AA37*'FZ-CZ'!O38</f>
        <v>0</v>
      </c>
      <c r="AI37" s="138">
        <f>$AA37*'FZ-CZ'!P38</f>
        <v>0</v>
      </c>
      <c r="AJ37" s="138">
        <f>$AA37*'FZ-CZ'!Q38</f>
        <v>0.18774911598887298</v>
      </c>
      <c r="AK37" s="138">
        <f>$AA37*'FZ-CZ'!R38</f>
        <v>0</v>
      </c>
      <c r="AL37" s="138">
        <f>$AA37*'FZ-CZ'!S38</f>
        <v>0</v>
      </c>
      <c r="AM37" s="138">
        <f>$AA37*'FZ-CZ'!T38</f>
        <v>0</v>
      </c>
      <c r="AN37" s="138">
        <f>$AA37*'FZ-CZ'!U38</f>
        <v>0</v>
      </c>
      <c r="AO37" s="138">
        <f>$AA37*'FZ-CZ'!V38</f>
        <v>0</v>
      </c>
      <c r="AP37" s="138">
        <f>$AA37*'FZ-CZ'!W38</f>
        <v>0</v>
      </c>
      <c r="AQ37" s="138">
        <f>$AA37*'FZ-CZ'!X38</f>
        <v>7.1153045163664759E-3</v>
      </c>
    </row>
    <row r="38" spans="19:43">
      <c r="Z38" s="24" t="s">
        <v>292</v>
      </c>
      <c r="AA38" s="48">
        <f t="shared" si="4"/>
        <v>5.6283748971859983E-2</v>
      </c>
      <c r="AB38" s="138">
        <f>$AA38*'FZ-CZ'!I39</f>
        <v>0</v>
      </c>
      <c r="AC38" s="138">
        <f>$AA38*'FZ-CZ'!J39</f>
        <v>0</v>
      </c>
      <c r="AD38" s="138">
        <f>$AA38*'FZ-CZ'!K39</f>
        <v>0</v>
      </c>
      <c r="AE38" s="138">
        <f>$AA38*'FZ-CZ'!L39</f>
        <v>0</v>
      </c>
      <c r="AF38" s="138">
        <f>$AA38*'FZ-CZ'!M39</f>
        <v>0</v>
      </c>
      <c r="AG38" s="138">
        <f>$AA38*'FZ-CZ'!N39</f>
        <v>0</v>
      </c>
      <c r="AH38" s="138">
        <f>$AA38*'FZ-CZ'!O39</f>
        <v>0</v>
      </c>
      <c r="AI38" s="138">
        <f>$AA38*'FZ-CZ'!P39</f>
        <v>0</v>
      </c>
      <c r="AJ38" s="138">
        <f>$AA38*'FZ-CZ'!Q39</f>
        <v>0</v>
      </c>
      <c r="AK38" s="138">
        <f>$AA38*'FZ-CZ'!R39</f>
        <v>0</v>
      </c>
      <c r="AL38" s="138">
        <f>$AA38*'FZ-CZ'!S39</f>
        <v>0</v>
      </c>
      <c r="AM38" s="138">
        <f>$AA38*'FZ-CZ'!T39</f>
        <v>0</v>
      </c>
      <c r="AN38" s="138">
        <f>$AA38*'FZ-CZ'!U39</f>
        <v>4.4175431476829674E-2</v>
      </c>
      <c r="AO38" s="138">
        <f>$AA38*'FZ-CZ'!V39</f>
        <v>6.8113991886914367E-3</v>
      </c>
      <c r="AP38" s="138">
        <f>$AA38*'FZ-CZ'!W39</f>
        <v>0</v>
      </c>
      <c r="AQ38" s="138">
        <f>$AA38*'FZ-CZ'!X39</f>
        <v>5.2969183063388721E-3</v>
      </c>
    </row>
    <row r="39" spans="19:43">
      <c r="S39" s="19"/>
      <c r="T39" s="19"/>
      <c r="Z39" s="24" t="s">
        <v>293</v>
      </c>
      <c r="AA39" s="48">
        <f t="shared" si="4"/>
        <v>0.41941527860681393</v>
      </c>
      <c r="AB39" s="138">
        <f>$AA39*'FZ-CZ'!I40</f>
        <v>0</v>
      </c>
      <c r="AC39" s="138">
        <f>$AA39*'FZ-CZ'!J40</f>
        <v>0</v>
      </c>
      <c r="AD39" s="138">
        <f>$AA39*'FZ-CZ'!K40</f>
        <v>0</v>
      </c>
      <c r="AE39" s="138">
        <f>$AA39*'FZ-CZ'!L40</f>
        <v>0</v>
      </c>
      <c r="AF39" s="138">
        <f>$AA39*'FZ-CZ'!M40</f>
        <v>0</v>
      </c>
      <c r="AG39" s="138">
        <f>$AA39*'FZ-CZ'!N40</f>
        <v>0</v>
      </c>
      <c r="AH39" s="138">
        <f>$AA39*'FZ-CZ'!O40</f>
        <v>0</v>
      </c>
      <c r="AI39" s="138">
        <f>$AA39*'FZ-CZ'!P40</f>
        <v>0</v>
      </c>
      <c r="AJ39" s="138">
        <f>$AA39*'FZ-CZ'!Q40</f>
        <v>0</v>
      </c>
      <c r="AK39" s="138">
        <f>$AA39*'FZ-CZ'!R40</f>
        <v>0.29856352906313394</v>
      </c>
      <c r="AL39" s="138">
        <f>$AA39*'FZ-CZ'!S40</f>
        <v>0</v>
      </c>
      <c r="AM39" s="138">
        <f>$AA39*'FZ-CZ'!T40</f>
        <v>0</v>
      </c>
      <c r="AN39" s="138">
        <f>$AA39*'FZ-CZ'!U40</f>
        <v>0</v>
      </c>
      <c r="AO39" s="138">
        <f>$AA39*'FZ-CZ'!V40</f>
        <v>0.10136952881192125</v>
      </c>
      <c r="AP39" s="138">
        <f>$AA39*'FZ-CZ'!W40</f>
        <v>4.014493498072627E-4</v>
      </c>
      <c r="AQ39" s="138">
        <f>$AA39*'FZ-CZ'!X40</f>
        <v>1.9080771381951491E-2</v>
      </c>
    </row>
    <row r="40" spans="19:43">
      <c r="Z40" s="24" t="s">
        <v>294</v>
      </c>
      <c r="AA40" s="48">
        <f t="shared" si="4"/>
        <v>0.52492102906876836</v>
      </c>
      <c r="AB40" s="138">
        <f>$AA40*'FZ-CZ'!I41</f>
        <v>0</v>
      </c>
      <c r="AC40" s="138">
        <f>$AA40*'FZ-CZ'!J41</f>
        <v>0</v>
      </c>
      <c r="AD40" s="138">
        <f>$AA40*'FZ-CZ'!K41</f>
        <v>0</v>
      </c>
      <c r="AE40" s="138">
        <f>$AA40*'FZ-CZ'!L41</f>
        <v>0</v>
      </c>
      <c r="AF40" s="138">
        <f>$AA40*'FZ-CZ'!M41</f>
        <v>0</v>
      </c>
      <c r="AG40" s="138">
        <f>$AA40*'FZ-CZ'!N41</f>
        <v>0</v>
      </c>
      <c r="AH40" s="138">
        <f>$AA40*'FZ-CZ'!O41</f>
        <v>0</v>
      </c>
      <c r="AI40" s="138">
        <f>$AA40*'FZ-CZ'!P41</f>
        <v>0</v>
      </c>
      <c r="AJ40" s="138">
        <f>$AA40*'FZ-CZ'!Q41</f>
        <v>0</v>
      </c>
      <c r="AK40" s="138">
        <f>$AA40*'FZ-CZ'!R41</f>
        <v>0.45200644745805357</v>
      </c>
      <c r="AL40" s="138">
        <f>$AA40*'FZ-CZ'!S41</f>
        <v>0</v>
      </c>
      <c r="AM40" s="138">
        <f>$AA40*'FZ-CZ'!T41</f>
        <v>0</v>
      </c>
      <c r="AN40" s="138">
        <f>$AA40*'FZ-CZ'!U41</f>
        <v>0</v>
      </c>
      <c r="AO40" s="138">
        <f>$AA40*'FZ-CZ'!V41</f>
        <v>1.3280425327703146E-6</v>
      </c>
      <c r="AP40" s="138">
        <f>$AA40*'FZ-CZ'!W41</f>
        <v>6.999740338323153E-2</v>
      </c>
      <c r="AQ40" s="138">
        <f>$AA40*'FZ-CZ'!X41</f>
        <v>2.9158501849505026E-3</v>
      </c>
    </row>
    <row r="41" spans="19:43">
      <c r="Z41" s="24" t="s">
        <v>214</v>
      </c>
      <c r="AA41" s="48">
        <f>(V15+V16)/2</f>
        <v>0.44582277391953873</v>
      </c>
      <c r="AB41" s="138">
        <f>$AA41*'FZ-CZ'!I42</f>
        <v>0</v>
      </c>
      <c r="AC41" s="138">
        <f>$AA41*'FZ-CZ'!J42</f>
        <v>0</v>
      </c>
      <c r="AD41" s="138">
        <f>$AA41*'FZ-CZ'!K42</f>
        <v>0</v>
      </c>
      <c r="AE41" s="138">
        <f>$AA41*'FZ-CZ'!L42</f>
        <v>0</v>
      </c>
      <c r="AF41" s="138">
        <f>$AA41*'FZ-CZ'!M42</f>
        <v>0</v>
      </c>
      <c r="AG41" s="138">
        <f>$AA41*'FZ-CZ'!N42</f>
        <v>2.9404325141778535E-2</v>
      </c>
      <c r="AH41" s="138">
        <f>$AA41*'FZ-CZ'!O42</f>
        <v>0.28001123282589496</v>
      </c>
      <c r="AI41" s="138">
        <f>$AA41*'FZ-CZ'!P42</f>
        <v>8.6403606491201445E-3</v>
      </c>
      <c r="AJ41" s="138">
        <f>$AA41*'FZ-CZ'!Q42</f>
        <v>0</v>
      </c>
      <c r="AK41" s="138">
        <f>$AA41*'FZ-CZ'!R42</f>
        <v>0.12429576172820442</v>
      </c>
      <c r="AL41" s="138">
        <f>$AA41*'FZ-CZ'!S42</f>
        <v>0</v>
      </c>
      <c r="AM41" s="138">
        <f>$AA41*'FZ-CZ'!T42</f>
        <v>0</v>
      </c>
      <c r="AN41" s="138">
        <f>$AA41*'FZ-CZ'!U42</f>
        <v>0</v>
      </c>
      <c r="AO41" s="138">
        <f>$AA41*'FZ-CZ'!V42</f>
        <v>2.9524896912953226E-3</v>
      </c>
      <c r="AP41" s="138">
        <f>$AA41*'FZ-CZ'!W42</f>
        <v>5.1860388324536982E-4</v>
      </c>
      <c r="AQ41" s="138">
        <f>$AA41*'FZ-CZ'!X42</f>
        <v>0</v>
      </c>
    </row>
    <row r="42" spans="19:43">
      <c r="Z42" s="24" t="s">
        <v>297</v>
      </c>
      <c r="AA42" s="48">
        <f>V17</f>
        <v>0.33477968764715826</v>
      </c>
      <c r="AB42" s="138">
        <f>$AA42*'FZ-CZ'!I43</f>
        <v>0</v>
      </c>
      <c r="AC42" s="138">
        <f>$AA42*'FZ-CZ'!J43</f>
        <v>0</v>
      </c>
      <c r="AD42" s="138">
        <f>$AA42*'FZ-CZ'!K43</f>
        <v>0</v>
      </c>
      <c r="AE42" s="138">
        <f>$AA42*'FZ-CZ'!L43</f>
        <v>0</v>
      </c>
      <c r="AF42" s="138">
        <f>$AA42*'FZ-CZ'!M43</f>
        <v>0</v>
      </c>
      <c r="AG42" s="138">
        <f>$AA42*'FZ-CZ'!N43</f>
        <v>0</v>
      </c>
      <c r="AH42" s="138">
        <f>$AA42*'FZ-CZ'!O43</f>
        <v>0</v>
      </c>
      <c r="AI42" s="138">
        <f>$AA42*'FZ-CZ'!P43</f>
        <v>0</v>
      </c>
      <c r="AJ42" s="138">
        <f>$AA42*'FZ-CZ'!Q43</f>
        <v>0</v>
      </c>
      <c r="AK42" s="138">
        <f>$AA42*'FZ-CZ'!R43</f>
        <v>0</v>
      </c>
      <c r="AL42" s="138">
        <f>$AA42*'FZ-CZ'!S43</f>
        <v>1.409095348025445E-3</v>
      </c>
      <c r="AM42" s="138">
        <f>$AA42*'FZ-CZ'!T43</f>
        <v>0.33337059229913285</v>
      </c>
      <c r="AN42" s="138">
        <f>$AA42*'FZ-CZ'!U43</f>
        <v>0</v>
      </c>
      <c r="AO42" s="138">
        <f>$AA42*'FZ-CZ'!V43</f>
        <v>0</v>
      </c>
      <c r="AP42" s="138">
        <f>$AA42*'FZ-CZ'!W43</f>
        <v>0</v>
      </c>
      <c r="AQ42" s="138">
        <f>$AA42*'FZ-CZ'!X43</f>
        <v>0</v>
      </c>
    </row>
    <row r="43" spans="19:43">
      <c r="Z43" s="24" t="s">
        <v>315</v>
      </c>
      <c r="AA43" s="48">
        <f>V8</f>
        <v>0.18902425594194774</v>
      </c>
      <c r="AB43" s="138">
        <f>$AA43*'FZ-CZ'!I44</f>
        <v>0</v>
      </c>
      <c r="AC43" s="138">
        <f>$AA43*'FZ-CZ'!J44</f>
        <v>0</v>
      </c>
      <c r="AD43" s="138">
        <f>$AA43*'FZ-CZ'!K44</f>
        <v>0</v>
      </c>
      <c r="AE43" s="138">
        <f>$AA43*'FZ-CZ'!L44</f>
        <v>0</v>
      </c>
      <c r="AF43" s="138">
        <f>$AA43*'FZ-CZ'!M44</f>
        <v>0</v>
      </c>
      <c r="AG43" s="138">
        <f>$AA43*'FZ-CZ'!N44</f>
        <v>0</v>
      </c>
      <c r="AH43" s="138">
        <f>$AA43*'FZ-CZ'!O44</f>
        <v>0</v>
      </c>
      <c r="AI43" s="138">
        <f>$AA43*'FZ-CZ'!P44</f>
        <v>0</v>
      </c>
      <c r="AJ43" s="138">
        <f>$AA43*'FZ-CZ'!Q44</f>
        <v>0</v>
      </c>
      <c r="AK43" s="138">
        <f>$AA43*'FZ-CZ'!R44</f>
        <v>0</v>
      </c>
      <c r="AL43" s="138">
        <f>$AA43*'FZ-CZ'!S44</f>
        <v>0</v>
      </c>
      <c r="AM43" s="138">
        <f>$AA43*'FZ-CZ'!T44</f>
        <v>0.18902425594194774</v>
      </c>
      <c r="AN43" s="138">
        <f>$AA43*'FZ-CZ'!U44</f>
        <v>0</v>
      </c>
      <c r="AO43" s="138">
        <f>$AA43*'FZ-CZ'!V44</f>
        <v>0</v>
      </c>
      <c r="AP43" s="138">
        <f>$AA43*'FZ-CZ'!W44</f>
        <v>0</v>
      </c>
      <c r="AQ43" s="138">
        <f>$AA43*'FZ-CZ'!X44</f>
        <v>0</v>
      </c>
    </row>
    <row r="44" spans="19:43">
      <c r="Z44" s="24" t="s">
        <v>316</v>
      </c>
      <c r="AA44" s="48">
        <f>V8</f>
        <v>0.18902425594194774</v>
      </c>
      <c r="AB44" s="138">
        <f>$AA44*'FZ-CZ'!I45</f>
        <v>0</v>
      </c>
      <c r="AC44" s="138">
        <f>$AA44*'FZ-CZ'!J45</f>
        <v>3.6650923374473727E-4</v>
      </c>
      <c r="AD44" s="138">
        <f>$AA44*'FZ-CZ'!K45</f>
        <v>0</v>
      </c>
      <c r="AE44" s="138">
        <f>$AA44*'FZ-CZ'!L45</f>
        <v>0</v>
      </c>
      <c r="AF44" s="138">
        <f>$AA44*'FZ-CZ'!M45</f>
        <v>0</v>
      </c>
      <c r="AG44" s="138">
        <f>$AA44*'FZ-CZ'!N45</f>
        <v>0</v>
      </c>
      <c r="AH44" s="138">
        <f>$AA44*'FZ-CZ'!O45</f>
        <v>0</v>
      </c>
      <c r="AI44" s="138">
        <f>$AA44*'FZ-CZ'!P45</f>
        <v>0</v>
      </c>
      <c r="AJ44" s="138">
        <f>$AA44*'FZ-CZ'!Q45</f>
        <v>0</v>
      </c>
      <c r="AK44" s="138">
        <f>$AA44*'FZ-CZ'!R45</f>
        <v>0</v>
      </c>
      <c r="AL44" s="138">
        <f>$AA44*'FZ-CZ'!S45</f>
        <v>8.4201846727779417E-2</v>
      </c>
      <c r="AM44" s="138">
        <f>$AA44*'FZ-CZ'!T45</f>
        <v>9.9526466041032893E-2</v>
      </c>
      <c r="AN44" s="138">
        <f>$AA44*'FZ-CZ'!U45</f>
        <v>0</v>
      </c>
      <c r="AO44" s="138">
        <f>$AA44*'FZ-CZ'!V45</f>
        <v>0</v>
      </c>
      <c r="AP44" s="138">
        <f>$AA44*'FZ-CZ'!W45</f>
        <v>0</v>
      </c>
      <c r="AQ44" s="138">
        <f>$AA44*'FZ-CZ'!X45</f>
        <v>4.9294339393906959E-3</v>
      </c>
    </row>
    <row r="45" spans="19:43">
      <c r="Z45" s="24" t="s">
        <v>298</v>
      </c>
      <c r="AA45" s="48">
        <f>V18</f>
        <v>0.35498215678068606</v>
      </c>
      <c r="AB45" s="138">
        <f>$AA45*'FZ-CZ'!I46</f>
        <v>0</v>
      </c>
      <c r="AC45" s="138">
        <f>$AA45*'FZ-CZ'!J46</f>
        <v>0</v>
      </c>
      <c r="AD45" s="138">
        <f>$AA45*'FZ-CZ'!K46</f>
        <v>0</v>
      </c>
      <c r="AE45" s="138">
        <f>$AA45*'FZ-CZ'!L46</f>
        <v>0</v>
      </c>
      <c r="AF45" s="138">
        <f>$AA45*'FZ-CZ'!M46</f>
        <v>0</v>
      </c>
      <c r="AG45" s="138">
        <f>$AA45*'FZ-CZ'!N46</f>
        <v>6.0984165370627751E-2</v>
      </c>
      <c r="AH45" s="138">
        <f>$AA45*'FZ-CZ'!O46</f>
        <v>0</v>
      </c>
      <c r="AI45" s="138">
        <f>$AA45*'FZ-CZ'!P46</f>
        <v>9.9045298601764351E-2</v>
      </c>
      <c r="AJ45" s="138">
        <f>$AA45*'FZ-CZ'!Q46</f>
        <v>0.19495269280829397</v>
      </c>
      <c r="AK45" s="138">
        <f>$AA45*'FZ-CZ'!R46</f>
        <v>0</v>
      </c>
      <c r="AL45" s="138">
        <f>$AA45*'FZ-CZ'!S46</f>
        <v>0</v>
      </c>
      <c r="AM45" s="138">
        <f>$AA45*'FZ-CZ'!T46</f>
        <v>0</v>
      </c>
      <c r="AN45" s="138">
        <f>$AA45*'FZ-CZ'!U46</f>
        <v>0</v>
      </c>
      <c r="AO45" s="138">
        <f>$AA45*'FZ-CZ'!V46</f>
        <v>0</v>
      </c>
      <c r="AP45" s="138">
        <f>$AA45*'FZ-CZ'!W46</f>
        <v>0</v>
      </c>
      <c r="AQ45" s="138">
        <f>$AA45*'FZ-CZ'!X46</f>
        <v>0</v>
      </c>
    </row>
    <row r="46" spans="19:43">
      <c r="Z46" s="24" t="s">
        <v>299</v>
      </c>
      <c r="AA46" s="48">
        <f>V19</f>
        <v>0.31892297110776657</v>
      </c>
      <c r="AB46" s="138">
        <f>$AA46*'FZ-CZ'!I47</f>
        <v>0</v>
      </c>
      <c r="AC46" s="138">
        <f>$AA46*'FZ-CZ'!J47</f>
        <v>0</v>
      </c>
      <c r="AD46" s="138">
        <f>$AA46*'FZ-CZ'!K47</f>
        <v>0</v>
      </c>
      <c r="AE46" s="138">
        <f>$AA46*'FZ-CZ'!L47</f>
        <v>0</v>
      </c>
      <c r="AF46" s="138">
        <f>$AA46*'FZ-CZ'!M47</f>
        <v>0</v>
      </c>
      <c r="AG46" s="138">
        <f>$AA46*'FZ-CZ'!N47</f>
        <v>0</v>
      </c>
      <c r="AH46" s="138">
        <f>$AA46*'FZ-CZ'!O47</f>
        <v>0</v>
      </c>
      <c r="AI46" s="138">
        <f>$AA46*'FZ-CZ'!P47</f>
        <v>0</v>
      </c>
      <c r="AJ46" s="138">
        <f>$AA46*'FZ-CZ'!Q47</f>
        <v>0.316863016179248</v>
      </c>
      <c r="AK46" s="138">
        <f>$AA46*'FZ-CZ'!R47</f>
        <v>0</v>
      </c>
      <c r="AL46" s="138">
        <f>$AA46*'FZ-CZ'!S47</f>
        <v>0</v>
      </c>
      <c r="AM46" s="138">
        <f>$AA46*'FZ-CZ'!T47</f>
        <v>0</v>
      </c>
      <c r="AN46" s="138">
        <f>$AA46*'FZ-CZ'!U47</f>
        <v>0</v>
      </c>
      <c r="AO46" s="138">
        <f>$AA46*'FZ-CZ'!V47</f>
        <v>0</v>
      </c>
      <c r="AP46" s="138">
        <f>$AA46*'FZ-CZ'!W47</f>
        <v>0</v>
      </c>
      <c r="AQ46" s="138">
        <f>$AA46*'FZ-CZ'!X47</f>
        <v>2.0599549285185838E-3</v>
      </c>
    </row>
    <row r="47" spans="19:43">
      <c r="Z47" s="24" t="s">
        <v>317</v>
      </c>
      <c r="AA47" s="48">
        <f>V19</f>
        <v>0.31892297110776657</v>
      </c>
      <c r="AB47" s="138">
        <f>$AA47*'FZ-CZ'!I48</f>
        <v>0</v>
      </c>
      <c r="AC47" s="138">
        <f>$AA47*'FZ-CZ'!J48</f>
        <v>0</v>
      </c>
      <c r="AD47" s="138">
        <f>$AA47*'FZ-CZ'!K48</f>
        <v>0</v>
      </c>
      <c r="AE47" s="138">
        <f>$AA47*'FZ-CZ'!L48</f>
        <v>0</v>
      </c>
      <c r="AF47" s="138">
        <f>$AA47*'FZ-CZ'!M48</f>
        <v>0</v>
      </c>
      <c r="AG47" s="138">
        <f>$AA47*'FZ-CZ'!N48</f>
        <v>0</v>
      </c>
      <c r="AH47" s="138">
        <f>$AA47*'FZ-CZ'!O48</f>
        <v>0</v>
      </c>
      <c r="AI47" s="138">
        <f>$AA47*'FZ-CZ'!P48</f>
        <v>0</v>
      </c>
      <c r="AJ47" s="138">
        <f>$AA47*'FZ-CZ'!Q48</f>
        <v>0.31892297110776657</v>
      </c>
      <c r="AK47" s="138">
        <f>$AA47*'FZ-CZ'!R48</f>
        <v>0</v>
      </c>
      <c r="AL47" s="138">
        <f>$AA47*'FZ-CZ'!S48</f>
        <v>0</v>
      </c>
      <c r="AM47" s="138">
        <f>$AA47*'FZ-CZ'!T48</f>
        <v>0</v>
      </c>
      <c r="AN47" s="138">
        <f>$AA47*'FZ-CZ'!U48</f>
        <v>0</v>
      </c>
      <c r="AO47" s="138">
        <f>$AA47*'FZ-CZ'!V48</f>
        <v>0</v>
      </c>
      <c r="AP47" s="138">
        <f>$AA47*'FZ-CZ'!W48</f>
        <v>0</v>
      </c>
      <c r="AQ47" s="138">
        <f>$AA47*'FZ-CZ'!X48</f>
        <v>0</v>
      </c>
    </row>
    <row r="48" spans="19:43">
      <c r="Z48" s="24" t="s">
        <v>318</v>
      </c>
      <c r="AA48" s="48">
        <f>V14</f>
        <v>0.52492102906876836</v>
      </c>
      <c r="AB48" s="138">
        <f>$AA48*'FZ-CZ'!I49</f>
        <v>0</v>
      </c>
      <c r="AC48" s="138">
        <f>$AA48*'FZ-CZ'!J49</f>
        <v>0</v>
      </c>
      <c r="AD48" s="138">
        <f>$AA48*'FZ-CZ'!K49</f>
        <v>0</v>
      </c>
      <c r="AE48" s="138">
        <f>$AA48*'FZ-CZ'!L49</f>
        <v>0</v>
      </c>
      <c r="AF48" s="138">
        <f>$AA48*'FZ-CZ'!M49</f>
        <v>0</v>
      </c>
      <c r="AG48" s="138">
        <f>$AA48*'FZ-CZ'!N49</f>
        <v>0</v>
      </c>
      <c r="AH48" s="138">
        <f>$AA48*'FZ-CZ'!O49</f>
        <v>0</v>
      </c>
      <c r="AI48" s="138">
        <f>$AA48*'FZ-CZ'!P49</f>
        <v>0</v>
      </c>
      <c r="AJ48" s="138">
        <f>$AA48*'FZ-CZ'!Q49</f>
        <v>0</v>
      </c>
      <c r="AK48" s="138">
        <f>$AA48*'FZ-CZ'!R49</f>
        <v>0</v>
      </c>
      <c r="AL48" s="138">
        <f>$AA48*'FZ-CZ'!S49</f>
        <v>0</v>
      </c>
      <c r="AM48" s="138">
        <f>$AA48*'FZ-CZ'!T49</f>
        <v>0</v>
      </c>
      <c r="AN48" s="138">
        <f>$AA48*'FZ-CZ'!U49</f>
        <v>0</v>
      </c>
      <c r="AO48" s="138">
        <f>$AA48*'FZ-CZ'!V49</f>
        <v>1.2713652866983648E-4</v>
      </c>
      <c r="AP48" s="138">
        <f>$AA48*'FZ-CZ'!W49</f>
        <v>0.52479389254009856</v>
      </c>
      <c r="AQ48" s="138">
        <f>$AA48*'FZ-CZ'!X49</f>
        <v>0</v>
      </c>
    </row>
    <row r="49" spans="26:43">
      <c r="Z49" s="24" t="s">
        <v>319</v>
      </c>
      <c r="AA49" s="48">
        <f>V13</f>
        <v>0.41941527860681393</v>
      </c>
      <c r="AB49" s="138">
        <f>$AA49*'FZ-CZ'!I50</f>
        <v>0</v>
      </c>
      <c r="AC49" s="138">
        <f>$AA49*'FZ-CZ'!J50</f>
        <v>0</v>
      </c>
      <c r="AD49" s="138">
        <f>$AA49*'FZ-CZ'!K50</f>
        <v>0</v>
      </c>
      <c r="AE49" s="138">
        <f>$AA49*'FZ-CZ'!L50</f>
        <v>0</v>
      </c>
      <c r="AF49" s="138">
        <f>$AA49*'FZ-CZ'!M50</f>
        <v>0</v>
      </c>
      <c r="AG49" s="138">
        <f>$AA49*'FZ-CZ'!N50</f>
        <v>0</v>
      </c>
      <c r="AH49" s="138">
        <f>$AA49*'FZ-CZ'!O50</f>
        <v>0</v>
      </c>
      <c r="AI49" s="138">
        <f>$AA49*'FZ-CZ'!P50</f>
        <v>0</v>
      </c>
      <c r="AJ49" s="138">
        <f>$AA49*'FZ-CZ'!Q50</f>
        <v>0</v>
      </c>
      <c r="AK49" s="138">
        <f>$AA49*'FZ-CZ'!R50</f>
        <v>0</v>
      </c>
      <c r="AL49" s="138">
        <f>$AA49*'FZ-CZ'!S50</f>
        <v>0</v>
      </c>
      <c r="AM49" s="138">
        <f>$AA49*'FZ-CZ'!T50</f>
        <v>0</v>
      </c>
      <c r="AN49" s="138">
        <f>$AA49*'FZ-CZ'!U50</f>
        <v>0</v>
      </c>
      <c r="AO49" s="138">
        <f>$AA49*'FZ-CZ'!V50</f>
        <v>0</v>
      </c>
      <c r="AP49" s="138">
        <f>$AA49*'FZ-CZ'!W50</f>
        <v>0</v>
      </c>
      <c r="AQ49" s="138">
        <f>$AA49*'FZ-CZ'!X50</f>
        <v>0.41941527860681393</v>
      </c>
    </row>
    <row r="50" spans="26:43">
      <c r="Z50" s="24" t="s">
        <v>320</v>
      </c>
      <c r="AB50" s="138">
        <f t="shared" ref="AB50" si="5">SUM(AB29:AB49)</f>
        <v>4.7730848176387758E-2</v>
      </c>
      <c r="AC50" s="138">
        <f t="shared" ref="AC50" si="6">SUM(AC29:AC49)</f>
        <v>8.2855412629398884E-2</v>
      </c>
      <c r="AD50" s="138">
        <f t="shared" ref="AD50" si="7">SUM(AD29:AD49)</f>
        <v>0.28515985407487998</v>
      </c>
      <c r="AE50" s="138">
        <f t="shared" ref="AE50" si="8">SUM(AE29:AE49)</f>
        <v>0.12157457766083304</v>
      </c>
      <c r="AF50" s="138">
        <f t="shared" ref="AF50" si="9">SUM(AF29:AF49)</f>
        <v>7.7200533811681696E-2</v>
      </c>
      <c r="AG50" s="138">
        <f t="shared" ref="AG50" si="10">SUM(AG29:AG49)</f>
        <v>0.518084385868678</v>
      </c>
      <c r="AH50" s="138">
        <f t="shared" ref="AH50" si="11">SUM(AH29:AH49)</f>
        <v>0.28001123282589496</v>
      </c>
      <c r="AI50" s="138">
        <f t="shared" ref="AI50" si="12">SUM(AI29:AI49)</f>
        <v>0.38479102959181438</v>
      </c>
      <c r="AJ50" s="138">
        <f t="shared" ref="AJ50" si="13">SUM(AJ29:AJ49)</f>
        <v>1.2219116976224402</v>
      </c>
      <c r="AK50" s="138">
        <f t="shared" ref="AK50" si="14">SUM(AK29:AK49)</f>
        <v>0.87486573824939196</v>
      </c>
      <c r="AL50" s="138">
        <f t="shared" ref="AL50" si="15">SUM(AL29:AL49)</f>
        <v>0.32963550328514502</v>
      </c>
      <c r="AM50" s="138">
        <f t="shared" ref="AM50" si="16">SUM(AM29:AM49)</f>
        <v>0.84401672260459026</v>
      </c>
      <c r="AN50" s="138">
        <f t="shared" ref="AN50" si="17">SUM(AN29:AN49)</f>
        <v>0.22338144706602125</v>
      </c>
      <c r="AO50" s="138">
        <f t="shared" ref="AO50" si="18">SUM(AO29:AO49)</f>
        <v>0.13965076818038241</v>
      </c>
      <c r="AP50" s="138">
        <f t="shared" ref="AP50" si="19">SUM(AP29:AP49)</f>
        <v>0.60172670533788053</v>
      </c>
      <c r="AQ50" s="138">
        <f t="shared" ref="AQ50" si="20">SUM(AQ29:AQ49)</f>
        <v>0.65096363452226169</v>
      </c>
    </row>
    <row r="51" spans="26:43">
      <c r="Z51" s="49" t="s">
        <v>321</v>
      </c>
      <c r="AB51" s="138">
        <f>AB50/(AB24+AB50+AB77)</f>
        <v>0.16953287025664909</v>
      </c>
      <c r="AC51" s="138">
        <f t="shared" ref="AC51:AQ51" si="21">AC50/(AC24+AC50+AC77)</f>
        <v>0.11952452214019187</v>
      </c>
      <c r="AD51" s="138">
        <f t="shared" si="21"/>
        <v>0.27164112770723664</v>
      </c>
      <c r="AE51" s="138">
        <f t="shared" si="21"/>
        <v>0.28943550224992476</v>
      </c>
      <c r="AF51" s="138">
        <f t="shared" si="21"/>
        <v>0.25624227721470549</v>
      </c>
      <c r="AG51" s="138">
        <f t="shared" si="21"/>
        <v>0.55379956738529079</v>
      </c>
      <c r="AH51" s="138">
        <f t="shared" si="21"/>
        <v>0.50121672124725547</v>
      </c>
      <c r="AI51" s="138">
        <f t="shared" si="21"/>
        <v>0.59973366278841578</v>
      </c>
      <c r="AJ51" s="138">
        <f t="shared" si="21"/>
        <v>0.42660407455144062</v>
      </c>
      <c r="AK51" s="138">
        <f t="shared" si="21"/>
        <v>0.50218471834066858</v>
      </c>
      <c r="AL51" s="138">
        <f t="shared" si="21"/>
        <v>0.23932331899947071</v>
      </c>
      <c r="AM51" s="138">
        <f t="shared" si="21"/>
        <v>0.27025179109473668</v>
      </c>
      <c r="AN51" s="138">
        <f t="shared" si="21"/>
        <v>0.13821722459724894</v>
      </c>
      <c r="AO51" s="138">
        <f t="shared" si="21"/>
        <v>0.36370721434457981</v>
      </c>
      <c r="AP51" s="138">
        <f t="shared" si="21"/>
        <v>0.52657563173633404</v>
      </c>
      <c r="AQ51" s="138">
        <f t="shared" si="21"/>
        <v>0.32942604912516604</v>
      </c>
    </row>
    <row r="52" spans="26:43">
      <c r="Z52" s="24"/>
    </row>
    <row r="55" spans="26:43" ht="28.8">
      <c r="Z55" s="46"/>
      <c r="AA55" s="5" t="str">
        <f>X2</f>
        <v>Saturation
(Other Fuels)</v>
      </c>
      <c r="AB55" s="30">
        <v>1</v>
      </c>
      <c r="AC55" s="34">
        <v>2</v>
      </c>
      <c r="AD55" s="34">
        <v>3</v>
      </c>
      <c r="AE55" s="34">
        <v>4</v>
      </c>
      <c r="AF55" s="34">
        <v>5</v>
      </c>
      <c r="AG55" s="34">
        <v>6</v>
      </c>
      <c r="AH55" s="34">
        <v>7</v>
      </c>
      <c r="AI55" s="34">
        <v>8</v>
      </c>
      <c r="AJ55" s="34">
        <v>9</v>
      </c>
      <c r="AK55" s="34">
        <v>10</v>
      </c>
      <c r="AL55" s="34">
        <v>11</v>
      </c>
      <c r="AM55" s="34">
        <v>12</v>
      </c>
      <c r="AN55" s="34">
        <v>13</v>
      </c>
      <c r="AO55" s="34">
        <v>14</v>
      </c>
      <c r="AP55" s="34">
        <v>15</v>
      </c>
      <c r="AQ55" s="38">
        <v>16</v>
      </c>
    </row>
    <row r="56" spans="26:43">
      <c r="Z56" t="s">
        <v>314</v>
      </c>
      <c r="AA56" s="45">
        <f>AA71</f>
        <v>5.4442424021695609E-3</v>
      </c>
      <c r="AB56" s="65">
        <f>$AA56*'FZ-CZ'!I30</f>
        <v>9.7446532566125771E-4</v>
      </c>
      <c r="AC56" s="65">
        <f>$AA56*'FZ-CZ'!J30</f>
        <v>0</v>
      </c>
      <c r="AD56" s="65">
        <f>$AA56*'FZ-CZ'!K30</f>
        <v>0</v>
      </c>
      <c r="AE56" s="65">
        <f>$AA56*'FZ-CZ'!L30</f>
        <v>0</v>
      </c>
      <c r="AF56" s="65">
        <f>$AA56*'FZ-CZ'!M30</f>
        <v>0</v>
      </c>
      <c r="AG56" s="65">
        <f>$AA56*'FZ-CZ'!N30</f>
        <v>0</v>
      </c>
      <c r="AH56" s="65">
        <f>$AA56*'FZ-CZ'!O30</f>
        <v>0</v>
      </c>
      <c r="AI56" s="65">
        <f>$AA56*'FZ-CZ'!P30</f>
        <v>0</v>
      </c>
      <c r="AJ56" s="65">
        <f>$AA56*'FZ-CZ'!Q30</f>
        <v>0</v>
      </c>
      <c r="AK56" s="65">
        <f>$AA56*'FZ-CZ'!R30</f>
        <v>0</v>
      </c>
      <c r="AL56" s="65">
        <f>$AA56*'FZ-CZ'!S30</f>
        <v>2.29685049744286E-5</v>
      </c>
      <c r="AM56" s="65">
        <f>$AA56*'FZ-CZ'!T30</f>
        <v>0</v>
      </c>
      <c r="AN56" s="65">
        <f>$AA56*'FZ-CZ'!U30</f>
        <v>0</v>
      </c>
      <c r="AO56" s="65">
        <f>$AA56*'FZ-CZ'!V30</f>
        <v>7.0672322998241844E-8</v>
      </c>
      <c r="AP56" s="65">
        <f>$AA56*'FZ-CZ'!W30</f>
        <v>1.7325319983018991E-4</v>
      </c>
      <c r="AQ56" s="65">
        <f>$AA56*'FZ-CZ'!X30</f>
        <v>4.2734846993806863E-3</v>
      </c>
    </row>
    <row r="57" spans="26:43">
      <c r="Z57" s="23" t="s">
        <v>284</v>
      </c>
      <c r="AA57" s="45">
        <f>X4</f>
        <v>8.1065102686722016E-3</v>
      </c>
      <c r="AB57" s="65">
        <f>$AA57*'FZ-CZ'!I31</f>
        <v>0</v>
      </c>
      <c r="AC57" s="65">
        <f>$AA57*'FZ-CZ'!J31</f>
        <v>0</v>
      </c>
      <c r="AD57" s="65">
        <f>$AA57*'FZ-CZ'!K31</f>
        <v>4.2505402384715703E-3</v>
      </c>
      <c r="AE57" s="65">
        <f>$AA57*'FZ-CZ'!L31</f>
        <v>2.4634128096804164E-3</v>
      </c>
      <c r="AF57" s="65">
        <f>$AA57*'FZ-CZ'!M31</f>
        <v>0</v>
      </c>
      <c r="AG57" s="65">
        <f>$AA57*'FZ-CZ'!N31</f>
        <v>0</v>
      </c>
      <c r="AH57" s="65">
        <f>$AA57*'FZ-CZ'!O31</f>
        <v>0</v>
      </c>
      <c r="AI57" s="65">
        <f>$AA57*'FZ-CZ'!P31</f>
        <v>0</v>
      </c>
      <c r="AJ57" s="65">
        <f>$AA57*'FZ-CZ'!Q31</f>
        <v>0</v>
      </c>
      <c r="AK57" s="65">
        <f>$AA57*'FZ-CZ'!R31</f>
        <v>0</v>
      </c>
      <c r="AL57" s="65">
        <f>$AA57*'FZ-CZ'!S31</f>
        <v>0</v>
      </c>
      <c r="AM57" s="65">
        <f>$AA57*'FZ-CZ'!T31</f>
        <v>1.3925572205202149E-3</v>
      </c>
      <c r="AN57" s="65">
        <f>$AA57*'FZ-CZ'!U31</f>
        <v>0</v>
      </c>
      <c r="AO57" s="65">
        <f>$AA57*'FZ-CZ'!V31</f>
        <v>0</v>
      </c>
      <c r="AP57" s="65">
        <f>$AA57*'FZ-CZ'!W31</f>
        <v>0</v>
      </c>
      <c r="AQ57" s="65">
        <f>$AA57*'FZ-CZ'!X31</f>
        <v>0</v>
      </c>
    </row>
    <row r="58" spans="26:43">
      <c r="Z58" s="23" t="s">
        <v>285</v>
      </c>
      <c r="AA58" s="45">
        <f t="shared" ref="AA58:AA66" si="22">X5</f>
        <v>5.738688404380525E-2</v>
      </c>
      <c r="AB58" s="65">
        <f>$AA58*'FZ-CZ'!I32</f>
        <v>7.753787975971144E-3</v>
      </c>
      <c r="AC58" s="65">
        <f>$AA58*'FZ-CZ'!J32</f>
        <v>4.6023157403829722E-2</v>
      </c>
      <c r="AD58" s="65">
        <f>$AA58*'FZ-CZ'!K32</f>
        <v>3.6067626921232054E-3</v>
      </c>
      <c r="AE58" s="65">
        <f>$AA58*'FZ-CZ'!L32</f>
        <v>0</v>
      </c>
      <c r="AF58" s="65">
        <f>$AA58*'FZ-CZ'!M32</f>
        <v>0</v>
      </c>
      <c r="AG58" s="65">
        <f>$AA58*'FZ-CZ'!N32</f>
        <v>0</v>
      </c>
      <c r="AH58" s="65">
        <f>$AA58*'FZ-CZ'!O32</f>
        <v>0</v>
      </c>
      <c r="AI58" s="65">
        <f>$AA58*'FZ-CZ'!P32</f>
        <v>0</v>
      </c>
      <c r="AJ58" s="65">
        <f>$AA58*'FZ-CZ'!Q32</f>
        <v>0</v>
      </c>
      <c r="AK58" s="65">
        <f>$AA58*'FZ-CZ'!R32</f>
        <v>0</v>
      </c>
      <c r="AL58" s="65">
        <f>$AA58*'FZ-CZ'!S32</f>
        <v>0</v>
      </c>
      <c r="AM58" s="65">
        <f>$AA58*'FZ-CZ'!T32</f>
        <v>0</v>
      </c>
      <c r="AN58" s="65">
        <f>$AA58*'FZ-CZ'!U32</f>
        <v>0</v>
      </c>
      <c r="AO58" s="65">
        <f>$AA58*'FZ-CZ'!V32</f>
        <v>0</v>
      </c>
      <c r="AP58" s="65">
        <f>$AA58*'FZ-CZ'!W32</f>
        <v>0</v>
      </c>
      <c r="AQ58" s="65">
        <f>$AA58*'FZ-CZ'!X32</f>
        <v>3.1759718811778203E-6</v>
      </c>
    </row>
    <row r="59" spans="26:43">
      <c r="Z59" s="23" t="s">
        <v>286</v>
      </c>
      <c r="AA59" s="45">
        <f t="shared" si="22"/>
        <v>7.3132514392905273E-2</v>
      </c>
      <c r="AB59" s="65">
        <f>$AA59*'FZ-CZ'!I33</f>
        <v>0</v>
      </c>
      <c r="AC59" s="65">
        <f>$AA59*'FZ-CZ'!J33</f>
        <v>0</v>
      </c>
      <c r="AD59" s="65">
        <f>$AA59*'FZ-CZ'!K33</f>
        <v>0</v>
      </c>
      <c r="AE59" s="65">
        <f>$AA59*'FZ-CZ'!L33</f>
        <v>0</v>
      </c>
      <c r="AF59" s="65">
        <f>$AA59*'FZ-CZ'!M33</f>
        <v>0</v>
      </c>
      <c r="AG59" s="65">
        <f>$AA59*'FZ-CZ'!N33</f>
        <v>0</v>
      </c>
      <c r="AH59" s="65">
        <f>$AA59*'FZ-CZ'!O33</f>
        <v>0</v>
      </c>
      <c r="AI59" s="65">
        <f>$AA59*'FZ-CZ'!P33</f>
        <v>0</v>
      </c>
      <c r="AJ59" s="65">
        <f>$AA59*'FZ-CZ'!Q33</f>
        <v>0</v>
      </c>
      <c r="AK59" s="65">
        <f>$AA59*'FZ-CZ'!R33</f>
        <v>0</v>
      </c>
      <c r="AL59" s="65">
        <f>$AA59*'FZ-CZ'!S33</f>
        <v>6.1996133173269914E-2</v>
      </c>
      <c r="AM59" s="65">
        <f>$AA59*'FZ-CZ'!T33</f>
        <v>0</v>
      </c>
      <c r="AN59" s="65">
        <f>$AA59*'FZ-CZ'!U33</f>
        <v>0</v>
      </c>
      <c r="AO59" s="65">
        <f>$AA59*'FZ-CZ'!V33</f>
        <v>0</v>
      </c>
      <c r="AP59" s="65">
        <f>$AA59*'FZ-CZ'!W33</f>
        <v>0</v>
      </c>
      <c r="AQ59" s="65">
        <f>$AA59*'FZ-CZ'!X33</f>
        <v>1.1136381219635354E-2</v>
      </c>
    </row>
    <row r="60" spans="26:43">
      <c r="Z60" s="23" t="s">
        <v>287</v>
      </c>
      <c r="AA60" s="45">
        <f t="shared" si="22"/>
        <v>7.3132514392905273E-2</v>
      </c>
      <c r="AB60" s="65">
        <f>$AA60*'FZ-CZ'!I34</f>
        <v>0</v>
      </c>
      <c r="AC60" s="65">
        <f>$AA60*'FZ-CZ'!J34</f>
        <v>0</v>
      </c>
      <c r="AD60" s="65">
        <f>$AA60*'FZ-CZ'!K34</f>
        <v>2.660723315019558E-3</v>
      </c>
      <c r="AE60" s="65">
        <f>$AA60*'FZ-CZ'!L34</f>
        <v>0</v>
      </c>
      <c r="AF60" s="65">
        <f>$AA60*'FZ-CZ'!M34</f>
        <v>0</v>
      </c>
      <c r="AG60" s="65">
        <f>$AA60*'FZ-CZ'!N34</f>
        <v>0</v>
      </c>
      <c r="AH60" s="65">
        <f>$AA60*'FZ-CZ'!O34</f>
        <v>0</v>
      </c>
      <c r="AI60" s="65">
        <f>$AA60*'FZ-CZ'!P34</f>
        <v>0</v>
      </c>
      <c r="AJ60" s="65">
        <f>$AA60*'FZ-CZ'!Q34</f>
        <v>0</v>
      </c>
      <c r="AK60" s="65">
        <f>$AA60*'FZ-CZ'!R34</f>
        <v>0</v>
      </c>
      <c r="AL60" s="65">
        <f>$AA60*'FZ-CZ'!S34</f>
        <v>1.6141496483698232E-2</v>
      </c>
      <c r="AM60" s="65">
        <f>$AA60*'FZ-CZ'!T34</f>
        <v>5.3098290139702742E-2</v>
      </c>
      <c r="AN60" s="65">
        <f>$AA60*'FZ-CZ'!U34</f>
        <v>0</v>
      </c>
      <c r="AO60" s="65">
        <f>$AA60*'FZ-CZ'!V34</f>
        <v>0</v>
      </c>
      <c r="AP60" s="65">
        <f>$AA60*'FZ-CZ'!W34</f>
        <v>0</v>
      </c>
      <c r="AQ60" s="65">
        <f>$AA60*'FZ-CZ'!X34</f>
        <v>1.2320044544847459E-3</v>
      </c>
    </row>
    <row r="61" spans="26:43">
      <c r="Z61" s="23" t="s">
        <v>288</v>
      </c>
      <c r="AA61" s="45">
        <f t="shared" si="22"/>
        <v>5.4442424021695609E-3</v>
      </c>
      <c r="AB61" s="65">
        <f>$AA61*'FZ-CZ'!I35</f>
        <v>0</v>
      </c>
      <c r="AC61" s="65">
        <f>$AA61*'FZ-CZ'!J35</f>
        <v>0</v>
      </c>
      <c r="AD61" s="65">
        <f>$AA61*'FZ-CZ'!K35</f>
        <v>0</v>
      </c>
      <c r="AE61" s="65">
        <f>$AA61*'FZ-CZ'!L35</f>
        <v>0</v>
      </c>
      <c r="AF61" s="65">
        <f>$AA61*'FZ-CZ'!M35</f>
        <v>0</v>
      </c>
      <c r="AG61" s="65">
        <f>$AA61*'FZ-CZ'!N35</f>
        <v>0</v>
      </c>
      <c r="AH61" s="65">
        <f>$AA61*'FZ-CZ'!O35</f>
        <v>0</v>
      </c>
      <c r="AI61" s="65">
        <f>$AA61*'FZ-CZ'!P35</f>
        <v>0</v>
      </c>
      <c r="AJ61" s="65">
        <f>$AA61*'FZ-CZ'!Q35</f>
        <v>0</v>
      </c>
      <c r="AK61" s="65">
        <f>$AA61*'FZ-CZ'!R35</f>
        <v>0</v>
      </c>
      <c r="AL61" s="65">
        <f>$AA61*'FZ-CZ'!S35</f>
        <v>0</v>
      </c>
      <c r="AM61" s="65">
        <f>$AA61*'FZ-CZ'!T35</f>
        <v>2.4796772671665797E-4</v>
      </c>
      <c r="AN61" s="65">
        <f>$AA61*'FZ-CZ'!U35</f>
        <v>5.1614592208429084E-3</v>
      </c>
      <c r="AO61" s="65">
        <f>$AA61*'FZ-CZ'!V35</f>
        <v>0</v>
      </c>
      <c r="AP61" s="65">
        <f>$AA61*'FZ-CZ'!W35</f>
        <v>0</v>
      </c>
      <c r="AQ61" s="65">
        <f>$AA61*'FZ-CZ'!X35</f>
        <v>3.4815454609994334E-5</v>
      </c>
    </row>
    <row r="62" spans="26:43">
      <c r="Z62" s="23" t="s">
        <v>289</v>
      </c>
      <c r="AA62" s="45">
        <f t="shared" si="22"/>
        <v>1.8620214057104439E-3</v>
      </c>
      <c r="AB62" s="65">
        <f>$AA62*'FZ-CZ'!I36</f>
        <v>0</v>
      </c>
      <c r="AC62" s="65">
        <f>$AA62*'FZ-CZ'!J36</f>
        <v>0</v>
      </c>
      <c r="AD62" s="65">
        <f>$AA62*'FZ-CZ'!K36</f>
        <v>9.7313434406004777E-4</v>
      </c>
      <c r="AE62" s="65">
        <f>$AA62*'FZ-CZ'!L36</f>
        <v>2.8658109115534949E-4</v>
      </c>
      <c r="AF62" s="65">
        <f>$AA62*'FZ-CZ'!M36</f>
        <v>6.0208223240944508E-4</v>
      </c>
      <c r="AG62" s="65">
        <f>$AA62*'FZ-CZ'!N36</f>
        <v>2.2373808560158255E-7</v>
      </c>
      <c r="AH62" s="65">
        <f>$AA62*'FZ-CZ'!O36</f>
        <v>0</v>
      </c>
      <c r="AI62" s="65">
        <f>$AA62*'FZ-CZ'!P36</f>
        <v>0</v>
      </c>
      <c r="AJ62" s="65">
        <f>$AA62*'FZ-CZ'!Q36</f>
        <v>0</v>
      </c>
      <c r="AK62" s="65">
        <f>$AA62*'FZ-CZ'!R36</f>
        <v>0</v>
      </c>
      <c r="AL62" s="65">
        <f>$AA62*'FZ-CZ'!S36</f>
        <v>0</v>
      </c>
      <c r="AM62" s="65">
        <f>$AA62*'FZ-CZ'!T36</f>
        <v>0</v>
      </c>
      <c r="AN62" s="65">
        <f>$AA62*'FZ-CZ'!U36</f>
        <v>0</v>
      </c>
      <c r="AO62" s="65">
        <f>$AA62*'FZ-CZ'!V36</f>
        <v>0</v>
      </c>
      <c r="AP62" s="65">
        <f>$AA62*'FZ-CZ'!W36</f>
        <v>0</v>
      </c>
      <c r="AQ62" s="65">
        <f>$AA62*'FZ-CZ'!X36</f>
        <v>0</v>
      </c>
    </row>
    <row r="63" spans="26:43">
      <c r="Z63" s="24" t="s">
        <v>290</v>
      </c>
      <c r="AA63" s="45">
        <f t="shared" si="22"/>
        <v>0</v>
      </c>
      <c r="AB63" s="65">
        <f>$AA63*'FZ-CZ'!I37</f>
        <v>0</v>
      </c>
      <c r="AC63" s="65">
        <f>$AA63*'FZ-CZ'!J37</f>
        <v>0</v>
      </c>
      <c r="AD63" s="65">
        <f>$AA63*'FZ-CZ'!K37</f>
        <v>0</v>
      </c>
      <c r="AE63" s="65">
        <f>$AA63*'FZ-CZ'!L37</f>
        <v>0</v>
      </c>
      <c r="AF63" s="65">
        <f>$AA63*'FZ-CZ'!M37</f>
        <v>0</v>
      </c>
      <c r="AG63" s="65">
        <f>$AA63*'FZ-CZ'!N37</f>
        <v>0</v>
      </c>
      <c r="AH63" s="65">
        <f>$AA63*'FZ-CZ'!O37</f>
        <v>0</v>
      </c>
      <c r="AI63" s="65">
        <f>$AA63*'FZ-CZ'!P37</f>
        <v>0</v>
      </c>
      <c r="AJ63" s="65">
        <f>$AA63*'FZ-CZ'!Q37</f>
        <v>0</v>
      </c>
      <c r="AK63" s="65">
        <f>$AA63*'FZ-CZ'!R37</f>
        <v>0</v>
      </c>
      <c r="AL63" s="65">
        <f>$AA63*'FZ-CZ'!S37</f>
        <v>0</v>
      </c>
      <c r="AM63" s="65">
        <f>$AA63*'FZ-CZ'!T37</f>
        <v>0</v>
      </c>
      <c r="AN63" s="65">
        <f>$AA63*'FZ-CZ'!U37</f>
        <v>0</v>
      </c>
      <c r="AO63" s="65">
        <f>$AA63*'FZ-CZ'!V37</f>
        <v>0</v>
      </c>
      <c r="AP63" s="65">
        <f>$AA63*'FZ-CZ'!W37</f>
        <v>0</v>
      </c>
      <c r="AQ63" s="65">
        <f>$AA63*'FZ-CZ'!X37</f>
        <v>0</v>
      </c>
    </row>
    <row r="64" spans="26:43">
      <c r="Z64" s="24" t="s">
        <v>291</v>
      </c>
      <c r="AA64" s="45">
        <f t="shared" si="22"/>
        <v>0</v>
      </c>
      <c r="AB64" s="65">
        <f>$AA64*'FZ-CZ'!I38</f>
        <v>0</v>
      </c>
      <c r="AC64" s="65">
        <f>$AA64*'FZ-CZ'!J38</f>
        <v>0</v>
      </c>
      <c r="AD64" s="65">
        <f>$AA64*'FZ-CZ'!K38</f>
        <v>0</v>
      </c>
      <c r="AE64" s="65">
        <f>$AA64*'FZ-CZ'!L38</f>
        <v>0</v>
      </c>
      <c r="AF64" s="65">
        <f>$AA64*'FZ-CZ'!M38</f>
        <v>0</v>
      </c>
      <c r="AG64" s="65">
        <f>$AA64*'FZ-CZ'!N38</f>
        <v>0</v>
      </c>
      <c r="AH64" s="65">
        <f>$AA64*'FZ-CZ'!O38</f>
        <v>0</v>
      </c>
      <c r="AI64" s="65">
        <f>$AA64*'FZ-CZ'!P38</f>
        <v>0</v>
      </c>
      <c r="AJ64" s="65">
        <f>$AA64*'FZ-CZ'!Q38</f>
        <v>0</v>
      </c>
      <c r="AK64" s="65">
        <f>$AA64*'FZ-CZ'!R38</f>
        <v>0</v>
      </c>
      <c r="AL64" s="65">
        <f>$AA64*'FZ-CZ'!S38</f>
        <v>0</v>
      </c>
      <c r="AM64" s="65">
        <f>$AA64*'FZ-CZ'!T38</f>
        <v>0</v>
      </c>
      <c r="AN64" s="65">
        <f>$AA64*'FZ-CZ'!U38</f>
        <v>0</v>
      </c>
      <c r="AO64" s="65">
        <f>$AA64*'FZ-CZ'!V38</f>
        <v>0</v>
      </c>
      <c r="AP64" s="65">
        <f>$AA64*'FZ-CZ'!W38</f>
        <v>0</v>
      </c>
      <c r="AQ64" s="65">
        <f>$AA64*'FZ-CZ'!X38</f>
        <v>0</v>
      </c>
    </row>
    <row r="65" spans="26:43">
      <c r="Z65" s="24" t="s">
        <v>292</v>
      </c>
      <c r="AA65" s="45">
        <f t="shared" si="22"/>
        <v>2.763374756120773E-2</v>
      </c>
      <c r="AB65" s="65">
        <f>$AA65*'FZ-CZ'!I39</f>
        <v>0</v>
      </c>
      <c r="AC65" s="65">
        <f>$AA65*'FZ-CZ'!J39</f>
        <v>0</v>
      </c>
      <c r="AD65" s="65">
        <f>$AA65*'FZ-CZ'!K39</f>
        <v>0</v>
      </c>
      <c r="AE65" s="65">
        <f>$AA65*'FZ-CZ'!L39</f>
        <v>0</v>
      </c>
      <c r="AF65" s="65">
        <f>$AA65*'FZ-CZ'!M39</f>
        <v>0</v>
      </c>
      <c r="AG65" s="65">
        <f>$AA65*'FZ-CZ'!N39</f>
        <v>0</v>
      </c>
      <c r="AH65" s="65">
        <f>$AA65*'FZ-CZ'!O39</f>
        <v>0</v>
      </c>
      <c r="AI65" s="65">
        <f>$AA65*'FZ-CZ'!P39</f>
        <v>0</v>
      </c>
      <c r="AJ65" s="65">
        <f>$AA65*'FZ-CZ'!Q39</f>
        <v>0</v>
      </c>
      <c r="AK65" s="65">
        <f>$AA65*'FZ-CZ'!R39</f>
        <v>0</v>
      </c>
      <c r="AL65" s="65">
        <f>$AA65*'FZ-CZ'!S39</f>
        <v>0</v>
      </c>
      <c r="AM65" s="65">
        <f>$AA65*'FZ-CZ'!T39</f>
        <v>0</v>
      </c>
      <c r="AN65" s="65">
        <f>$AA65*'FZ-CZ'!U39</f>
        <v>2.1688902110064971E-2</v>
      </c>
      <c r="AO65" s="65">
        <f>$AA65*'FZ-CZ'!V39</f>
        <v>3.3442066166029616E-3</v>
      </c>
      <c r="AP65" s="65">
        <f>$AA65*'FZ-CZ'!W39</f>
        <v>0</v>
      </c>
      <c r="AQ65" s="65">
        <f>$AA65*'FZ-CZ'!X39</f>
        <v>2.6006388345397964E-3</v>
      </c>
    </row>
    <row r="66" spans="26:43">
      <c r="Z66" s="24" t="s">
        <v>293</v>
      </c>
      <c r="AA66" s="45">
        <f t="shared" si="22"/>
        <v>0</v>
      </c>
      <c r="AB66" s="65">
        <f>$AA66*'FZ-CZ'!I40</f>
        <v>0</v>
      </c>
      <c r="AC66" s="65">
        <f>$AA66*'FZ-CZ'!J40</f>
        <v>0</v>
      </c>
      <c r="AD66" s="65">
        <f>$AA66*'FZ-CZ'!K40</f>
        <v>0</v>
      </c>
      <c r="AE66" s="65">
        <f>$AA66*'FZ-CZ'!L40</f>
        <v>0</v>
      </c>
      <c r="AF66" s="65">
        <f>$AA66*'FZ-CZ'!M40</f>
        <v>0</v>
      </c>
      <c r="AG66" s="65">
        <f>$AA66*'FZ-CZ'!N40</f>
        <v>0</v>
      </c>
      <c r="AH66" s="65">
        <f>$AA66*'FZ-CZ'!O40</f>
        <v>0</v>
      </c>
      <c r="AI66" s="65">
        <f>$AA66*'FZ-CZ'!P40</f>
        <v>0</v>
      </c>
      <c r="AJ66" s="65">
        <f>$AA66*'FZ-CZ'!Q40</f>
        <v>0</v>
      </c>
      <c r="AK66" s="65">
        <f>$AA66*'FZ-CZ'!R40</f>
        <v>0</v>
      </c>
      <c r="AL66" s="65">
        <f>$AA66*'FZ-CZ'!S40</f>
        <v>0</v>
      </c>
      <c r="AM66" s="65">
        <f>$AA66*'FZ-CZ'!T40</f>
        <v>0</v>
      </c>
      <c r="AN66" s="65">
        <f>$AA66*'FZ-CZ'!U40</f>
        <v>0</v>
      </c>
      <c r="AO66" s="65">
        <f>$AA66*'FZ-CZ'!V40</f>
        <v>0</v>
      </c>
      <c r="AP66" s="65">
        <f>$AA66*'FZ-CZ'!W40</f>
        <v>0</v>
      </c>
      <c r="AQ66" s="65">
        <f>$AA66*'FZ-CZ'!X40</f>
        <v>0</v>
      </c>
    </row>
    <row r="67" spans="26:43">
      <c r="Z67" s="24" t="s">
        <v>294</v>
      </c>
      <c r="AA67" s="45">
        <f>X14</f>
        <v>7.0259434871968781E-3</v>
      </c>
      <c r="AB67" s="65">
        <f>$AA67*'FZ-CZ'!I41</f>
        <v>0</v>
      </c>
      <c r="AC67" s="65">
        <f>$AA67*'FZ-CZ'!J41</f>
        <v>0</v>
      </c>
      <c r="AD67" s="65">
        <f>$AA67*'FZ-CZ'!K41</f>
        <v>0</v>
      </c>
      <c r="AE67" s="65">
        <f>$AA67*'FZ-CZ'!L41</f>
        <v>0</v>
      </c>
      <c r="AF67" s="65">
        <f>$AA67*'FZ-CZ'!M41</f>
        <v>0</v>
      </c>
      <c r="AG67" s="65">
        <f>$AA67*'FZ-CZ'!N41</f>
        <v>0</v>
      </c>
      <c r="AH67" s="65">
        <f>$AA67*'FZ-CZ'!O41</f>
        <v>0</v>
      </c>
      <c r="AI67" s="65">
        <f>$AA67*'FZ-CZ'!P41</f>
        <v>0</v>
      </c>
      <c r="AJ67" s="65">
        <f>$AA67*'FZ-CZ'!Q41</f>
        <v>0</v>
      </c>
      <c r="AK67" s="65">
        <f>$AA67*'FZ-CZ'!R41</f>
        <v>6.0499991042897638E-3</v>
      </c>
      <c r="AL67" s="65">
        <f>$AA67*'FZ-CZ'!S41</f>
        <v>0</v>
      </c>
      <c r="AM67" s="65">
        <f>$AA67*'FZ-CZ'!T41</f>
        <v>0</v>
      </c>
      <c r="AN67" s="65">
        <f>$AA67*'FZ-CZ'!U41</f>
        <v>0</v>
      </c>
      <c r="AO67" s="65">
        <f>$AA67*'FZ-CZ'!V41</f>
        <v>1.7775534351121689E-8</v>
      </c>
      <c r="AP67" s="65">
        <f>$AA67*'FZ-CZ'!W41</f>
        <v>9.368986441514412E-4</v>
      </c>
      <c r="AQ67" s="65">
        <f>$AA67*'FZ-CZ'!X41</f>
        <v>3.9027963221322782E-5</v>
      </c>
    </row>
    <row r="68" spans="26:43">
      <c r="Z68" s="24" t="s">
        <v>214</v>
      </c>
      <c r="AA68" s="45">
        <f>(X15+X16)/2</f>
        <v>1.7370984543092693E-3</v>
      </c>
      <c r="AB68" s="65">
        <f>$AA68*'FZ-CZ'!I42</f>
        <v>0</v>
      </c>
      <c r="AC68" s="65">
        <f>$AA68*'FZ-CZ'!J42</f>
        <v>0</v>
      </c>
      <c r="AD68" s="65">
        <f>$AA68*'FZ-CZ'!K42</f>
        <v>0</v>
      </c>
      <c r="AE68" s="65">
        <f>$AA68*'FZ-CZ'!L42</f>
        <v>0</v>
      </c>
      <c r="AF68" s="65">
        <f>$AA68*'FZ-CZ'!M42</f>
        <v>0</v>
      </c>
      <c r="AG68" s="65">
        <f>$AA68*'FZ-CZ'!N42</f>
        <v>1.1457065619310237E-4</v>
      </c>
      <c r="AH68" s="65">
        <f>$AA68*'FZ-CZ'!O42</f>
        <v>1.0910323747141749E-3</v>
      </c>
      <c r="AI68" s="65">
        <f>$AA68*'FZ-CZ'!P42</f>
        <v>3.3666196538829271E-5</v>
      </c>
      <c r="AJ68" s="65">
        <f>$AA68*'FZ-CZ'!Q42</f>
        <v>0</v>
      </c>
      <c r="AK68" s="65">
        <f>$AA68*'FZ-CZ'!R42</f>
        <v>4.8430449991822283E-4</v>
      </c>
      <c r="AL68" s="65">
        <f>$AA68*'FZ-CZ'!S42</f>
        <v>0</v>
      </c>
      <c r="AM68" s="65">
        <f>$AA68*'FZ-CZ'!T42</f>
        <v>0</v>
      </c>
      <c r="AN68" s="65">
        <f>$AA68*'FZ-CZ'!U42</f>
        <v>0</v>
      </c>
      <c r="AO68" s="65">
        <f>$AA68*'FZ-CZ'!V42</f>
        <v>1.150404505813511E-5</v>
      </c>
      <c r="AP68" s="65">
        <f>$AA68*'FZ-CZ'!W42</f>
        <v>2.020681886804875E-6</v>
      </c>
      <c r="AQ68" s="65">
        <f>$AA68*'FZ-CZ'!X42</f>
        <v>0</v>
      </c>
    </row>
    <row r="69" spans="26:43">
      <c r="Z69" s="24" t="s">
        <v>297</v>
      </c>
      <c r="AA69" s="45">
        <f>X17</f>
        <v>0</v>
      </c>
      <c r="AB69" s="65">
        <f>$AA69*'FZ-CZ'!I43</f>
        <v>0</v>
      </c>
      <c r="AC69" s="65">
        <f>$AA69*'FZ-CZ'!J43</f>
        <v>0</v>
      </c>
      <c r="AD69" s="65">
        <f>$AA69*'FZ-CZ'!K43</f>
        <v>0</v>
      </c>
      <c r="AE69" s="65">
        <f>$AA69*'FZ-CZ'!L43</f>
        <v>0</v>
      </c>
      <c r="AF69" s="65">
        <f>$AA69*'FZ-CZ'!M43</f>
        <v>0</v>
      </c>
      <c r="AG69" s="65">
        <f>$AA69*'FZ-CZ'!N43</f>
        <v>0</v>
      </c>
      <c r="AH69" s="65">
        <f>$AA69*'FZ-CZ'!O43</f>
        <v>0</v>
      </c>
      <c r="AI69" s="65">
        <f>$AA69*'FZ-CZ'!P43</f>
        <v>0</v>
      </c>
      <c r="AJ69" s="65">
        <f>$AA69*'FZ-CZ'!Q43</f>
        <v>0</v>
      </c>
      <c r="AK69" s="65">
        <f>$AA69*'FZ-CZ'!R43</f>
        <v>0</v>
      </c>
      <c r="AL69" s="65">
        <f>$AA69*'FZ-CZ'!S43</f>
        <v>0</v>
      </c>
      <c r="AM69" s="65">
        <f>$AA69*'FZ-CZ'!T43</f>
        <v>0</v>
      </c>
      <c r="AN69" s="65">
        <f>$AA69*'FZ-CZ'!U43</f>
        <v>0</v>
      </c>
      <c r="AO69" s="65">
        <f>$AA69*'FZ-CZ'!V43</f>
        <v>0</v>
      </c>
      <c r="AP69" s="65">
        <f>$AA69*'FZ-CZ'!W43</f>
        <v>0</v>
      </c>
      <c r="AQ69" s="65">
        <f>$AA69*'FZ-CZ'!X43</f>
        <v>0</v>
      </c>
    </row>
    <row r="70" spans="26:43">
      <c r="Z70" s="24" t="s">
        <v>315</v>
      </c>
      <c r="AA70" s="45">
        <f>AA61</f>
        <v>5.4442424021695609E-3</v>
      </c>
      <c r="AB70" s="65">
        <f>$AA70*'FZ-CZ'!I44</f>
        <v>0</v>
      </c>
      <c r="AC70" s="65">
        <f>$AA70*'FZ-CZ'!J44</f>
        <v>0</v>
      </c>
      <c r="AD70" s="65">
        <f>$AA70*'FZ-CZ'!K44</f>
        <v>0</v>
      </c>
      <c r="AE70" s="65">
        <f>$AA70*'FZ-CZ'!L44</f>
        <v>0</v>
      </c>
      <c r="AF70" s="65">
        <f>$AA70*'FZ-CZ'!M44</f>
        <v>0</v>
      </c>
      <c r="AG70" s="65">
        <f>$AA70*'FZ-CZ'!N44</f>
        <v>0</v>
      </c>
      <c r="AH70" s="65">
        <f>$AA70*'FZ-CZ'!O44</f>
        <v>0</v>
      </c>
      <c r="AI70" s="65">
        <f>$AA70*'FZ-CZ'!P44</f>
        <v>0</v>
      </c>
      <c r="AJ70" s="65">
        <f>$AA70*'FZ-CZ'!Q44</f>
        <v>0</v>
      </c>
      <c r="AK70" s="65">
        <f>$AA70*'FZ-CZ'!R44</f>
        <v>0</v>
      </c>
      <c r="AL70" s="65">
        <f>$AA70*'FZ-CZ'!S44</f>
        <v>0</v>
      </c>
      <c r="AM70" s="65">
        <f>$AA70*'FZ-CZ'!T44</f>
        <v>5.4442424021695609E-3</v>
      </c>
      <c r="AN70" s="65">
        <f>$AA70*'FZ-CZ'!U44</f>
        <v>0</v>
      </c>
      <c r="AO70" s="65">
        <f>$AA70*'FZ-CZ'!V44</f>
        <v>0</v>
      </c>
      <c r="AP70" s="65">
        <f>$AA70*'FZ-CZ'!W44</f>
        <v>0</v>
      </c>
      <c r="AQ70" s="65">
        <f>$AA70*'FZ-CZ'!X44</f>
        <v>0</v>
      </c>
    </row>
    <row r="71" spans="26:43">
      <c r="Z71" s="24" t="s">
        <v>316</v>
      </c>
      <c r="AA71" s="45">
        <f>AA61</f>
        <v>5.4442424021695609E-3</v>
      </c>
      <c r="AB71" s="65">
        <f>$AA71*'FZ-CZ'!I45</f>
        <v>0</v>
      </c>
      <c r="AC71" s="65">
        <f>$AA71*'FZ-CZ'!J45</f>
        <v>1.0556132604233506E-5</v>
      </c>
      <c r="AD71" s="65">
        <f>$AA71*'FZ-CZ'!K45</f>
        <v>0</v>
      </c>
      <c r="AE71" s="65">
        <f>$AA71*'FZ-CZ'!L45</f>
        <v>0</v>
      </c>
      <c r="AF71" s="65">
        <f>$AA71*'FZ-CZ'!M45</f>
        <v>0</v>
      </c>
      <c r="AG71" s="65">
        <f>$AA71*'FZ-CZ'!N45</f>
        <v>0</v>
      </c>
      <c r="AH71" s="65">
        <f>$AA71*'FZ-CZ'!O45</f>
        <v>0</v>
      </c>
      <c r="AI71" s="65">
        <f>$AA71*'FZ-CZ'!P45</f>
        <v>0</v>
      </c>
      <c r="AJ71" s="65">
        <f>$AA71*'FZ-CZ'!Q45</f>
        <v>0</v>
      </c>
      <c r="AK71" s="65">
        <f>$AA71*'FZ-CZ'!R45</f>
        <v>0</v>
      </c>
      <c r="AL71" s="65">
        <f>$AA71*'FZ-CZ'!S45</f>
        <v>2.4251663471017465E-3</v>
      </c>
      <c r="AM71" s="65">
        <f>$AA71*'FZ-CZ'!T45</f>
        <v>2.8665432584751948E-3</v>
      </c>
      <c r="AN71" s="65">
        <f>$AA71*'FZ-CZ'!U45</f>
        <v>0</v>
      </c>
      <c r="AO71" s="65">
        <f>$AA71*'FZ-CZ'!V45</f>
        <v>0</v>
      </c>
      <c r="AP71" s="65">
        <f>$AA71*'FZ-CZ'!W45</f>
        <v>0</v>
      </c>
      <c r="AQ71" s="65">
        <f>$AA71*'FZ-CZ'!X45</f>
        <v>1.4197666398838585E-4</v>
      </c>
    </row>
    <row r="72" spans="26:43">
      <c r="Z72" s="24" t="s">
        <v>298</v>
      </c>
      <c r="AA72" s="45">
        <f>X18</f>
        <v>0</v>
      </c>
      <c r="AB72" s="65">
        <f>$AA72*'FZ-CZ'!I46</f>
        <v>0</v>
      </c>
      <c r="AC72" s="65">
        <f>$AA72*'FZ-CZ'!J46</f>
        <v>0</v>
      </c>
      <c r="AD72" s="65">
        <f>$AA72*'FZ-CZ'!K46</f>
        <v>0</v>
      </c>
      <c r="AE72" s="65">
        <f>$AA72*'FZ-CZ'!L46</f>
        <v>0</v>
      </c>
      <c r="AF72" s="65">
        <f>$AA72*'FZ-CZ'!M46</f>
        <v>0</v>
      </c>
      <c r="AG72" s="65">
        <f>$AA72*'FZ-CZ'!N46</f>
        <v>0</v>
      </c>
      <c r="AH72" s="65">
        <f>$AA72*'FZ-CZ'!O46</f>
        <v>0</v>
      </c>
      <c r="AI72" s="65">
        <f>$AA72*'FZ-CZ'!P46</f>
        <v>0</v>
      </c>
      <c r="AJ72" s="65">
        <f>$AA72*'FZ-CZ'!Q46</f>
        <v>0</v>
      </c>
      <c r="AK72" s="65">
        <f>$AA72*'FZ-CZ'!R46</f>
        <v>0</v>
      </c>
      <c r="AL72" s="65">
        <f>$AA72*'FZ-CZ'!S46</f>
        <v>0</v>
      </c>
      <c r="AM72" s="65">
        <f>$AA72*'FZ-CZ'!T46</f>
        <v>0</v>
      </c>
      <c r="AN72" s="65">
        <f>$AA72*'FZ-CZ'!U46</f>
        <v>0</v>
      </c>
      <c r="AO72" s="65">
        <f>$AA72*'FZ-CZ'!V46</f>
        <v>0</v>
      </c>
      <c r="AP72" s="65">
        <f>$AA72*'FZ-CZ'!W46</f>
        <v>0</v>
      </c>
      <c r="AQ72" s="65">
        <f>$AA72*'FZ-CZ'!X46</f>
        <v>0</v>
      </c>
    </row>
    <row r="73" spans="26:43">
      <c r="Z73" s="24" t="s">
        <v>299</v>
      </c>
      <c r="AA73" s="45">
        <f>X19</f>
        <v>0</v>
      </c>
      <c r="AB73" s="65">
        <f>$AA73*'FZ-CZ'!I47</f>
        <v>0</v>
      </c>
      <c r="AC73" s="65">
        <f>$AA73*'FZ-CZ'!J47</f>
        <v>0</v>
      </c>
      <c r="AD73" s="65">
        <f>$AA73*'FZ-CZ'!K47</f>
        <v>0</v>
      </c>
      <c r="AE73" s="65">
        <f>$AA73*'FZ-CZ'!L47</f>
        <v>0</v>
      </c>
      <c r="AF73" s="65">
        <f>$AA73*'FZ-CZ'!M47</f>
        <v>0</v>
      </c>
      <c r="AG73" s="65">
        <f>$AA73*'FZ-CZ'!N47</f>
        <v>0</v>
      </c>
      <c r="AH73" s="65">
        <f>$AA73*'FZ-CZ'!O47</f>
        <v>0</v>
      </c>
      <c r="AI73" s="65">
        <f>$AA73*'FZ-CZ'!P47</f>
        <v>0</v>
      </c>
      <c r="AJ73" s="65">
        <f>$AA73*'FZ-CZ'!Q47</f>
        <v>0</v>
      </c>
      <c r="AK73" s="65">
        <f>$AA73*'FZ-CZ'!R47</f>
        <v>0</v>
      </c>
      <c r="AL73" s="65">
        <f>$AA73*'FZ-CZ'!S47</f>
        <v>0</v>
      </c>
      <c r="AM73" s="65">
        <f>$AA73*'FZ-CZ'!T47</f>
        <v>0</v>
      </c>
      <c r="AN73" s="65">
        <f>$AA73*'FZ-CZ'!U47</f>
        <v>0</v>
      </c>
      <c r="AO73" s="65">
        <f>$AA73*'FZ-CZ'!V47</f>
        <v>0</v>
      </c>
      <c r="AP73" s="65">
        <f>$AA73*'FZ-CZ'!W47</f>
        <v>0</v>
      </c>
      <c r="AQ73" s="65">
        <f>$AA73*'FZ-CZ'!X47</f>
        <v>0</v>
      </c>
    </row>
    <row r="74" spans="26:43">
      <c r="Z74" s="24" t="s">
        <v>317</v>
      </c>
      <c r="AA74" s="45">
        <f>AA73</f>
        <v>0</v>
      </c>
      <c r="AB74" s="65">
        <f>$AA74*'FZ-CZ'!I48</f>
        <v>0</v>
      </c>
      <c r="AC74" s="65">
        <f>$AA74*'FZ-CZ'!J48</f>
        <v>0</v>
      </c>
      <c r="AD74" s="65">
        <f>$AA74*'FZ-CZ'!K48</f>
        <v>0</v>
      </c>
      <c r="AE74" s="65">
        <f>$AA74*'FZ-CZ'!L48</f>
        <v>0</v>
      </c>
      <c r="AF74" s="65">
        <f>$AA74*'FZ-CZ'!M48</f>
        <v>0</v>
      </c>
      <c r="AG74" s="65">
        <f>$AA74*'FZ-CZ'!N48</f>
        <v>0</v>
      </c>
      <c r="AH74" s="65">
        <f>$AA74*'FZ-CZ'!O48</f>
        <v>0</v>
      </c>
      <c r="AI74" s="65">
        <f>$AA74*'FZ-CZ'!P48</f>
        <v>0</v>
      </c>
      <c r="AJ74" s="65">
        <f>$AA74*'FZ-CZ'!Q48</f>
        <v>0</v>
      </c>
      <c r="AK74" s="65">
        <f>$AA74*'FZ-CZ'!R48</f>
        <v>0</v>
      </c>
      <c r="AL74" s="65">
        <f>$AA74*'FZ-CZ'!S48</f>
        <v>0</v>
      </c>
      <c r="AM74" s="65">
        <f>$AA74*'FZ-CZ'!T48</f>
        <v>0</v>
      </c>
      <c r="AN74" s="65">
        <f>$AA74*'FZ-CZ'!U48</f>
        <v>0</v>
      </c>
      <c r="AO74" s="65">
        <f>$AA74*'FZ-CZ'!V48</f>
        <v>0</v>
      </c>
      <c r="AP74" s="65">
        <f>$AA74*'FZ-CZ'!W48</f>
        <v>0</v>
      </c>
      <c r="AQ74" s="65">
        <f>$AA74*'FZ-CZ'!X48</f>
        <v>0</v>
      </c>
    </row>
    <row r="75" spans="26:43">
      <c r="Z75" s="24" t="s">
        <v>318</v>
      </c>
      <c r="AA75" s="45">
        <f>AA67</f>
        <v>7.0259434871968781E-3</v>
      </c>
      <c r="AB75" s="65">
        <f>$AA75*'FZ-CZ'!I49</f>
        <v>0</v>
      </c>
      <c r="AC75" s="65">
        <f>$AA75*'FZ-CZ'!J49</f>
        <v>0</v>
      </c>
      <c r="AD75" s="65">
        <f>$AA75*'FZ-CZ'!K49</f>
        <v>0</v>
      </c>
      <c r="AE75" s="65">
        <f>$AA75*'FZ-CZ'!L49</f>
        <v>0</v>
      </c>
      <c r="AF75" s="65">
        <f>$AA75*'FZ-CZ'!M49</f>
        <v>0</v>
      </c>
      <c r="AG75" s="65">
        <f>$AA75*'FZ-CZ'!N49</f>
        <v>0</v>
      </c>
      <c r="AH75" s="65">
        <f>$AA75*'FZ-CZ'!O49</f>
        <v>0</v>
      </c>
      <c r="AI75" s="65">
        <f>$AA75*'FZ-CZ'!P49</f>
        <v>0</v>
      </c>
      <c r="AJ75" s="65">
        <f>$AA75*'FZ-CZ'!Q49</f>
        <v>0</v>
      </c>
      <c r="AK75" s="65">
        <f>$AA75*'FZ-CZ'!R49</f>
        <v>0</v>
      </c>
      <c r="AL75" s="65">
        <f>$AA75*'FZ-CZ'!S49</f>
        <v>0</v>
      </c>
      <c r="AM75" s="65">
        <f>$AA75*'FZ-CZ'!T49</f>
        <v>0</v>
      </c>
      <c r="AN75" s="65">
        <f>$AA75*'FZ-CZ'!U49</f>
        <v>0</v>
      </c>
      <c r="AO75" s="65">
        <f>$AA75*'FZ-CZ'!V49</f>
        <v>1.7016922853659083E-6</v>
      </c>
      <c r="AP75" s="65">
        <f>$AA75*'FZ-CZ'!W49</f>
        <v>7.0242417949115121E-3</v>
      </c>
      <c r="AQ75" s="65">
        <f>$AA75*'FZ-CZ'!X49</f>
        <v>0</v>
      </c>
    </row>
    <row r="76" spans="26:43">
      <c r="Z76" s="24" t="s">
        <v>319</v>
      </c>
      <c r="AA76" s="45">
        <f>AA66</f>
        <v>0</v>
      </c>
      <c r="AB76" s="65">
        <f>$AA76*'FZ-CZ'!I50</f>
        <v>0</v>
      </c>
      <c r="AC76" s="65">
        <f>$AA76*'FZ-CZ'!J50</f>
        <v>0</v>
      </c>
      <c r="AD76" s="65">
        <f>$AA76*'FZ-CZ'!K50</f>
        <v>0</v>
      </c>
      <c r="AE76" s="65">
        <f>$AA76*'FZ-CZ'!L50</f>
        <v>0</v>
      </c>
      <c r="AF76" s="65">
        <f>$AA76*'FZ-CZ'!M50</f>
        <v>0</v>
      </c>
      <c r="AG76" s="65">
        <f>$AA76*'FZ-CZ'!N50</f>
        <v>0</v>
      </c>
      <c r="AH76" s="65">
        <f>$AA76*'FZ-CZ'!O50</f>
        <v>0</v>
      </c>
      <c r="AI76" s="65">
        <f>$AA76*'FZ-CZ'!P50</f>
        <v>0</v>
      </c>
      <c r="AJ76" s="65">
        <f>$AA76*'FZ-CZ'!Q50</f>
        <v>0</v>
      </c>
      <c r="AK76" s="65">
        <f>$AA76*'FZ-CZ'!R50</f>
        <v>0</v>
      </c>
      <c r="AL76" s="65">
        <f>$AA76*'FZ-CZ'!S50</f>
        <v>0</v>
      </c>
      <c r="AM76" s="65">
        <f>$AA76*'FZ-CZ'!T50</f>
        <v>0</v>
      </c>
      <c r="AN76" s="65">
        <f>$AA76*'FZ-CZ'!U50</f>
        <v>0</v>
      </c>
      <c r="AO76" s="65">
        <f>$AA76*'FZ-CZ'!V50</f>
        <v>0</v>
      </c>
      <c r="AP76" s="65">
        <f>$AA76*'FZ-CZ'!W50</f>
        <v>0</v>
      </c>
      <c r="AQ76" s="65">
        <f>$AA76*'FZ-CZ'!X50</f>
        <v>0</v>
      </c>
    </row>
    <row r="77" spans="26:43">
      <c r="Z77" s="24" t="s">
        <v>320</v>
      </c>
      <c r="AB77" s="66">
        <f t="shared" ref="AB77" si="23">SUM(AB56:AB76)</f>
        <v>8.7282533016324014E-3</v>
      </c>
      <c r="AC77" s="66">
        <f t="shared" ref="AC77" si="24">SUM(AC56:AC76)</f>
        <v>4.6033713536433957E-2</v>
      </c>
      <c r="AD77" s="66">
        <f t="shared" ref="AD77" si="25">SUM(AD56:AD76)</f>
        <v>1.1491160589674381E-2</v>
      </c>
      <c r="AE77" s="66">
        <f t="shared" ref="AE77" si="26">SUM(AE56:AE76)</f>
        <v>2.7499939008357658E-3</v>
      </c>
      <c r="AF77" s="66">
        <f t="shared" ref="AF77" si="27">SUM(AF56:AF76)</f>
        <v>6.0208223240944508E-4</v>
      </c>
      <c r="AG77" s="66">
        <f t="shared" ref="AG77" si="28">SUM(AG56:AG76)</f>
        <v>1.1479439427870395E-4</v>
      </c>
      <c r="AH77" s="66">
        <f t="shared" ref="AH77" si="29">SUM(AH56:AH76)</f>
        <v>1.0910323747141749E-3</v>
      </c>
      <c r="AI77" s="66">
        <f t="shared" ref="AI77" si="30">SUM(AI56:AI76)</f>
        <v>3.3666196538829271E-5</v>
      </c>
      <c r="AJ77" s="66">
        <f t="shared" ref="AJ77" si="31">SUM(AJ56:AJ76)</f>
        <v>0</v>
      </c>
      <c r="AK77" s="66">
        <f t="shared" ref="AK77" si="32">SUM(AK56:AK76)</f>
        <v>6.5343036042079866E-3</v>
      </c>
      <c r="AL77" s="66">
        <f t="shared" ref="AL77" si="33">SUM(AL56:AL76)</f>
        <v>8.0585764509044311E-2</v>
      </c>
      <c r="AM77" s="66">
        <f t="shared" ref="AM77" si="34">SUM(AM56:AM76)</f>
        <v>6.3049600747584381E-2</v>
      </c>
      <c r="AN77" s="66">
        <f t="shared" ref="AN77" si="35">SUM(AN56:AN76)</f>
        <v>2.6850361330907881E-2</v>
      </c>
      <c r="AO77" s="66">
        <f t="shared" ref="AO77" si="36">SUM(AO56:AO76)</f>
        <v>3.357500801803812E-3</v>
      </c>
      <c r="AP77" s="66">
        <f t="shared" ref="AP77" si="37">SUM(AP56:AP76)</f>
        <v>8.1364143207799475E-3</v>
      </c>
      <c r="AQ77" s="66">
        <f t="shared" ref="AQ77" si="38">SUM(AQ56:AQ76)</f>
        <v>1.9461505261741469E-2</v>
      </c>
    </row>
    <row r="78" spans="26:43">
      <c r="Z78" s="49" t="s">
        <v>321</v>
      </c>
      <c r="AB78" s="138">
        <f>AB77/(AB24+AB50+AB77)</f>
        <v>3.100145694215484E-2</v>
      </c>
      <c r="AC78" s="138">
        <f t="shared" ref="AC78:AQ78" si="39">AC77/(AC24+AC50+AC77)</f>
        <v>6.6406737208481018E-2</v>
      </c>
      <c r="AD78" s="138">
        <f t="shared" si="39"/>
        <v>1.0946392967449189E-2</v>
      </c>
      <c r="AE78" s="138">
        <f t="shared" si="39"/>
        <v>6.5469761950820637E-3</v>
      </c>
      <c r="AF78" s="138">
        <f t="shared" si="39"/>
        <v>1.9984178176727175E-3</v>
      </c>
      <c r="AG78" s="138">
        <f t="shared" si="39"/>
        <v>1.2270797504002949E-4</v>
      </c>
      <c r="AH78" s="138">
        <f t="shared" si="39"/>
        <v>1.9529347594739587E-3</v>
      </c>
      <c r="AI78" s="138">
        <f t="shared" si="39"/>
        <v>5.2471990794081334E-5</v>
      </c>
      <c r="AJ78" s="138">
        <f t="shared" si="39"/>
        <v>0</v>
      </c>
      <c r="AK78" s="138">
        <f t="shared" si="39"/>
        <v>3.7507782869606321E-3</v>
      </c>
      <c r="AL78" s="138">
        <f t="shared" si="39"/>
        <v>5.8507207003522306E-2</v>
      </c>
      <c r="AM78" s="138">
        <f t="shared" si="39"/>
        <v>2.018830560283268E-2</v>
      </c>
      <c r="AN78" s="138">
        <f t="shared" si="39"/>
        <v>1.6613655571380233E-2</v>
      </c>
      <c r="AO78" s="138">
        <f t="shared" si="39"/>
        <v>8.744293208659196E-3</v>
      </c>
      <c r="AP78" s="138">
        <f t="shared" si="39"/>
        <v>7.1202382626967941E-3</v>
      </c>
      <c r="AQ78" s="138">
        <f t="shared" si="39"/>
        <v>9.8486711828521881E-3</v>
      </c>
    </row>
  </sheetData>
  <mergeCells count="5">
    <mergeCell ref="Z1:AQ1"/>
    <mergeCell ref="F1:H1"/>
    <mergeCell ref="J1:K1"/>
    <mergeCell ref="A1:A2"/>
    <mergeCell ref="B1:D1"/>
  </mergeCells>
  <phoneticPr fontId="9" type="noConversion"/>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30C9-5C61-418E-9D38-D82374F9BCB6}">
  <sheetPr codeName="Sheet15"/>
  <dimension ref="A1:Q106"/>
  <sheetViews>
    <sheetView zoomScaleNormal="100" workbookViewId="0">
      <selection sqref="A1:E1"/>
    </sheetView>
  </sheetViews>
  <sheetFormatPr defaultColWidth="9.21875" defaultRowHeight="13.8"/>
  <cols>
    <col min="1" max="5" width="20.21875" style="561" customWidth="1"/>
    <col min="6" max="6" width="13.77734375" style="561" customWidth="1"/>
    <col min="7" max="7" width="23.21875" style="561" bestFit="1" customWidth="1"/>
    <col min="8" max="8" width="13.77734375" style="561" customWidth="1"/>
    <col min="9" max="9" width="12.21875" style="561" customWidth="1"/>
    <col min="10" max="10" width="13.77734375" style="561" customWidth="1"/>
    <col min="11" max="11" width="11.77734375" style="561" customWidth="1"/>
    <col min="12" max="12" width="13.77734375" style="561" customWidth="1"/>
    <col min="13" max="13" width="12.21875" style="561" customWidth="1"/>
    <col min="14" max="14" width="13.77734375" style="561" customWidth="1"/>
    <col min="15" max="15" width="12.21875" style="561" customWidth="1"/>
    <col min="16" max="16" width="13.77734375" style="561" customWidth="1"/>
    <col min="17" max="17" width="11.77734375" style="561" customWidth="1"/>
    <col min="18" max="19" width="10.77734375" style="561" customWidth="1"/>
    <col min="20" max="20" width="9.21875" style="561"/>
    <col min="21" max="25" width="11.21875" style="561" customWidth="1"/>
    <col min="26" max="16384" width="9.21875" style="561"/>
  </cols>
  <sheetData>
    <row r="1" spans="1:6" ht="24.6" customHeight="1">
      <c r="A1" s="762" t="s">
        <v>322</v>
      </c>
      <c r="B1" s="762"/>
      <c r="C1" s="762"/>
      <c r="D1" s="762"/>
      <c r="E1" s="762"/>
      <c r="F1" s="562"/>
    </row>
    <row r="2" spans="1:6" ht="20.55" customHeight="1">
      <c r="A2" s="556" t="s">
        <v>53</v>
      </c>
      <c r="B2" s="556" t="s">
        <v>323</v>
      </c>
      <c r="C2" s="556" t="s">
        <v>324</v>
      </c>
      <c r="D2" s="556" t="s">
        <v>325</v>
      </c>
      <c r="E2" s="556" t="s">
        <v>171</v>
      </c>
      <c r="F2" s="563"/>
    </row>
    <row r="3" spans="1:6" ht="20.55" customHeight="1">
      <c r="A3" s="559" t="str">
        <f>Zones!A3</f>
        <v>Open_Office_N</v>
      </c>
      <c r="B3" s="549">
        <v>15</v>
      </c>
      <c r="C3" s="549">
        <v>0.15</v>
      </c>
      <c r="D3" s="560">
        <f>MAX($B3*Zones!J3,$C3*Zones!G3)</f>
        <v>136.905</v>
      </c>
      <c r="E3" s="763" t="s">
        <v>326</v>
      </c>
    </row>
    <row r="4" spans="1:6" ht="20.55" customHeight="1">
      <c r="A4" s="559" t="str">
        <f>Zones!A4</f>
        <v>Closed_Office_W</v>
      </c>
      <c r="B4" s="549">
        <v>15</v>
      </c>
      <c r="C4" s="549">
        <v>0.15</v>
      </c>
      <c r="D4" s="560">
        <f>MAX($B4*Zones!J4,$C4*Zones!G4)</f>
        <v>136.26900000000001</v>
      </c>
      <c r="E4" s="764"/>
    </row>
    <row r="5" spans="1:6" ht="20.55" customHeight="1">
      <c r="A5" s="559" t="str">
        <f>Zones!A5</f>
        <v>Closed_Office_E</v>
      </c>
      <c r="B5" s="549">
        <v>15</v>
      </c>
      <c r="C5" s="549">
        <v>0.15</v>
      </c>
      <c r="D5" s="560">
        <f>MAX($B5*Zones!J5,$C5*Zones!G5)</f>
        <v>136.26900000000001</v>
      </c>
      <c r="E5" s="764"/>
    </row>
    <row r="6" spans="1:6" ht="20.55" customHeight="1">
      <c r="A6" s="559" t="str">
        <f>Zones!A6</f>
        <v>Conference</v>
      </c>
      <c r="B6" s="549">
        <v>15</v>
      </c>
      <c r="C6" s="549">
        <v>0.15</v>
      </c>
      <c r="D6" s="560">
        <f>MAX($B6*Zones!J6,$C6*Zones!G6)</f>
        <v>495</v>
      </c>
      <c r="E6" s="764"/>
    </row>
    <row r="7" spans="1:6" ht="20.55" customHeight="1">
      <c r="A7" s="559" t="str">
        <f>Zones!A7</f>
        <v>Lobby + Lounge</v>
      </c>
      <c r="B7" s="549">
        <v>15</v>
      </c>
      <c r="C7" s="549">
        <v>0.15</v>
      </c>
      <c r="D7" s="560">
        <f>MAX($B7*Zones!J7,$C7*Zones!G7)</f>
        <v>75</v>
      </c>
      <c r="E7" s="764"/>
    </row>
    <row r="8" spans="1:6" ht="20.55" customHeight="1">
      <c r="A8" s="559" t="str">
        <f>Zones!A8</f>
        <v>Storage</v>
      </c>
      <c r="B8" s="549">
        <v>15</v>
      </c>
      <c r="C8" s="549">
        <v>0.15</v>
      </c>
      <c r="D8" s="560">
        <f>MAX($B8*Zones!J8,$C8*Zones!G8)</f>
        <v>111.58199999999999</v>
      </c>
      <c r="E8" s="764"/>
    </row>
    <row r="9" spans="1:6" ht="20.55" customHeight="1">
      <c r="A9" s="559" t="str">
        <f>Zones!A9</f>
        <v>Mechanical/Electrical</v>
      </c>
      <c r="B9" s="549">
        <v>15</v>
      </c>
      <c r="C9" s="549">
        <v>0.15</v>
      </c>
      <c r="D9" s="560">
        <v>50</v>
      </c>
      <c r="E9" s="764"/>
    </row>
    <row r="10" spans="1:6" ht="20.55" customHeight="1">
      <c r="A10" s="559" t="str">
        <f>Zones!A10</f>
        <v>Restroom</v>
      </c>
      <c r="B10" s="549">
        <v>15</v>
      </c>
      <c r="C10" s="549">
        <v>0.15</v>
      </c>
      <c r="D10" s="667">
        <v>50</v>
      </c>
      <c r="E10" s="764"/>
    </row>
    <row r="11" spans="1:6" ht="20.55" customHeight="1">
      <c r="A11" s="559" t="str">
        <f>Zones!A11</f>
        <v>Break/Copy Room</v>
      </c>
      <c r="B11" s="549">
        <v>15</v>
      </c>
      <c r="C11" s="549">
        <v>0.15</v>
      </c>
      <c r="D11" s="560">
        <f>MAX($B11*Zones!J11,$C11*Zones!G11)</f>
        <v>495</v>
      </c>
      <c r="E11" s="764"/>
    </row>
    <row r="12" spans="1:6" ht="20.55" customHeight="1">
      <c r="A12" s="657" t="s">
        <v>70</v>
      </c>
      <c r="B12" s="549">
        <v>15</v>
      </c>
      <c r="C12" s="549">
        <v>0.15</v>
      </c>
      <c r="D12" s="560">
        <f>MAX($B12*Zones!J12,$C12*Zones!G12)</f>
        <v>75</v>
      </c>
      <c r="E12" s="764"/>
    </row>
    <row r="14" spans="1:6">
      <c r="A14" s="561" t="s">
        <v>327</v>
      </c>
    </row>
    <row r="19" spans="1:11" hidden="1"/>
    <row r="20" spans="1:11" ht="15.6" hidden="1">
      <c r="E20" s="564"/>
    </row>
    <row r="21" spans="1:11" s="565" customFormat="1" ht="17.399999999999999" hidden="1">
      <c r="A21" s="565" t="s">
        <v>76</v>
      </c>
      <c r="E21" s="566"/>
      <c r="F21" s="567"/>
      <c r="G21" s="568"/>
    </row>
    <row r="22" spans="1:11" hidden="1">
      <c r="A22" s="561" t="s">
        <v>328</v>
      </c>
    </row>
    <row r="23" spans="1:11" s="569" customFormat="1" ht="13.2" hidden="1"/>
    <row r="24" spans="1:11" s="569" customFormat="1" ht="13.2" hidden="1">
      <c r="B24" s="760" t="s">
        <v>329</v>
      </c>
      <c r="C24" s="761"/>
      <c r="D24" s="760" t="s">
        <v>330</v>
      </c>
      <c r="E24" s="761"/>
      <c r="G24" s="570" t="s">
        <v>331</v>
      </c>
    </row>
    <row r="25" spans="1:11" s="569" customFormat="1" ht="26.4" hidden="1">
      <c r="A25" s="571" t="s">
        <v>332</v>
      </c>
      <c r="B25" s="572" t="s">
        <v>333</v>
      </c>
      <c r="C25" s="573" t="s">
        <v>334</v>
      </c>
      <c r="D25" s="572" t="s">
        <v>333</v>
      </c>
      <c r="E25" s="573" t="s">
        <v>334</v>
      </c>
      <c r="F25" s="574" t="s">
        <v>82</v>
      </c>
      <c r="G25" s="570" t="s">
        <v>335</v>
      </c>
      <c r="H25" s="575"/>
      <c r="I25" s="575"/>
      <c r="J25" s="575"/>
      <c r="K25" s="575"/>
    </row>
    <row r="26" spans="1:11" s="569" customFormat="1" ht="13.2" hidden="1">
      <c r="A26" s="576" t="s">
        <v>282</v>
      </c>
      <c r="B26" s="577">
        <v>717924.25294342241</v>
      </c>
      <c r="C26" s="578">
        <v>0.9309744841257237</v>
      </c>
      <c r="D26" s="577">
        <v>5720.4277401025938</v>
      </c>
      <c r="E26" s="579">
        <v>7.4180141463199532E-3</v>
      </c>
      <c r="F26" s="580">
        <v>771153.52266353823</v>
      </c>
      <c r="G26" s="570" t="s">
        <v>336</v>
      </c>
    </row>
    <row r="27" spans="1:11" s="569" customFormat="1" ht="13.2" hidden="1">
      <c r="A27" s="576" t="s">
        <v>337</v>
      </c>
      <c r="B27" s="577">
        <v>110607.69151831744</v>
      </c>
      <c r="C27" s="578">
        <v>0.92484767218191266</v>
      </c>
      <c r="D27" s="577">
        <v>110607.69151831744</v>
      </c>
      <c r="E27" s="578">
        <v>0.92484767218191266</v>
      </c>
      <c r="F27" s="580">
        <v>119595.57756940703</v>
      </c>
      <c r="G27" s="570" t="s">
        <v>338</v>
      </c>
    </row>
    <row r="28" spans="1:11" s="569" customFormat="1" ht="13.2" hidden="1">
      <c r="A28" s="576" t="s">
        <v>339</v>
      </c>
      <c r="B28" s="577">
        <v>28894.051733852164</v>
      </c>
      <c r="C28" s="578">
        <v>0.8595072224279624</v>
      </c>
      <c r="D28" s="577">
        <v>0</v>
      </c>
      <c r="E28" s="578">
        <v>0</v>
      </c>
      <c r="F28" s="580">
        <v>33616.997018630456</v>
      </c>
      <c r="G28" s="570" t="s">
        <v>340</v>
      </c>
    </row>
    <row r="29" spans="1:11" s="569" customFormat="1" ht="13.2" hidden="1">
      <c r="A29" s="576" t="s">
        <v>341</v>
      </c>
      <c r="B29" s="577">
        <v>9152.9952699009009</v>
      </c>
      <c r="C29" s="578">
        <v>0.97318827452447643</v>
      </c>
      <c r="D29" s="577">
        <v>0</v>
      </c>
      <c r="E29" s="578">
        <v>0</v>
      </c>
      <c r="F29" s="580">
        <v>9405.163943609241</v>
      </c>
      <c r="G29" s="570" t="s">
        <v>342</v>
      </c>
    </row>
    <row r="30" spans="1:11" s="569" customFormat="1" ht="13.2" hidden="1">
      <c r="A30" s="576" t="s">
        <v>343</v>
      </c>
      <c r="B30" s="577">
        <v>40764.034997626601</v>
      </c>
      <c r="C30" s="578">
        <v>0.90087602515008536</v>
      </c>
      <c r="D30" s="577">
        <v>40764.034997626601</v>
      </c>
      <c r="E30" s="578">
        <v>0.90087602515008536</v>
      </c>
      <c r="F30" s="580">
        <v>45249.328275591914</v>
      </c>
      <c r="G30" s="570" t="s">
        <v>344</v>
      </c>
    </row>
    <row r="31" spans="1:11" s="569" customFormat="1" ht="13.2" hidden="1">
      <c r="A31" s="576" t="s">
        <v>345</v>
      </c>
      <c r="B31" s="577">
        <v>40651.536546315227</v>
      </c>
      <c r="C31" s="578">
        <v>0.94203038334776124</v>
      </c>
      <c r="D31" s="577">
        <v>0</v>
      </c>
      <c r="E31" s="578">
        <v>0</v>
      </c>
      <c r="F31" s="580">
        <v>43153.10553131943</v>
      </c>
    </row>
    <row r="32" spans="1:11" s="569" customFormat="1" ht="13.2" hidden="1">
      <c r="A32" s="576" t="s">
        <v>346</v>
      </c>
      <c r="B32" s="577">
        <v>33601.15447699275</v>
      </c>
      <c r="C32" s="578">
        <v>0.96127371467692235</v>
      </c>
      <c r="D32" s="577">
        <v>33601.15447699275</v>
      </c>
      <c r="E32" s="578">
        <v>0.96127371467692235</v>
      </c>
      <c r="F32" s="580">
        <v>34954.825003496393</v>
      </c>
    </row>
    <row r="33" spans="1:13" s="569" customFormat="1" ht="13.2" hidden="1">
      <c r="A33" s="576" t="s">
        <v>347</v>
      </c>
      <c r="B33" s="577">
        <v>162052.06139564686</v>
      </c>
      <c r="C33" s="578">
        <v>0.96386078925189944</v>
      </c>
      <c r="D33" s="577">
        <v>162052.06139564686</v>
      </c>
      <c r="E33" s="578">
        <v>0.96386078925189944</v>
      </c>
      <c r="F33" s="580">
        <v>168128.07741813373</v>
      </c>
    </row>
    <row r="34" spans="1:13" s="569" customFormat="1" ht="13.2" hidden="1">
      <c r="A34" s="576" t="s">
        <v>348</v>
      </c>
      <c r="B34" s="577">
        <v>22464.065903732335</v>
      </c>
      <c r="C34" s="578">
        <v>0.92712279702139999</v>
      </c>
      <c r="D34" s="577">
        <v>0</v>
      </c>
      <c r="E34" s="578">
        <v>0</v>
      </c>
      <c r="F34" s="580">
        <v>24229.871141021908</v>
      </c>
    </row>
    <row r="35" spans="1:13" s="569" customFormat="1" ht="13.2" hidden="1">
      <c r="A35" s="576" t="s">
        <v>349</v>
      </c>
      <c r="B35" s="577">
        <v>11190.390501888336</v>
      </c>
      <c r="C35" s="578">
        <v>0.95705946257538421</v>
      </c>
      <c r="D35" s="577">
        <v>0</v>
      </c>
      <c r="E35" s="578">
        <v>0</v>
      </c>
      <c r="F35" s="580">
        <v>11692.471512455173</v>
      </c>
    </row>
    <row r="36" spans="1:13" s="569" customFormat="1" ht="13.2" hidden="1">
      <c r="A36" s="576" t="s">
        <v>350</v>
      </c>
      <c r="B36" s="577">
        <v>31510.450150162214</v>
      </c>
      <c r="C36" s="578">
        <v>0.93602621601366132</v>
      </c>
      <c r="D36" s="577">
        <v>0</v>
      </c>
      <c r="E36" s="578">
        <v>0</v>
      </c>
      <c r="F36" s="580">
        <v>33664.067962069043</v>
      </c>
    </row>
    <row r="37" spans="1:13" s="569" customFormat="1" ht="13.2" hidden="1">
      <c r="A37" s="576" t="s">
        <v>351</v>
      </c>
      <c r="B37" s="577">
        <v>34908.686615500919</v>
      </c>
      <c r="C37" s="578">
        <v>0.9809064600617533</v>
      </c>
      <c r="D37" s="577">
        <v>0</v>
      </c>
      <c r="E37" s="578">
        <v>0</v>
      </c>
      <c r="F37" s="580">
        <v>35588.191164836688</v>
      </c>
    </row>
    <row r="38" spans="1:13" s="569" customFormat="1" ht="13.2" hidden="1">
      <c r="A38" s="576" t="s">
        <v>352</v>
      </c>
      <c r="B38" s="577">
        <v>60257.385810779408</v>
      </c>
      <c r="C38" s="578">
        <v>0.9069505064228327</v>
      </c>
      <c r="D38" s="577">
        <v>60257.385810779408</v>
      </c>
      <c r="E38" s="578">
        <v>0.9069505064228327</v>
      </c>
      <c r="F38" s="580">
        <v>66439.55252690117</v>
      </c>
    </row>
    <row r="39" spans="1:13" s="569" customFormat="1" ht="13.2" hidden="1">
      <c r="A39" s="576" t="s">
        <v>353</v>
      </c>
      <c r="B39" s="577">
        <v>18564.584619094585</v>
      </c>
      <c r="C39" s="578">
        <v>0.87868960305597377</v>
      </c>
      <c r="D39" s="577">
        <v>18564.584619094585</v>
      </c>
      <c r="E39" s="578">
        <v>0.87868960305597377</v>
      </c>
      <c r="F39" s="580">
        <v>21127.579698825677</v>
      </c>
    </row>
    <row r="40" spans="1:13" s="569" customFormat="1" ht="13.2" hidden="1">
      <c r="A40" s="576" t="s">
        <v>354</v>
      </c>
      <c r="B40" s="577">
        <v>25391.210127699393</v>
      </c>
      <c r="C40" s="578">
        <v>0.87254045332653163</v>
      </c>
      <c r="D40" s="577">
        <v>25391.210127699393</v>
      </c>
      <c r="E40" s="578">
        <v>0.87254045332653163</v>
      </c>
      <c r="F40" s="580">
        <v>29100.324266796182</v>
      </c>
    </row>
    <row r="41" spans="1:13" s="569" customFormat="1" ht="13.2" hidden="1">
      <c r="A41" s="576" t="s">
        <v>355</v>
      </c>
      <c r="B41" s="577">
        <v>35458.851270737847</v>
      </c>
      <c r="C41" s="578">
        <v>0.91743581518541284</v>
      </c>
      <c r="D41" s="577">
        <v>35458.851270737847</v>
      </c>
      <c r="E41" s="578">
        <v>0.91743581518541284</v>
      </c>
      <c r="F41" s="580">
        <v>38649.95314530169</v>
      </c>
    </row>
    <row r="42" spans="1:13" s="569" customFormat="1" ht="13.2" hidden="1">
      <c r="A42" s="576" t="s">
        <v>356</v>
      </c>
      <c r="B42" s="577">
        <v>13427.377287087003</v>
      </c>
      <c r="C42" s="578">
        <v>0.91735432268343486</v>
      </c>
      <c r="D42" s="577">
        <v>0</v>
      </c>
      <c r="E42" s="578">
        <v>0</v>
      </c>
      <c r="F42" s="580">
        <v>14637.067657575741</v>
      </c>
    </row>
    <row r="43" spans="1:13" s="569" customFormat="1" ht="13.2" hidden="1"/>
    <row r="44" spans="1:13" s="569" customFormat="1" ht="13.2" hidden="1"/>
    <row r="45" spans="1:13" s="569" customFormat="1" ht="13.2" hidden="1"/>
    <row r="46" spans="1:13" s="569" customFormat="1" ht="13.2" hidden="1">
      <c r="B46" s="757" t="s">
        <v>357</v>
      </c>
      <c r="C46" s="758"/>
      <c r="D46" s="758"/>
      <c r="E46" s="758"/>
      <c r="F46" s="758"/>
      <c r="G46" s="759"/>
      <c r="H46" s="757" t="s">
        <v>358</v>
      </c>
      <c r="I46" s="758"/>
      <c r="J46" s="758"/>
      <c r="K46" s="758"/>
      <c r="L46" s="758"/>
      <c r="M46" s="759"/>
    </row>
    <row r="47" spans="1:13" s="569" customFormat="1" ht="26.4" hidden="1">
      <c r="A47" s="581" t="s">
        <v>332</v>
      </c>
      <c r="B47" s="582" t="s">
        <v>262</v>
      </c>
      <c r="C47" s="583" t="s">
        <v>124</v>
      </c>
      <c r="D47" s="583" t="s">
        <v>126</v>
      </c>
      <c r="E47" s="584" t="s">
        <v>127</v>
      </c>
      <c r="F47" s="585" t="s">
        <v>264</v>
      </c>
      <c r="G47" s="586" t="s">
        <v>82</v>
      </c>
      <c r="H47" s="582" t="s">
        <v>262</v>
      </c>
      <c r="I47" s="583" t="s">
        <v>124</v>
      </c>
      <c r="J47" s="583" t="s">
        <v>126</v>
      </c>
      <c r="K47" s="584" t="s">
        <v>127</v>
      </c>
      <c r="L47" s="585" t="s">
        <v>264</v>
      </c>
      <c r="M47" s="586" t="s">
        <v>82</v>
      </c>
    </row>
    <row r="48" spans="1:13" s="569" customFormat="1" ht="13.2" hidden="1">
      <c r="A48" s="576" t="s">
        <v>282</v>
      </c>
      <c r="B48" s="587">
        <v>282213.6856381119</v>
      </c>
      <c r="C48" s="580">
        <v>242811.90431002263</v>
      </c>
      <c r="D48" s="580">
        <v>96185.023726644518</v>
      </c>
      <c r="E48" s="580">
        <v>35649.027644729496</v>
      </c>
      <c r="F48" s="580">
        <v>61064.611623915269</v>
      </c>
      <c r="G48" s="588">
        <v>717924.25294342241</v>
      </c>
      <c r="H48" s="587">
        <v>5143.4964615580266</v>
      </c>
      <c r="I48" s="580">
        <v>382.5794747915719</v>
      </c>
      <c r="J48" s="580">
        <v>194.35180375299507</v>
      </c>
      <c r="K48" s="580">
        <v>0</v>
      </c>
      <c r="L48" s="580">
        <v>0</v>
      </c>
      <c r="M48" s="588">
        <v>5720.4277401025938</v>
      </c>
    </row>
    <row r="49" spans="1:13" s="569" customFormat="1" ht="13.2" hidden="1">
      <c r="A49" s="576" t="s">
        <v>337</v>
      </c>
      <c r="B49" s="587">
        <v>54414.231363500447</v>
      </c>
      <c r="C49" s="580">
        <v>32999.721957680755</v>
      </c>
      <c r="D49" s="580">
        <v>11122.253310580303</v>
      </c>
      <c r="E49" s="580">
        <v>4603.0503982381479</v>
      </c>
      <c r="F49" s="580">
        <v>7468.4344883178173</v>
      </c>
      <c r="G49" s="588">
        <v>110607.69151831744</v>
      </c>
      <c r="H49" s="587">
        <v>54414.231363500447</v>
      </c>
      <c r="I49" s="580">
        <v>0</v>
      </c>
      <c r="J49" s="580">
        <v>11122.253310580303</v>
      </c>
      <c r="K49" s="580">
        <v>4603.0503982381479</v>
      </c>
      <c r="L49" s="580">
        <v>7468.4344883178173</v>
      </c>
      <c r="M49" s="588">
        <v>110607.69151831744</v>
      </c>
    </row>
    <row r="50" spans="1:13" s="569" customFormat="1" ht="13.2" hidden="1">
      <c r="A50" s="576" t="s">
        <v>339</v>
      </c>
      <c r="B50" s="587">
        <v>13141.098416463979</v>
      </c>
      <c r="C50" s="580">
        <v>9647.915966147466</v>
      </c>
      <c r="D50" s="580">
        <v>3659.6977019968758</v>
      </c>
      <c r="E50" s="580">
        <v>1714.0382895377147</v>
      </c>
      <c r="F50" s="580">
        <v>731.30135970610877</v>
      </c>
      <c r="G50" s="588">
        <v>28894.051733852164</v>
      </c>
      <c r="H50" s="587">
        <v>0</v>
      </c>
      <c r="I50" s="580">
        <v>0</v>
      </c>
      <c r="J50" s="580">
        <v>0</v>
      </c>
      <c r="K50" s="580">
        <v>0</v>
      </c>
      <c r="L50" s="580">
        <v>0</v>
      </c>
      <c r="M50" s="588">
        <v>0</v>
      </c>
    </row>
    <row r="51" spans="1:13" s="569" customFormat="1" ht="13.2" hidden="1">
      <c r="A51" s="576" t="s">
        <v>341</v>
      </c>
      <c r="B51" s="587">
        <v>3193.2901698164151</v>
      </c>
      <c r="C51" s="580">
        <v>2796.6371171970573</v>
      </c>
      <c r="D51" s="580">
        <v>1418.2922608412782</v>
      </c>
      <c r="E51" s="580">
        <v>560.05876995086192</v>
      </c>
      <c r="F51" s="580">
        <v>1184.7169520952884</v>
      </c>
      <c r="G51" s="588">
        <v>9152.9952699009009</v>
      </c>
      <c r="H51" s="587">
        <v>0</v>
      </c>
      <c r="I51" s="580">
        <v>0</v>
      </c>
      <c r="J51" s="580">
        <v>0</v>
      </c>
      <c r="K51" s="580">
        <v>0</v>
      </c>
      <c r="L51" s="580">
        <v>0</v>
      </c>
      <c r="M51" s="588">
        <v>0</v>
      </c>
    </row>
    <row r="52" spans="1:13" s="569" customFormat="1" ht="13.2" hidden="1">
      <c r="A52" s="576" t="s">
        <v>343</v>
      </c>
      <c r="B52" s="587">
        <v>4769.6280577688785</v>
      </c>
      <c r="C52" s="580">
        <v>13172.607264945389</v>
      </c>
      <c r="D52" s="580">
        <v>17791.129909999563</v>
      </c>
      <c r="E52" s="580">
        <v>2050.2791221276198</v>
      </c>
      <c r="F52" s="580">
        <v>2980.3906427851557</v>
      </c>
      <c r="G52" s="588">
        <v>40764.034997626601</v>
      </c>
      <c r="H52" s="587">
        <v>0</v>
      </c>
      <c r="I52" s="580">
        <v>0</v>
      </c>
      <c r="J52" s="580">
        <v>17791.129909999563</v>
      </c>
      <c r="K52" s="580">
        <v>0</v>
      </c>
      <c r="L52" s="580">
        <v>0</v>
      </c>
      <c r="M52" s="588">
        <v>40764.034997626601</v>
      </c>
    </row>
    <row r="53" spans="1:13" s="569" customFormat="1" ht="13.2" hidden="1">
      <c r="A53" s="576" t="s">
        <v>345</v>
      </c>
      <c r="B53" s="587">
        <v>11153.23918134357</v>
      </c>
      <c r="C53" s="580">
        <v>13335.886831329419</v>
      </c>
      <c r="D53" s="580">
        <v>9354.7826426589454</v>
      </c>
      <c r="E53" s="580">
        <v>3829.8506983662564</v>
      </c>
      <c r="F53" s="580">
        <v>2977.7771926170335</v>
      </c>
      <c r="G53" s="588">
        <v>40651.536546315227</v>
      </c>
      <c r="H53" s="587">
        <v>0</v>
      </c>
      <c r="I53" s="580">
        <v>0</v>
      </c>
      <c r="J53" s="580">
        <v>0</v>
      </c>
      <c r="K53" s="580">
        <v>0</v>
      </c>
      <c r="L53" s="580">
        <v>0</v>
      </c>
      <c r="M53" s="588">
        <v>0</v>
      </c>
    </row>
    <row r="54" spans="1:13" s="569" customFormat="1" ht="13.2" hidden="1">
      <c r="A54" s="576" t="s">
        <v>346</v>
      </c>
      <c r="B54" s="587">
        <v>12261.901352864996</v>
      </c>
      <c r="C54" s="580">
        <v>10666.380316733887</v>
      </c>
      <c r="D54" s="580">
        <v>2831.2619452424615</v>
      </c>
      <c r="E54" s="580">
        <v>1071.4579372409655</v>
      </c>
      <c r="F54" s="580">
        <v>6770.1529249104369</v>
      </c>
      <c r="G54" s="588">
        <v>33601.15447699275</v>
      </c>
      <c r="H54" s="587">
        <v>12261.901352864996</v>
      </c>
      <c r="I54" s="580">
        <v>10666.380316733887</v>
      </c>
      <c r="J54" s="580">
        <v>0</v>
      </c>
      <c r="K54" s="580">
        <v>0</v>
      </c>
      <c r="L54" s="580">
        <v>0</v>
      </c>
      <c r="M54" s="588">
        <v>33601.15447699275</v>
      </c>
    </row>
    <row r="55" spans="1:13" s="569" customFormat="1" ht="13.2" hidden="1">
      <c r="A55" s="576" t="s">
        <v>347</v>
      </c>
      <c r="B55" s="587">
        <v>80605.784669613422</v>
      </c>
      <c r="C55" s="580">
        <v>49236.975044343228</v>
      </c>
      <c r="D55" s="580">
        <v>10354.364803989591</v>
      </c>
      <c r="E55" s="580">
        <v>5701.2154339954186</v>
      </c>
      <c r="F55" s="580">
        <v>16153.721443705144</v>
      </c>
      <c r="G55" s="588">
        <v>162052.06139564686</v>
      </c>
      <c r="H55" s="587">
        <v>80605.784669613422</v>
      </c>
      <c r="I55" s="580">
        <v>0</v>
      </c>
      <c r="J55" s="580">
        <v>0</v>
      </c>
      <c r="K55" s="580">
        <v>0</v>
      </c>
      <c r="L55" s="580">
        <v>0</v>
      </c>
      <c r="M55" s="588">
        <v>162052.06139564686</v>
      </c>
    </row>
    <row r="56" spans="1:13" s="569" customFormat="1" ht="13.2" hidden="1">
      <c r="A56" s="576" t="s">
        <v>348</v>
      </c>
      <c r="B56" s="587">
        <v>6525.3198581264696</v>
      </c>
      <c r="C56" s="580">
        <v>10968.355036489755</v>
      </c>
      <c r="D56" s="580">
        <v>2306.1578987433923</v>
      </c>
      <c r="E56" s="580">
        <v>2050.2475039919823</v>
      </c>
      <c r="F56" s="580">
        <v>613.98560638074491</v>
      </c>
      <c r="G56" s="588">
        <v>22464.065903732335</v>
      </c>
      <c r="H56" s="587">
        <v>0</v>
      </c>
      <c r="I56" s="580">
        <v>0</v>
      </c>
      <c r="J56" s="580">
        <v>0</v>
      </c>
      <c r="K56" s="580">
        <v>0</v>
      </c>
      <c r="L56" s="580">
        <v>0</v>
      </c>
      <c r="M56" s="588">
        <v>0</v>
      </c>
    </row>
    <row r="57" spans="1:13" s="569" customFormat="1" ht="13.2" hidden="1">
      <c r="A57" s="576" t="s">
        <v>349</v>
      </c>
      <c r="B57" s="587">
        <v>2791.165376195032</v>
      </c>
      <c r="C57" s="580">
        <v>2824.4311314125794</v>
      </c>
      <c r="D57" s="580">
        <v>2664.3978681879853</v>
      </c>
      <c r="E57" s="580">
        <v>951.79973030611598</v>
      </c>
      <c r="F57" s="580">
        <v>1958.5963957866206</v>
      </c>
      <c r="G57" s="588">
        <v>11190.390501888336</v>
      </c>
      <c r="H57" s="587">
        <v>0</v>
      </c>
      <c r="I57" s="580">
        <v>0</v>
      </c>
      <c r="J57" s="580">
        <v>0</v>
      </c>
      <c r="K57" s="580">
        <v>0</v>
      </c>
      <c r="L57" s="580">
        <v>0</v>
      </c>
      <c r="M57" s="588">
        <v>0</v>
      </c>
    </row>
    <row r="58" spans="1:13" s="569" customFormat="1" ht="13.2" hidden="1">
      <c r="A58" s="576" t="s">
        <v>350</v>
      </c>
      <c r="B58" s="587">
        <v>7579.1686274047861</v>
      </c>
      <c r="C58" s="580">
        <v>10386.010993909897</v>
      </c>
      <c r="D58" s="580">
        <v>7421.6188471942942</v>
      </c>
      <c r="E58" s="580">
        <v>2642.637820670222</v>
      </c>
      <c r="F58" s="580">
        <v>3481.0138609830233</v>
      </c>
      <c r="G58" s="588">
        <v>31510.450150162214</v>
      </c>
      <c r="H58" s="587">
        <v>0</v>
      </c>
      <c r="I58" s="580">
        <v>0</v>
      </c>
      <c r="J58" s="580">
        <v>0</v>
      </c>
      <c r="K58" s="580">
        <v>0</v>
      </c>
      <c r="L58" s="580">
        <v>0</v>
      </c>
      <c r="M58" s="588">
        <v>0</v>
      </c>
    </row>
    <row r="59" spans="1:13" s="569" customFormat="1" ht="13.2" hidden="1">
      <c r="A59" s="576" t="s">
        <v>351</v>
      </c>
      <c r="B59" s="587">
        <v>5363.5935420605965</v>
      </c>
      <c r="C59" s="580">
        <v>12676.290359257242</v>
      </c>
      <c r="D59" s="580">
        <v>7990.6575004744682</v>
      </c>
      <c r="E59" s="580">
        <v>4097.6865638964509</v>
      </c>
      <c r="F59" s="580">
        <v>4780.4586498121407</v>
      </c>
      <c r="G59" s="588">
        <v>34908.686615500919</v>
      </c>
      <c r="H59" s="587">
        <v>0</v>
      </c>
      <c r="I59" s="580">
        <v>0</v>
      </c>
      <c r="J59" s="580">
        <v>0</v>
      </c>
      <c r="K59" s="580">
        <v>0</v>
      </c>
      <c r="L59" s="580">
        <v>0</v>
      </c>
      <c r="M59" s="588">
        <v>0</v>
      </c>
    </row>
    <row r="60" spans="1:13" s="569" customFormat="1" ht="13.2" hidden="1">
      <c r="A60" s="576" t="s">
        <v>352</v>
      </c>
      <c r="B60" s="587">
        <v>15464.376805658367</v>
      </c>
      <c r="C60" s="580">
        <v>33781.677066732263</v>
      </c>
      <c r="D60" s="580">
        <v>6158.0382724230894</v>
      </c>
      <c r="E60" s="580">
        <v>2245.6254361515726</v>
      </c>
      <c r="F60" s="580">
        <v>2607.6682298140699</v>
      </c>
      <c r="G60" s="588">
        <v>60257.385810779408</v>
      </c>
      <c r="H60" s="587">
        <v>15464.376805658367</v>
      </c>
      <c r="I60" s="580">
        <v>33781.677066732263</v>
      </c>
      <c r="J60" s="580">
        <v>0</v>
      </c>
      <c r="K60" s="580">
        <v>0</v>
      </c>
      <c r="L60" s="580">
        <v>0</v>
      </c>
      <c r="M60" s="588">
        <v>60257.385810779408</v>
      </c>
    </row>
    <row r="61" spans="1:13" s="569" customFormat="1" ht="13.2" hidden="1">
      <c r="A61" s="576" t="s">
        <v>353</v>
      </c>
      <c r="B61" s="587">
        <v>6659.2890374103326</v>
      </c>
      <c r="C61" s="580">
        <v>5922.0061045190896</v>
      </c>
      <c r="D61" s="580">
        <v>2160.3566863970491</v>
      </c>
      <c r="E61" s="580">
        <v>143.21594523859827</v>
      </c>
      <c r="F61" s="580">
        <v>3679.7168455295136</v>
      </c>
      <c r="G61" s="588">
        <v>18564.584619094585</v>
      </c>
      <c r="H61" s="587">
        <v>6659.2890374103326</v>
      </c>
      <c r="I61" s="580">
        <v>0</v>
      </c>
      <c r="J61" s="580">
        <v>0</v>
      </c>
      <c r="K61" s="580">
        <v>0</v>
      </c>
      <c r="L61" s="580">
        <v>3679.7168455295136</v>
      </c>
      <c r="M61" s="588">
        <v>18564.584619094585</v>
      </c>
    </row>
    <row r="62" spans="1:13" s="569" customFormat="1" ht="13.2" hidden="1">
      <c r="A62" s="576" t="s">
        <v>354</v>
      </c>
      <c r="B62" s="587">
        <v>8753.6669242583102</v>
      </c>
      <c r="C62" s="580">
        <v>10325.815710979356</v>
      </c>
      <c r="D62" s="580">
        <v>4770.6935408574054</v>
      </c>
      <c r="E62" s="580">
        <v>1039.1204391532453</v>
      </c>
      <c r="F62" s="580">
        <v>501.91351245108672</v>
      </c>
      <c r="G62" s="588">
        <v>25391.210127699393</v>
      </c>
      <c r="H62" s="587">
        <v>8753.6669242583102</v>
      </c>
      <c r="I62" s="580">
        <v>10325.815710979356</v>
      </c>
      <c r="J62" s="580">
        <v>0</v>
      </c>
      <c r="K62" s="580">
        <v>0</v>
      </c>
      <c r="L62" s="580">
        <v>0</v>
      </c>
      <c r="M62" s="588">
        <v>25391.210127699393</v>
      </c>
    </row>
    <row r="63" spans="1:13" s="569" customFormat="1" ht="13.2" hidden="1">
      <c r="A63" s="576" t="s">
        <v>355</v>
      </c>
      <c r="B63" s="587">
        <v>25755.64886759999</v>
      </c>
      <c r="C63" s="580">
        <v>8207.2074231950155</v>
      </c>
      <c r="D63" s="580">
        <v>952.52012724319161</v>
      </c>
      <c r="E63" s="580">
        <v>0</v>
      </c>
      <c r="F63" s="580">
        <v>543.47485269963977</v>
      </c>
      <c r="G63" s="588">
        <v>35458.851270737847</v>
      </c>
      <c r="H63" s="587">
        <v>25755.64886759999</v>
      </c>
      <c r="I63" s="580">
        <v>0</v>
      </c>
      <c r="J63" s="580">
        <v>0</v>
      </c>
      <c r="K63" s="580">
        <v>0</v>
      </c>
      <c r="L63" s="580">
        <v>0</v>
      </c>
      <c r="M63" s="588">
        <v>35458.851270737847</v>
      </c>
    </row>
    <row r="64" spans="1:13" s="569" customFormat="1" ht="13.2" hidden="1">
      <c r="A64" s="576" t="s">
        <v>356</v>
      </c>
      <c r="B64" s="587">
        <v>8440.6119100051619</v>
      </c>
      <c r="C64" s="580">
        <v>2664.270108670979</v>
      </c>
      <c r="D64" s="580">
        <v>0</v>
      </c>
      <c r="E64" s="580">
        <v>1010.7947657491204</v>
      </c>
      <c r="F64" s="580">
        <v>1311.7005026617444</v>
      </c>
      <c r="G64" s="588">
        <v>13427.377287087003</v>
      </c>
      <c r="H64" s="587">
        <v>0</v>
      </c>
      <c r="I64" s="580">
        <v>0</v>
      </c>
      <c r="J64" s="580">
        <v>0</v>
      </c>
      <c r="K64" s="580">
        <v>0</v>
      </c>
      <c r="L64" s="580">
        <v>0</v>
      </c>
      <c r="M64" s="588">
        <v>0</v>
      </c>
    </row>
    <row r="65" spans="1:17" s="569" customFormat="1" ht="13.2" hidden="1"/>
    <row r="66" spans="1:17" s="569" customFormat="1" ht="13.2" hidden="1"/>
    <row r="67" spans="1:17" s="569" customFormat="1" ht="13.2" hidden="1"/>
    <row r="68" spans="1:17" s="569" customFormat="1" ht="41.55" hidden="1" customHeight="1">
      <c r="A68" s="571" t="s">
        <v>359</v>
      </c>
      <c r="B68" s="571" t="s">
        <v>332</v>
      </c>
      <c r="C68" s="574" t="s">
        <v>360</v>
      </c>
      <c r="D68" s="574" t="s">
        <v>361</v>
      </c>
      <c r="E68" s="574" t="s">
        <v>362</v>
      </c>
      <c r="F68" s="574" t="s">
        <v>363</v>
      </c>
      <c r="G68" s="574" t="s">
        <v>364</v>
      </c>
      <c r="H68" s="574" t="s">
        <v>365</v>
      </c>
      <c r="I68" s="574" t="s">
        <v>366</v>
      </c>
      <c r="J68" s="574" t="s">
        <v>367</v>
      </c>
      <c r="K68" s="574" t="s">
        <v>368</v>
      </c>
      <c r="L68" s="574" t="s">
        <v>369</v>
      </c>
      <c r="M68" s="574" t="s">
        <v>370</v>
      </c>
      <c r="N68" s="574" t="s">
        <v>371</v>
      </c>
      <c r="O68" s="574" t="s">
        <v>82</v>
      </c>
      <c r="P68" s="589" t="s">
        <v>372</v>
      </c>
      <c r="Q68" s="589"/>
    </row>
    <row r="69" spans="1:17" s="569" customFormat="1" ht="13.2" hidden="1">
      <c r="A69" s="590" t="s">
        <v>373</v>
      </c>
      <c r="B69" s="576" t="s">
        <v>282</v>
      </c>
      <c r="C69" s="591">
        <v>1.7104423998247367E-2</v>
      </c>
      <c r="D69" s="592">
        <v>1.2417275280612724E-2</v>
      </c>
      <c r="E69" s="592">
        <v>7.9352165650239809E-3</v>
      </c>
      <c r="F69" s="592">
        <v>8.9418436640751799E-3</v>
      </c>
      <c r="G69" s="592">
        <v>1.084758628833558E-2</v>
      </c>
      <c r="H69" s="592">
        <v>1.7519214545401833E-2</v>
      </c>
      <c r="I69" s="592">
        <v>1.0034892613347135E-2</v>
      </c>
      <c r="J69" s="592">
        <v>1.6942774731770888E-2</v>
      </c>
      <c r="K69" s="592">
        <v>1.5237651615982605E-2</v>
      </c>
      <c r="L69" s="592">
        <v>1.8299130590724383E-2</v>
      </c>
      <c r="M69" s="592">
        <v>2.606146976085812E-2</v>
      </c>
      <c r="N69" s="592">
        <v>0.83865852034562083</v>
      </c>
      <c r="O69" s="592">
        <v>1.0000000000000007</v>
      </c>
    </row>
    <row r="70" spans="1:17" s="569" customFormat="1" ht="13.2" hidden="1">
      <c r="A70" s="590" t="s">
        <v>373</v>
      </c>
      <c r="B70" s="576" t="s">
        <v>337</v>
      </c>
      <c r="C70" s="591">
        <v>3.0728995969114103E-2</v>
      </c>
      <c r="D70" s="592">
        <v>2.2382608405686212E-2</v>
      </c>
      <c r="E70" s="592">
        <v>0</v>
      </c>
      <c r="F70" s="592">
        <v>1.1874108115510719E-2</v>
      </c>
      <c r="G70" s="592">
        <v>5.146991508703444E-3</v>
      </c>
      <c r="H70" s="592">
        <v>3.1133885860221335E-3</v>
      </c>
      <c r="I70" s="592">
        <v>3.5120950567483749E-3</v>
      </c>
      <c r="J70" s="592">
        <v>1.9879787016385844E-2</v>
      </c>
      <c r="K70" s="592">
        <v>1.2528377378375715E-2</v>
      </c>
      <c r="L70" s="592">
        <v>1.4572406178617625E-2</v>
      </c>
      <c r="M70" s="592">
        <v>3.127567120859108E-2</v>
      </c>
      <c r="N70" s="592">
        <v>0.84498557057624468</v>
      </c>
      <c r="O70" s="592">
        <v>1</v>
      </c>
    </row>
    <row r="71" spans="1:17" s="569" customFormat="1" ht="13.2" hidden="1">
      <c r="A71" s="590" t="s">
        <v>373</v>
      </c>
      <c r="B71" s="576" t="s">
        <v>339</v>
      </c>
      <c r="C71" s="591">
        <v>0</v>
      </c>
      <c r="D71" s="592">
        <v>6.0807087809559082E-2</v>
      </c>
      <c r="E71" s="592">
        <v>0</v>
      </c>
      <c r="F71" s="592">
        <v>1.3298957002370836E-3</v>
      </c>
      <c r="G71" s="592">
        <v>3.7010845538403255E-3</v>
      </c>
      <c r="H71" s="592">
        <v>6.4598828168682718E-2</v>
      </c>
      <c r="I71" s="592">
        <v>2.5150962376568969E-2</v>
      </c>
      <c r="J71" s="592">
        <v>3.6562088787012018E-2</v>
      </c>
      <c r="K71" s="592">
        <v>2.1140770299136569E-2</v>
      </c>
      <c r="L71" s="592">
        <v>2.5676249116899898E-2</v>
      </c>
      <c r="M71" s="592">
        <v>2.2882934283682935E-2</v>
      </c>
      <c r="N71" s="592">
        <v>0.73815009890438066</v>
      </c>
      <c r="O71" s="592">
        <v>1.0000000000000002</v>
      </c>
    </row>
    <row r="72" spans="1:17" s="569" customFormat="1" ht="13.2" hidden="1">
      <c r="A72" s="590" t="s">
        <v>373</v>
      </c>
      <c r="B72" s="576" t="s">
        <v>341</v>
      </c>
      <c r="C72" s="591">
        <v>0</v>
      </c>
      <c r="D72" s="592">
        <v>0</v>
      </c>
      <c r="E72" s="592">
        <v>0</v>
      </c>
      <c r="F72" s="592">
        <v>0</v>
      </c>
      <c r="G72" s="592">
        <v>0</v>
      </c>
      <c r="H72" s="592">
        <v>1.6922093255248547E-2</v>
      </c>
      <c r="I72" s="592">
        <v>0</v>
      </c>
      <c r="J72" s="592">
        <v>3.144405686478878E-2</v>
      </c>
      <c r="K72" s="592">
        <v>2.0411423116636112E-2</v>
      </c>
      <c r="L72" s="592">
        <v>0</v>
      </c>
      <c r="M72" s="592">
        <v>2.3997121430340374E-2</v>
      </c>
      <c r="N72" s="592">
        <v>0.90722530533298662</v>
      </c>
      <c r="O72" s="592">
        <v>1.0000000000000004</v>
      </c>
    </row>
    <row r="73" spans="1:17" s="569" customFormat="1" ht="13.2" hidden="1">
      <c r="A73" s="590" t="s">
        <v>373</v>
      </c>
      <c r="B73" s="576" t="s">
        <v>343</v>
      </c>
      <c r="C73" s="591">
        <v>6.1760034574200062E-4</v>
      </c>
      <c r="D73" s="592">
        <v>2.9125470850332982E-2</v>
      </c>
      <c r="E73" s="592">
        <v>8.3851771067515665E-3</v>
      </c>
      <c r="F73" s="592">
        <v>7.2059522012094188E-3</v>
      </c>
      <c r="G73" s="592">
        <v>4.2738642266146605E-2</v>
      </c>
      <c r="H73" s="592">
        <v>4.2951296772057324E-3</v>
      </c>
      <c r="I73" s="592">
        <v>1.3063244474719746E-2</v>
      </c>
      <c r="J73" s="592">
        <v>1.8735458629710988E-2</v>
      </c>
      <c r="K73" s="592">
        <v>2.6802372068934661E-2</v>
      </c>
      <c r="L73" s="592">
        <v>4.3870203614339902E-2</v>
      </c>
      <c r="M73" s="592">
        <v>2.0409957852774146E-2</v>
      </c>
      <c r="N73" s="592">
        <v>0.78475079091213218</v>
      </c>
      <c r="O73" s="592">
        <v>0.99999999999999989</v>
      </c>
    </row>
    <row r="74" spans="1:17" s="569" customFormat="1" ht="13.2" hidden="1">
      <c r="A74" s="590" t="s">
        <v>373</v>
      </c>
      <c r="B74" s="576" t="s">
        <v>345</v>
      </c>
      <c r="C74" s="591">
        <v>0</v>
      </c>
      <c r="D74" s="592">
        <v>0</v>
      </c>
      <c r="E74" s="592">
        <v>3.4179617355324945E-3</v>
      </c>
      <c r="F74" s="592">
        <v>5.7308169263715434E-3</v>
      </c>
      <c r="G74" s="592">
        <v>0</v>
      </c>
      <c r="H74" s="592">
        <v>5.4484571669259074E-2</v>
      </c>
      <c r="I74" s="592">
        <v>2.5249376133706029E-2</v>
      </c>
      <c r="J74" s="592">
        <v>8.292300931088405E-3</v>
      </c>
      <c r="K74" s="592">
        <v>1.0601656861117997E-2</v>
      </c>
      <c r="L74" s="592">
        <v>8.2882623089376248E-3</v>
      </c>
      <c r="M74" s="592">
        <v>4.406814179982279E-2</v>
      </c>
      <c r="N74" s="592">
        <v>0.83986691163416372</v>
      </c>
      <c r="O74" s="592">
        <v>0.99999999999999967</v>
      </c>
    </row>
    <row r="75" spans="1:17" s="569" customFormat="1" ht="13.2" hidden="1">
      <c r="A75" s="590" t="s">
        <v>373</v>
      </c>
      <c r="B75" s="576" t="s">
        <v>346</v>
      </c>
      <c r="C75" s="591">
        <v>1.563357097018685E-2</v>
      </c>
      <c r="D75" s="592">
        <v>1.4558848068967516E-3</v>
      </c>
      <c r="E75" s="592">
        <v>2.5362863317640424E-2</v>
      </c>
      <c r="F75" s="592">
        <v>5.5925944983345405E-3</v>
      </c>
      <c r="G75" s="592">
        <v>0</v>
      </c>
      <c r="H75" s="592">
        <v>2.8430110778271903E-2</v>
      </c>
      <c r="I75" s="592">
        <v>0</v>
      </c>
      <c r="J75" s="592">
        <v>1.6797295853143816E-2</v>
      </c>
      <c r="K75" s="592">
        <v>3.9510431890408095E-3</v>
      </c>
      <c r="L75" s="592">
        <v>3.5589365896402654E-3</v>
      </c>
      <c r="M75" s="592">
        <v>6.3926385264792426E-2</v>
      </c>
      <c r="N75" s="592">
        <v>0.83529131473205243</v>
      </c>
      <c r="O75" s="592">
        <v>1.0000000000000002</v>
      </c>
    </row>
    <row r="76" spans="1:17" s="569" customFormat="1" ht="13.2" hidden="1">
      <c r="A76" s="590" t="s">
        <v>373</v>
      </c>
      <c r="B76" s="576" t="s">
        <v>347</v>
      </c>
      <c r="C76" s="591">
        <v>7.5575877599816897E-3</v>
      </c>
      <c r="D76" s="592">
        <v>2.0661169883630405E-3</v>
      </c>
      <c r="E76" s="592">
        <v>7.0868244705452998E-4</v>
      </c>
      <c r="F76" s="592">
        <v>4.0030179100856399E-3</v>
      </c>
      <c r="G76" s="592">
        <v>9.1316559256154322E-3</v>
      </c>
      <c r="H76" s="592">
        <v>6.9586530406202584E-3</v>
      </c>
      <c r="I76" s="592">
        <v>4.9082629094426636E-3</v>
      </c>
      <c r="J76" s="592">
        <v>1.6693831809810138E-2</v>
      </c>
      <c r="K76" s="592">
        <v>1.5571216157032655E-2</v>
      </c>
      <c r="L76" s="592">
        <v>3.1899594144203396E-2</v>
      </c>
      <c r="M76" s="592">
        <v>9.1009749570914369E-3</v>
      </c>
      <c r="N76" s="592">
        <v>0.89140040595069903</v>
      </c>
      <c r="O76" s="592">
        <v>0.99999999999999989</v>
      </c>
    </row>
    <row r="77" spans="1:17" s="569" customFormat="1" ht="13.2" hidden="1">
      <c r="A77" s="590" t="s">
        <v>373</v>
      </c>
      <c r="B77" s="576" t="s">
        <v>348</v>
      </c>
      <c r="C77" s="591">
        <v>0</v>
      </c>
      <c r="D77" s="592">
        <v>0</v>
      </c>
      <c r="E77" s="592">
        <v>1.6436395008867372E-2</v>
      </c>
      <c r="F77" s="592">
        <v>1.1706753582254498E-2</v>
      </c>
      <c r="G77" s="592">
        <v>3.5889849794763083E-2</v>
      </c>
      <c r="H77" s="592">
        <v>9.916651490624687E-3</v>
      </c>
      <c r="I77" s="592">
        <v>3.0033895982669E-3</v>
      </c>
      <c r="J77" s="592">
        <v>2.863838516852554E-2</v>
      </c>
      <c r="K77" s="592">
        <v>1.6612988449167594E-2</v>
      </c>
      <c r="L77" s="592">
        <v>4.4610355095048007E-3</v>
      </c>
      <c r="M77" s="592">
        <v>0</v>
      </c>
      <c r="N77" s="592">
        <v>0.87333455139802574</v>
      </c>
      <c r="O77" s="592">
        <v>1.0000000000000002</v>
      </c>
    </row>
    <row r="78" spans="1:17" s="569" customFormat="1" ht="13.2" hidden="1">
      <c r="A78" s="590" t="s">
        <v>373</v>
      </c>
      <c r="B78" s="576" t="s">
        <v>349</v>
      </c>
      <c r="C78" s="591">
        <v>0</v>
      </c>
      <c r="D78" s="592">
        <v>0</v>
      </c>
      <c r="E78" s="592">
        <v>0</v>
      </c>
      <c r="F78" s="592">
        <v>0</v>
      </c>
      <c r="G78" s="592">
        <v>0</v>
      </c>
      <c r="H78" s="592">
        <v>2.3785940114332597E-2</v>
      </c>
      <c r="I78" s="592">
        <v>0</v>
      </c>
      <c r="J78" s="592">
        <v>5.1862762101170523E-2</v>
      </c>
      <c r="K78" s="592">
        <v>1.1227896723991167E-2</v>
      </c>
      <c r="L78" s="592">
        <v>2.7513391599088891E-2</v>
      </c>
      <c r="M78" s="592">
        <v>3.9721423357063607E-2</v>
      </c>
      <c r="N78" s="592">
        <v>0.84588858610435302</v>
      </c>
      <c r="O78" s="592">
        <v>0.99999999999999978</v>
      </c>
    </row>
    <row r="79" spans="1:17" s="569" customFormat="1" ht="13.2" hidden="1">
      <c r="A79" s="590" t="s">
        <v>373</v>
      </c>
      <c r="B79" s="576" t="s">
        <v>350</v>
      </c>
      <c r="C79" s="591">
        <v>0</v>
      </c>
      <c r="D79" s="592">
        <v>0</v>
      </c>
      <c r="E79" s="592">
        <v>2.0764486040710725E-2</v>
      </c>
      <c r="F79" s="592">
        <v>0</v>
      </c>
      <c r="G79" s="592">
        <v>7.6019534676609506E-3</v>
      </c>
      <c r="H79" s="592">
        <v>5.6352072549354745E-2</v>
      </c>
      <c r="I79" s="592">
        <v>7.8524831330686728E-3</v>
      </c>
      <c r="J79" s="592">
        <v>5.2986294441362261E-3</v>
      </c>
      <c r="K79" s="592">
        <v>1.7720764971630266E-2</v>
      </c>
      <c r="L79" s="592">
        <v>6.9887454767499297E-3</v>
      </c>
      <c r="M79" s="592">
        <v>1.0933661804498108E-2</v>
      </c>
      <c r="N79" s="592">
        <v>0.86648720311219041</v>
      </c>
      <c r="O79" s="592">
        <v>1</v>
      </c>
    </row>
    <row r="80" spans="1:17" s="569" customFormat="1" ht="13.2" hidden="1">
      <c r="A80" s="590" t="s">
        <v>373</v>
      </c>
      <c r="B80" s="576" t="s">
        <v>351</v>
      </c>
      <c r="C80" s="591">
        <v>0</v>
      </c>
      <c r="D80" s="592">
        <v>0</v>
      </c>
      <c r="E80" s="592">
        <v>8.0060403287326252E-3</v>
      </c>
      <c r="F80" s="592">
        <v>0</v>
      </c>
      <c r="G80" s="592">
        <v>0</v>
      </c>
      <c r="H80" s="592">
        <v>0</v>
      </c>
      <c r="I80" s="592">
        <v>1.4220307990360833E-2</v>
      </c>
      <c r="J80" s="592">
        <v>1.2955909463873327E-2</v>
      </c>
      <c r="K80" s="592">
        <v>0</v>
      </c>
      <c r="L80" s="592">
        <v>5.1658253454322138E-3</v>
      </c>
      <c r="M80" s="592">
        <v>1.2414960770047402E-2</v>
      </c>
      <c r="N80" s="592">
        <v>0.94723695610155367</v>
      </c>
      <c r="O80" s="592">
        <v>1</v>
      </c>
    </row>
    <row r="81" spans="1:17" s="569" customFormat="1" ht="13.2" hidden="1">
      <c r="A81" s="590" t="s">
        <v>373</v>
      </c>
      <c r="B81" s="576" t="s">
        <v>352</v>
      </c>
      <c r="C81" s="591">
        <v>1.6457402691128602E-2</v>
      </c>
      <c r="D81" s="592">
        <v>3.5138774215982046E-3</v>
      </c>
      <c r="E81" s="592">
        <v>1.6081769040127605E-2</v>
      </c>
      <c r="F81" s="592">
        <v>2.6209659563476248E-2</v>
      </c>
      <c r="G81" s="592">
        <v>3.2591254068759616E-2</v>
      </c>
      <c r="H81" s="592">
        <v>5.6845314406062863E-3</v>
      </c>
      <c r="I81" s="592">
        <v>2.0562165352665623E-2</v>
      </c>
      <c r="J81" s="592">
        <v>8.0527081192028459E-3</v>
      </c>
      <c r="K81" s="592">
        <v>2.5617865149329601E-2</v>
      </c>
      <c r="L81" s="592">
        <v>9.6531898595976912E-3</v>
      </c>
      <c r="M81" s="592">
        <v>2.4484657712870592E-2</v>
      </c>
      <c r="N81" s="592">
        <v>0.81109091958063706</v>
      </c>
      <c r="O81" s="592">
        <v>1</v>
      </c>
    </row>
    <row r="82" spans="1:17" s="569" customFormat="1" ht="13.2" hidden="1">
      <c r="A82" s="590" t="s">
        <v>373</v>
      </c>
      <c r="B82" s="576" t="s">
        <v>353</v>
      </c>
      <c r="C82" s="591">
        <v>4.1165541658366601E-3</v>
      </c>
      <c r="D82" s="592">
        <v>5.5074391322000656E-2</v>
      </c>
      <c r="E82" s="592">
        <v>2.6034544704264945E-2</v>
      </c>
      <c r="F82" s="592">
        <v>0</v>
      </c>
      <c r="G82" s="592">
        <v>0</v>
      </c>
      <c r="H82" s="592">
        <v>3.3653335544456868E-2</v>
      </c>
      <c r="I82" s="592">
        <v>2.7077554162801849E-2</v>
      </c>
      <c r="J82" s="592">
        <v>1.0335610331775547E-2</v>
      </c>
      <c r="K82" s="592">
        <v>2.1237036121642665E-2</v>
      </c>
      <c r="L82" s="592">
        <v>3.8035229220067762E-3</v>
      </c>
      <c r="M82" s="592">
        <v>4.3119571745808841E-2</v>
      </c>
      <c r="N82" s="592">
        <v>0.77554787897940536</v>
      </c>
      <c r="O82" s="592">
        <v>1.0000000000000002</v>
      </c>
    </row>
    <row r="83" spans="1:17" s="569" customFormat="1" ht="13.2" hidden="1">
      <c r="A83" s="590" t="s">
        <v>373</v>
      </c>
      <c r="B83" s="576" t="s">
        <v>354</v>
      </c>
      <c r="C83" s="591">
        <v>1.6172055071889178E-3</v>
      </c>
      <c r="D83" s="592">
        <v>4.2788097421800489E-3</v>
      </c>
      <c r="E83" s="592">
        <v>2.3924327200254756E-2</v>
      </c>
      <c r="F83" s="592">
        <v>5.4604061673449784E-2</v>
      </c>
      <c r="G83" s="592">
        <v>1.4102313073682071E-2</v>
      </c>
      <c r="H83" s="592">
        <v>1.2821427023492276E-2</v>
      </c>
      <c r="I83" s="592">
        <v>2.6285243056669086E-2</v>
      </c>
      <c r="J83" s="592">
        <v>3.9870336144756782E-2</v>
      </c>
      <c r="K83" s="592">
        <v>3.4478737401241903E-2</v>
      </c>
      <c r="L83" s="592">
        <v>4.5957049881767048E-2</v>
      </c>
      <c r="M83" s="592">
        <v>6.26969229813443E-2</v>
      </c>
      <c r="N83" s="592">
        <v>0.67936356631397232</v>
      </c>
      <c r="O83" s="592">
        <v>0.99999999999999933</v>
      </c>
    </row>
    <row r="84" spans="1:17" s="569" customFormat="1" ht="13.2" hidden="1">
      <c r="A84" s="590" t="s">
        <v>373</v>
      </c>
      <c r="B84" s="576" t="s">
        <v>355</v>
      </c>
      <c r="C84" s="591">
        <v>0.14813808363776851</v>
      </c>
      <c r="D84" s="592">
        <v>2.8365609404727429E-2</v>
      </c>
      <c r="E84" s="592">
        <v>0</v>
      </c>
      <c r="F84" s="592">
        <v>0</v>
      </c>
      <c r="G84" s="592">
        <v>0</v>
      </c>
      <c r="H84" s="592">
        <v>0</v>
      </c>
      <c r="I84" s="592">
        <v>0</v>
      </c>
      <c r="J84" s="592">
        <v>0</v>
      </c>
      <c r="K84" s="592">
        <v>0</v>
      </c>
      <c r="L84" s="592">
        <v>0</v>
      </c>
      <c r="M84" s="592">
        <v>5.2858963373605669E-2</v>
      </c>
      <c r="N84" s="592">
        <v>0.7706373435838979</v>
      </c>
      <c r="O84" s="592">
        <v>0.99999999999999956</v>
      </c>
    </row>
    <row r="85" spans="1:17" s="569" customFormat="1" ht="13.2" hidden="1">
      <c r="A85" s="590" t="s">
        <v>373</v>
      </c>
      <c r="B85" s="576" t="s">
        <v>356</v>
      </c>
      <c r="C85" s="591">
        <v>0</v>
      </c>
      <c r="D85" s="592">
        <v>0</v>
      </c>
      <c r="E85" s="592">
        <v>3.805984137121441E-2</v>
      </c>
      <c r="F85" s="592">
        <v>0</v>
      </c>
      <c r="G85" s="592">
        <v>0</v>
      </c>
      <c r="H85" s="592">
        <v>0.10152129843585171</v>
      </c>
      <c r="I85" s="592">
        <v>0</v>
      </c>
      <c r="J85" s="592">
        <v>0</v>
      </c>
      <c r="K85" s="592">
        <v>0</v>
      </c>
      <c r="L85" s="592">
        <v>0</v>
      </c>
      <c r="M85" s="592">
        <v>0</v>
      </c>
      <c r="N85" s="592">
        <v>0.8604188601929339</v>
      </c>
      <c r="O85" s="592">
        <v>1</v>
      </c>
    </row>
    <row r="86" spans="1:17" s="569" customFormat="1" ht="43.2" hidden="1" customHeight="1">
      <c r="A86" s="571" t="s">
        <v>359</v>
      </c>
      <c r="B86" s="571" t="s">
        <v>332</v>
      </c>
      <c r="C86" s="574" t="s">
        <v>360</v>
      </c>
      <c r="D86" s="574" t="s">
        <v>361</v>
      </c>
      <c r="E86" s="574" t="s">
        <v>362</v>
      </c>
      <c r="F86" s="574" t="s">
        <v>363</v>
      </c>
      <c r="G86" s="574" t="s">
        <v>364</v>
      </c>
      <c r="H86" s="574" t="s">
        <v>365</v>
      </c>
      <c r="I86" s="574" t="s">
        <v>366</v>
      </c>
      <c r="J86" s="574" t="s">
        <v>367</v>
      </c>
      <c r="K86" s="574" t="s">
        <v>368</v>
      </c>
      <c r="L86" s="574" t="s">
        <v>369</v>
      </c>
      <c r="M86" s="574" t="s">
        <v>370</v>
      </c>
      <c r="N86" s="574" t="s">
        <v>371</v>
      </c>
      <c r="O86" s="574" t="s">
        <v>82</v>
      </c>
      <c r="P86" s="589" t="s">
        <v>372</v>
      </c>
      <c r="Q86" s="589"/>
    </row>
    <row r="87" spans="1:17" s="569" customFormat="1" ht="13.2" hidden="1">
      <c r="A87" s="590" t="s">
        <v>374</v>
      </c>
      <c r="B87" s="576" t="s">
        <v>282</v>
      </c>
      <c r="C87" s="593">
        <v>13190.136819379217</v>
      </c>
      <c r="D87" s="594">
        <v>9575.6255745273756</v>
      </c>
      <c r="E87" s="594">
        <v>6119.2702072163029</v>
      </c>
      <c r="F87" s="594">
        <v>6895.534240658214</v>
      </c>
      <c r="G87" s="594">
        <v>8365.1543786466773</v>
      </c>
      <c r="H87" s="594">
        <v>13510.00401098492</v>
      </c>
      <c r="I87" s="594">
        <v>7738.4427883329618</v>
      </c>
      <c r="J87" s="594">
        <v>13065.480418099902</v>
      </c>
      <c r="K87" s="594">
        <v>11750.56872078474</v>
      </c>
      <c r="L87" s="594">
        <v>14111.439016717219</v>
      </c>
      <c r="M87" s="594">
        <v>20097.394211875016</v>
      </c>
      <c r="N87" s="594">
        <v>646734.47227631602</v>
      </c>
      <c r="O87" s="594">
        <v>771153.52266353858</v>
      </c>
    </row>
    <row r="88" spans="1:17" s="569" customFormat="1" ht="13.2" hidden="1">
      <c r="A88" s="590" t="s">
        <v>374</v>
      </c>
      <c r="B88" s="576" t="s">
        <v>337</v>
      </c>
      <c r="C88" s="593">
        <v>3675.0520210541818</v>
      </c>
      <c r="D88" s="594">
        <v>2676.8609797879071</v>
      </c>
      <c r="E88" s="594">
        <v>0</v>
      </c>
      <c r="F88" s="594">
        <v>1420.0908181960876</v>
      </c>
      <c r="G88" s="594">
        <v>615.55742222822209</v>
      </c>
      <c r="H88" s="594">
        <v>372.34750614331654</v>
      </c>
      <c r="I88" s="594">
        <v>420.03103679048127</v>
      </c>
      <c r="J88" s="594">
        <v>2377.5346101814639</v>
      </c>
      <c r="K88" s="594">
        <v>1498.338528574337</v>
      </c>
      <c r="L88" s="594">
        <v>1742.7953335077705</v>
      </c>
      <c r="M88" s="594">
        <v>3740.4319620623246</v>
      </c>
      <c r="N88" s="594">
        <v>101056.53735088093</v>
      </c>
      <c r="O88" s="594">
        <v>119595.57756940702</v>
      </c>
    </row>
    <row r="89" spans="1:17" s="569" customFormat="1" ht="13.2" hidden="1">
      <c r="A89" s="590" t="s">
        <v>374</v>
      </c>
      <c r="B89" s="576" t="s">
        <v>339</v>
      </c>
      <c r="C89" s="593">
        <v>0</v>
      </c>
      <c r="D89" s="594">
        <v>2044.151689605548</v>
      </c>
      <c r="E89" s="594">
        <v>0</v>
      </c>
      <c r="F89" s="594">
        <v>44.7070997899595</v>
      </c>
      <c r="G89" s="594">
        <v>124.41934841214946</v>
      </c>
      <c r="H89" s="594">
        <v>2171.618613953628</v>
      </c>
      <c r="I89" s="594">
        <v>845.49982722880577</v>
      </c>
      <c r="J89" s="594">
        <v>1229.1076297478851</v>
      </c>
      <c r="K89" s="594">
        <v>710.6892121176254</v>
      </c>
      <c r="L89" s="594">
        <v>863.15839001243671</v>
      </c>
      <c r="M89" s="594">
        <v>769.25553359208584</v>
      </c>
      <c r="N89" s="594">
        <v>24814.389674170339</v>
      </c>
      <c r="O89" s="594">
        <v>33616.997018630464</v>
      </c>
    </row>
    <row r="90" spans="1:17" s="569" customFormat="1" ht="13.2" hidden="1">
      <c r="A90" s="590" t="s">
        <v>374</v>
      </c>
      <c r="B90" s="576" t="s">
        <v>341</v>
      </c>
      <c r="C90" s="593">
        <v>0</v>
      </c>
      <c r="D90" s="594">
        <v>0</v>
      </c>
      <c r="E90" s="594">
        <v>0</v>
      </c>
      <c r="F90" s="594">
        <v>0</v>
      </c>
      <c r="G90" s="594">
        <v>0</v>
      </c>
      <c r="H90" s="594">
        <v>159.15506133465675</v>
      </c>
      <c r="I90" s="594">
        <v>0</v>
      </c>
      <c r="J90" s="594">
        <v>295.73650986551007</v>
      </c>
      <c r="K90" s="594">
        <v>191.97278073433813</v>
      </c>
      <c r="L90" s="594">
        <v>0</v>
      </c>
      <c r="M90" s="594">
        <v>225.69686122704991</v>
      </c>
      <c r="N90" s="594">
        <v>8532.6027304476902</v>
      </c>
      <c r="O90" s="594">
        <v>9405.1639436092446</v>
      </c>
    </row>
    <row r="91" spans="1:17" s="569" customFormat="1" ht="13.2" hidden="1">
      <c r="A91" s="590" t="s">
        <v>374</v>
      </c>
      <c r="B91" s="576" t="s">
        <v>343</v>
      </c>
      <c r="C91" s="593">
        <v>27.946000787598848</v>
      </c>
      <c r="D91" s="594">
        <v>1317.9079916879002</v>
      </c>
      <c r="E91" s="594">
        <v>379.42363155237962</v>
      </c>
      <c r="F91" s="594">
        <v>326.06449669074914</v>
      </c>
      <c r="G91" s="594">
        <v>1933.8948539539551</v>
      </c>
      <c r="H91" s="594">
        <v>194.35173275011931</v>
      </c>
      <c r="I91" s="594">
        <v>591.10303758090606</v>
      </c>
      <c r="J91" s="594">
        <v>847.76691792956399</v>
      </c>
      <c r="K91" s="594">
        <v>1212.7893323117801</v>
      </c>
      <c r="L91" s="594">
        <v>1985.0972448623252</v>
      </c>
      <c r="M91" s="594">
        <v>923.5368829711723</v>
      </c>
      <c r="N91" s="594">
        <v>35509.446152513461</v>
      </c>
      <c r="O91" s="594">
        <v>45249.328275591906</v>
      </c>
    </row>
    <row r="92" spans="1:17" s="569" customFormat="1" ht="13.2" hidden="1">
      <c r="A92" s="590" t="s">
        <v>374</v>
      </c>
      <c r="B92" s="576" t="s">
        <v>345</v>
      </c>
      <c r="C92" s="593">
        <v>0</v>
      </c>
      <c r="D92" s="594">
        <v>0</v>
      </c>
      <c r="E92" s="594">
        <v>147.49566347544544</v>
      </c>
      <c r="F92" s="594">
        <v>247.30254760438285</v>
      </c>
      <c r="G92" s="594">
        <v>0</v>
      </c>
      <c r="H92" s="594">
        <v>2351.1784710722736</v>
      </c>
      <c r="I92" s="594">
        <v>1089.5889928977945</v>
      </c>
      <c r="J92" s="594">
        <v>357.83853717671633</v>
      </c>
      <c r="K92" s="594">
        <v>457.49441733466165</v>
      </c>
      <c r="L92" s="594">
        <v>357.66425808884259</v>
      </c>
      <c r="M92" s="594">
        <v>1901.6771736569017</v>
      </c>
      <c r="N92" s="594">
        <v>36242.865470012395</v>
      </c>
      <c r="O92" s="594">
        <v>43153.105531319416</v>
      </c>
    </row>
    <row r="93" spans="1:17" s="569" customFormat="1" ht="13.2" hidden="1">
      <c r="A93" s="590" t="s">
        <v>374</v>
      </c>
      <c r="B93" s="576" t="s">
        <v>346</v>
      </c>
      <c r="C93" s="593">
        <v>546.46873744262268</v>
      </c>
      <c r="D93" s="594">
        <v>50.89019865032509</v>
      </c>
      <c r="E93" s="594">
        <v>886.55444885571899</v>
      </c>
      <c r="F93" s="594">
        <v>195.48816200480056</v>
      </c>
      <c r="G93" s="594">
        <v>0</v>
      </c>
      <c r="H93" s="594">
        <v>993.76954708451103</v>
      </c>
      <c r="I93" s="594">
        <v>0</v>
      </c>
      <c r="J93" s="594">
        <v>587.1465370785977</v>
      </c>
      <c r="K93" s="594">
        <v>138.10802325417782</v>
      </c>
      <c r="L93" s="594">
        <v>124.40200568941573</v>
      </c>
      <c r="M93" s="594">
        <v>2234.5356100369095</v>
      </c>
      <c r="N93" s="594">
        <v>29197.461733399323</v>
      </c>
      <c r="O93" s="594">
        <v>34954.8250034964</v>
      </c>
    </row>
    <row r="94" spans="1:17" s="569" customFormat="1" ht="13.2" hidden="1">
      <c r="A94" s="590" t="s">
        <v>374</v>
      </c>
      <c r="B94" s="576" t="s">
        <v>347</v>
      </c>
      <c r="C94" s="593">
        <v>1270.6427000045417</v>
      </c>
      <c r="D94" s="594">
        <v>347.37227697442268</v>
      </c>
      <c r="E94" s="594">
        <v>119.1494173232565</v>
      </c>
      <c r="F94" s="594">
        <v>673.01970509305443</v>
      </c>
      <c r="G94" s="594">
        <v>1535.2877544176313</v>
      </c>
      <c r="H94" s="594">
        <v>1169.9449571393347</v>
      </c>
      <c r="I94" s="594">
        <v>825.21680642733054</v>
      </c>
      <c r="J94" s="594">
        <v>2806.7018469250629</v>
      </c>
      <c r="K94" s="594">
        <v>2617.9586355440815</v>
      </c>
      <c r="L94" s="594">
        <v>5363.2174338836749</v>
      </c>
      <c r="M94" s="594">
        <v>1530.1294221663657</v>
      </c>
      <c r="N94" s="594">
        <v>149869.436462235</v>
      </c>
      <c r="O94" s="594">
        <v>168128.07741813376</v>
      </c>
    </row>
    <row r="95" spans="1:17" s="569" customFormat="1" ht="13.2" hidden="1">
      <c r="A95" s="590" t="s">
        <v>374</v>
      </c>
      <c r="B95" s="576" t="s">
        <v>348</v>
      </c>
      <c r="C95" s="593">
        <v>0</v>
      </c>
      <c r="D95" s="594">
        <v>0</v>
      </c>
      <c r="E95" s="594">
        <v>398.25173308779205</v>
      </c>
      <c r="F95" s="594">
        <v>283.65313077772311</v>
      </c>
      <c r="G95" s="594">
        <v>869.60643579774114</v>
      </c>
      <c r="H95" s="594">
        <v>240.27918776825899</v>
      </c>
      <c r="I95" s="594">
        <v>72.771742952292541</v>
      </c>
      <c r="J95" s="594">
        <v>693.90438232032682</v>
      </c>
      <c r="K95" s="594">
        <v>402.53056939061622</v>
      </c>
      <c r="L95" s="594">
        <v>108.09031555082433</v>
      </c>
      <c r="M95" s="594">
        <v>0</v>
      </c>
      <c r="N95" s="594">
        <v>21160.783643376337</v>
      </c>
      <c r="O95" s="594">
        <v>24229.871141021911</v>
      </c>
    </row>
    <row r="96" spans="1:17" s="569" customFormat="1" ht="13.2" hidden="1">
      <c r="A96" s="590" t="s">
        <v>374</v>
      </c>
      <c r="B96" s="576" t="s">
        <v>349</v>
      </c>
      <c r="C96" s="593">
        <v>0</v>
      </c>
      <c r="D96" s="594">
        <v>0</v>
      </c>
      <c r="E96" s="594">
        <v>0</v>
      </c>
      <c r="F96" s="594">
        <v>0</v>
      </c>
      <c r="G96" s="594">
        <v>0</v>
      </c>
      <c r="H96" s="594">
        <v>278.11642718379863</v>
      </c>
      <c r="I96" s="594">
        <v>0</v>
      </c>
      <c r="J96" s="594">
        <v>606.40386842517614</v>
      </c>
      <c r="K96" s="594">
        <v>131.28186259005548</v>
      </c>
      <c r="L96" s="594">
        <v>321.69954748337034</v>
      </c>
      <c r="M96" s="594">
        <v>464.44161103663777</v>
      </c>
      <c r="N96" s="594">
        <v>9890.5281957361331</v>
      </c>
      <c r="O96" s="594">
        <v>11692.471512455171</v>
      </c>
    </row>
    <row r="97" spans="1:15" s="569" customFormat="1" ht="13.2" hidden="1">
      <c r="A97" s="590" t="s">
        <v>374</v>
      </c>
      <c r="B97" s="576" t="s">
        <v>350</v>
      </c>
      <c r="C97" s="593">
        <v>0</v>
      </c>
      <c r="D97" s="594">
        <v>0</v>
      </c>
      <c r="E97" s="594">
        <v>699.01706927191981</v>
      </c>
      <c r="F97" s="594">
        <v>0</v>
      </c>
      <c r="G97" s="594">
        <v>255.91267817982467</v>
      </c>
      <c r="H97" s="594">
        <v>1897.0400001049234</v>
      </c>
      <c r="I97" s="594">
        <v>264.34652586262467</v>
      </c>
      <c r="J97" s="594">
        <v>178.37342171322203</v>
      </c>
      <c r="K97" s="594">
        <v>596.55303634481379</v>
      </c>
      <c r="L97" s="594">
        <v>235.26960269891225</v>
      </c>
      <c r="M97" s="594">
        <v>368.07153406090276</v>
      </c>
      <c r="N97" s="594">
        <v>29169.484093831899</v>
      </c>
      <c r="O97" s="594">
        <v>33664.067962069043</v>
      </c>
    </row>
    <row r="98" spans="1:15" s="569" customFormat="1" ht="13.2" hidden="1">
      <c r="A98" s="590" t="s">
        <v>374</v>
      </c>
      <c r="B98" s="576" t="s">
        <v>351</v>
      </c>
      <c r="C98" s="593">
        <v>0</v>
      </c>
      <c r="D98" s="594">
        <v>0</v>
      </c>
      <c r="E98" s="594">
        <v>284.92049369232865</v>
      </c>
      <c r="F98" s="594">
        <v>0</v>
      </c>
      <c r="G98" s="594">
        <v>0</v>
      </c>
      <c r="H98" s="594">
        <v>0</v>
      </c>
      <c r="I98" s="594">
        <v>506.07503918381593</v>
      </c>
      <c r="J98" s="594">
        <v>461.07738271464075</v>
      </c>
      <c r="K98" s="594">
        <v>0</v>
      </c>
      <c r="L98" s="594">
        <v>183.84237991740014</v>
      </c>
      <c r="M98" s="594">
        <v>441.82599718839504</v>
      </c>
      <c r="N98" s="594">
        <v>33710.449872140111</v>
      </c>
      <c r="O98" s="594">
        <v>35588.191164836688</v>
      </c>
    </row>
    <row r="99" spans="1:15" s="569" customFormat="1" ht="13.2" hidden="1">
      <c r="A99" s="590" t="s">
        <v>374</v>
      </c>
      <c r="B99" s="576" t="s">
        <v>352</v>
      </c>
      <c r="C99" s="593">
        <v>1093.4224705536035</v>
      </c>
      <c r="D99" s="594">
        <v>233.46044352536597</v>
      </c>
      <c r="E99" s="594">
        <v>1068.465538867051</v>
      </c>
      <c r="F99" s="594">
        <v>1741.3580532797778</v>
      </c>
      <c r="G99" s="594">
        <v>2165.3483366189362</v>
      </c>
      <c r="H99" s="594">
        <v>377.67772523898253</v>
      </c>
      <c r="I99" s="594">
        <v>1366.141065015255</v>
      </c>
      <c r="J99" s="594">
        <v>535.01832406958101</v>
      </c>
      <c r="K99" s="594">
        <v>1702.039497215955</v>
      </c>
      <c r="L99" s="594">
        <v>641.35361472889053</v>
      </c>
      <c r="M99" s="594">
        <v>1626.7497022174616</v>
      </c>
      <c r="N99" s="594">
        <v>53888.517755570312</v>
      </c>
      <c r="O99" s="594">
        <v>66439.55252690117</v>
      </c>
    </row>
    <row r="100" spans="1:15" s="569" customFormat="1" ht="13.2" hidden="1">
      <c r="A100" s="590" t="s">
        <v>374</v>
      </c>
      <c r="B100" s="576" t="s">
        <v>353</v>
      </c>
      <c r="C100" s="593">
        <v>86.972826223246898</v>
      </c>
      <c r="D100" s="594">
        <v>1163.5885920198821</v>
      </c>
      <c r="E100" s="594">
        <v>550.04691816199761</v>
      </c>
      <c r="F100" s="594">
        <v>0</v>
      </c>
      <c r="G100" s="594">
        <v>0</v>
      </c>
      <c r="H100" s="594">
        <v>711.01352884683547</v>
      </c>
      <c r="I100" s="594">
        <v>572.08318362386501</v>
      </c>
      <c r="J100" s="594">
        <v>218.36643102059395</v>
      </c>
      <c r="K100" s="594">
        <v>448.68717322684518</v>
      </c>
      <c r="L100" s="594">
        <v>80.359233671008482</v>
      </c>
      <c r="M100" s="594">
        <v>911.01218863880808</v>
      </c>
      <c r="N100" s="594">
        <v>16385.449623392597</v>
      </c>
      <c r="O100" s="594">
        <v>21127.579698825677</v>
      </c>
    </row>
    <row r="101" spans="1:15" s="569" customFormat="1" ht="13.2" hidden="1">
      <c r="A101" s="590" t="s">
        <v>374</v>
      </c>
      <c r="B101" s="576" t="s">
        <v>354</v>
      </c>
      <c r="C101" s="593">
        <v>47.061204665246095</v>
      </c>
      <c r="D101" s="594">
        <v>124.51475097336599</v>
      </c>
      <c r="E101" s="594">
        <v>696.20567939234547</v>
      </c>
      <c r="F101" s="594">
        <v>1588.9959009815261</v>
      </c>
      <c r="G101" s="594">
        <v>410.3818833560274</v>
      </c>
      <c r="H101" s="594">
        <v>373.10768394668861</v>
      </c>
      <c r="I101" s="594">
        <v>764.90909638062328</v>
      </c>
      <c r="J101" s="594">
        <v>1160.2397104385868</v>
      </c>
      <c r="K101" s="594">
        <v>1003.3424386858529</v>
      </c>
      <c r="L101" s="594">
        <v>1337.3650539047483</v>
      </c>
      <c r="M101" s="594">
        <v>1824.5007892874648</v>
      </c>
      <c r="N101" s="594">
        <v>19769.700074783686</v>
      </c>
      <c r="O101" s="594">
        <v>29100.324266796164</v>
      </c>
    </row>
    <row r="102" spans="1:15" s="569" customFormat="1" ht="13.2" hidden="1">
      <c r="A102" s="590" t="s">
        <v>374</v>
      </c>
      <c r="B102" s="576" t="s">
        <v>355</v>
      </c>
      <c r="C102" s="593">
        <v>5725.5299916345357</v>
      </c>
      <c r="D102" s="594">
        <v>1096.329474430644</v>
      </c>
      <c r="E102" s="594">
        <v>0</v>
      </c>
      <c r="F102" s="594">
        <v>0</v>
      </c>
      <c r="G102" s="594">
        <v>0</v>
      </c>
      <c r="H102" s="594">
        <v>0</v>
      </c>
      <c r="I102" s="594">
        <v>0</v>
      </c>
      <c r="J102" s="594">
        <v>0</v>
      </c>
      <c r="K102" s="594">
        <v>0</v>
      </c>
      <c r="L102" s="594">
        <v>0</v>
      </c>
      <c r="M102" s="594">
        <v>2042.9964576990772</v>
      </c>
      <c r="N102" s="594">
        <v>29785.097221537413</v>
      </c>
      <c r="O102" s="594">
        <v>38649.953145301668</v>
      </c>
    </row>
    <row r="103" spans="1:15" s="569" customFormat="1" ht="13.2" hidden="1">
      <c r="A103" s="590" t="s">
        <v>374</v>
      </c>
      <c r="B103" s="576" t="s">
        <v>356</v>
      </c>
      <c r="C103" s="593">
        <v>0</v>
      </c>
      <c r="D103" s="594">
        <v>0</v>
      </c>
      <c r="E103" s="594">
        <v>557.08447318706556</v>
      </c>
      <c r="F103" s="594">
        <v>0</v>
      </c>
      <c r="G103" s="594">
        <v>0</v>
      </c>
      <c r="H103" s="594">
        <v>1485.9741138904997</v>
      </c>
      <c r="I103" s="594">
        <v>0</v>
      </c>
      <c r="J103" s="594">
        <v>0</v>
      </c>
      <c r="K103" s="594">
        <v>0</v>
      </c>
      <c r="L103" s="594">
        <v>0</v>
      </c>
      <c r="M103" s="594">
        <v>0</v>
      </c>
      <c r="N103" s="594">
        <v>12594.009070498176</v>
      </c>
      <c r="O103" s="594">
        <v>14637.067657575741</v>
      </c>
    </row>
    <row r="104" spans="1:15" s="569" customFormat="1" ht="13.2" hidden="1"/>
    <row r="105" spans="1:15" hidden="1"/>
    <row r="106" spans="1:15" hidden="1"/>
  </sheetData>
  <mergeCells count="6">
    <mergeCell ref="H46:M46"/>
    <mergeCell ref="B24:C24"/>
    <mergeCell ref="D24:E24"/>
    <mergeCell ref="A1:E1"/>
    <mergeCell ref="E3:E12"/>
    <mergeCell ref="B46:G46"/>
  </mergeCells>
  <phoneticPr fontId="9"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3AA08-0AC5-4FCC-829D-381EF7CA031C}">
  <sheetPr codeName="Sheet10"/>
  <dimension ref="A1:BI86"/>
  <sheetViews>
    <sheetView zoomScaleNormal="100" workbookViewId="0">
      <selection activeCell="B102" sqref="B102"/>
    </sheetView>
  </sheetViews>
  <sheetFormatPr defaultColWidth="8.77734375" defaultRowHeight="13.2"/>
  <cols>
    <col min="1" max="1" width="25.21875" style="154" customWidth="1"/>
    <col min="2" max="4" width="22.5546875" style="154" customWidth="1"/>
    <col min="5" max="5" width="19.77734375" style="154" customWidth="1"/>
    <col min="6" max="6" width="7.77734375" style="154" customWidth="1"/>
    <col min="7" max="8" width="6.21875" style="154" customWidth="1"/>
    <col min="9" max="9" width="14.44140625" style="154" customWidth="1"/>
    <col min="10" max="12" width="15.21875" style="154" customWidth="1"/>
    <col min="13" max="13" width="12.21875" style="154" customWidth="1"/>
    <col min="14" max="14" width="13.21875" style="154" customWidth="1"/>
    <col min="15" max="15" width="15.21875" style="154" customWidth="1"/>
    <col min="16" max="16" width="11" style="154" customWidth="1"/>
    <col min="17" max="20" width="15.21875" style="154" customWidth="1"/>
    <col min="21" max="21" width="7.77734375" style="154" hidden="1" customWidth="1"/>
    <col min="22" max="22" width="12.44140625" style="154" hidden="1" customWidth="1"/>
    <col min="23" max="38" width="6.5546875" style="154" hidden="1" customWidth="1"/>
    <col min="39" max="39" width="15.21875" style="154" customWidth="1"/>
    <col min="40" max="40" width="11.21875" style="154" customWidth="1"/>
    <col min="41" max="41" width="6.21875" style="154" customWidth="1"/>
    <col min="42" max="45" width="4.77734375" style="154" customWidth="1"/>
    <col min="46" max="46" width="6.21875" style="154" customWidth="1"/>
    <col min="47" max="61" width="4.77734375" style="154" customWidth="1"/>
    <col min="62" max="16384" width="8.77734375" style="154"/>
  </cols>
  <sheetData>
    <row r="1" spans="1:7" ht="24" customHeight="1">
      <c r="A1" s="716" t="s">
        <v>375</v>
      </c>
      <c r="B1" s="716"/>
      <c r="C1" s="716"/>
      <c r="D1" s="716"/>
      <c r="E1" s="716"/>
    </row>
    <row r="2" spans="1:7" ht="22.2" customHeight="1">
      <c r="A2" s="271" t="s">
        <v>97</v>
      </c>
      <c r="B2" s="271" t="s">
        <v>376</v>
      </c>
      <c r="C2" s="271" t="s">
        <v>377</v>
      </c>
      <c r="D2" s="271" t="s">
        <v>378</v>
      </c>
      <c r="E2" s="271" t="s">
        <v>379</v>
      </c>
    </row>
    <row r="3" spans="1:7" ht="25.2" customHeight="1">
      <c r="A3" s="272" t="s">
        <v>172</v>
      </c>
      <c r="B3" s="272" t="s">
        <v>306</v>
      </c>
      <c r="C3" s="272">
        <v>0.8</v>
      </c>
      <c r="D3" s="272" t="s">
        <v>380</v>
      </c>
      <c r="E3" s="272" t="s">
        <v>380</v>
      </c>
    </row>
    <row r="4" spans="1:7" ht="24" customHeight="1">
      <c r="A4" s="272" t="s">
        <v>177</v>
      </c>
      <c r="B4" s="272" t="s">
        <v>306</v>
      </c>
      <c r="C4" s="272">
        <v>0.8</v>
      </c>
      <c r="D4" s="272" t="s">
        <v>380</v>
      </c>
      <c r="E4" s="272" t="s">
        <v>380</v>
      </c>
    </row>
    <row r="5" spans="1:7" ht="14.55" customHeight="1">
      <c r="A5" s="162"/>
      <c r="B5" s="162"/>
      <c r="C5" s="162"/>
      <c r="D5" s="162"/>
      <c r="E5" s="162"/>
    </row>
    <row r="6" spans="1:7" ht="14.55" customHeight="1">
      <c r="A6" s="162"/>
      <c r="B6" s="162"/>
      <c r="C6" s="162"/>
      <c r="D6" s="162"/>
      <c r="E6" s="162"/>
    </row>
    <row r="7" spans="1:7" ht="13.2" customHeight="1">
      <c r="A7" s="162"/>
      <c r="B7" s="162"/>
      <c r="C7" s="162"/>
      <c r="D7" s="162"/>
      <c r="E7" s="162"/>
    </row>
    <row r="8" spans="1:7" ht="13.2" customHeight="1">
      <c r="A8" s="162"/>
      <c r="B8" s="162"/>
      <c r="C8" s="162"/>
      <c r="D8" s="162"/>
      <c r="E8" s="162"/>
    </row>
    <row r="9" spans="1:7" ht="16.2" customHeight="1">
      <c r="A9" s="163"/>
      <c r="B9" s="163"/>
      <c r="C9" s="163"/>
    </row>
    <row r="10" spans="1:7" ht="16.2" customHeight="1">
      <c r="A10" s="163"/>
      <c r="B10" s="163"/>
      <c r="C10" s="163"/>
    </row>
    <row r="11" spans="1:7" ht="16.2" hidden="1" customHeight="1">
      <c r="A11" s="163"/>
      <c r="B11" s="163"/>
      <c r="C11" s="163"/>
    </row>
    <row r="12" spans="1:7" s="207" customFormat="1" hidden="1">
      <c r="A12" s="207" t="s">
        <v>76</v>
      </c>
      <c r="E12" s="208"/>
      <c r="F12" s="209"/>
      <c r="G12" s="210"/>
    </row>
    <row r="13" spans="1:7" ht="22.95" hidden="1" customHeight="1">
      <c r="A13" s="162"/>
      <c r="B13" s="162"/>
      <c r="C13" s="162"/>
    </row>
    <row r="14" spans="1:7" ht="15" hidden="1" customHeight="1">
      <c r="A14" s="273" t="s">
        <v>221</v>
      </c>
      <c r="B14" s="274" t="s">
        <v>381</v>
      </c>
      <c r="C14" s="162"/>
    </row>
    <row r="15" spans="1:7" ht="26.4" hidden="1">
      <c r="A15" s="275" t="s">
        <v>223</v>
      </c>
      <c r="B15" s="276">
        <v>0.92962911380081059</v>
      </c>
      <c r="C15" s="162"/>
    </row>
    <row r="16" spans="1:7" ht="26.4" hidden="1">
      <c r="A16" s="275" t="s">
        <v>224</v>
      </c>
      <c r="B16" s="272" t="s">
        <v>225</v>
      </c>
      <c r="C16" s="162"/>
    </row>
    <row r="17" spans="1:48" ht="26.4" hidden="1">
      <c r="A17" s="275" t="s">
        <v>382</v>
      </c>
      <c r="B17" s="272" t="s">
        <v>383</v>
      </c>
      <c r="C17" s="162"/>
    </row>
    <row r="18" spans="1:48" ht="15" hidden="1" customHeight="1">
      <c r="B18" s="162"/>
      <c r="C18" s="162"/>
      <c r="D18" s="162"/>
    </row>
    <row r="19" spans="1:48" hidden="1"/>
    <row r="20" spans="1:48" hidden="1">
      <c r="A20" s="766" t="s">
        <v>384</v>
      </c>
      <c r="B20" s="766"/>
      <c r="C20" s="766"/>
      <c r="D20" s="766"/>
      <c r="E20" s="766"/>
      <c r="F20" s="766"/>
      <c r="G20" s="766"/>
      <c r="H20" s="766"/>
      <c r="I20" s="766"/>
      <c r="J20" s="766"/>
      <c r="K20" s="277"/>
      <c r="L20" s="277"/>
      <c r="M20" s="277"/>
      <c r="N20" s="277"/>
      <c r="O20" s="277"/>
      <c r="P20" s="277"/>
      <c r="Q20" s="277"/>
      <c r="R20" s="277"/>
      <c r="S20" s="277"/>
    </row>
    <row r="21" spans="1:48" ht="28.95" hidden="1" customHeight="1">
      <c r="B21" s="767" t="s">
        <v>385</v>
      </c>
      <c r="C21" s="767"/>
      <c r="D21" s="767"/>
      <c r="E21" s="769"/>
      <c r="F21" s="769"/>
      <c r="G21" s="769"/>
      <c r="H21" s="769"/>
      <c r="I21" s="769"/>
      <c r="J21" s="770" t="s">
        <v>386</v>
      </c>
      <c r="K21" s="770"/>
      <c r="L21" s="770"/>
      <c r="M21" s="770"/>
      <c r="N21" s="770"/>
      <c r="O21" s="770"/>
      <c r="P21" s="770"/>
      <c r="Q21" s="770"/>
      <c r="R21" s="770"/>
      <c r="S21" s="770"/>
    </row>
    <row r="22" spans="1:48" ht="26.55" hidden="1" customHeight="1">
      <c r="A22" s="518" t="s">
        <v>256</v>
      </c>
      <c r="B22" s="519" t="str">
        <f>V47</f>
        <v>Saturation (Electric)</v>
      </c>
      <c r="C22" s="519" t="str">
        <f>V22</f>
        <v>Saturation (Gas)</v>
      </c>
      <c r="D22" s="520"/>
      <c r="E22" s="158"/>
      <c r="F22" s="158"/>
      <c r="G22" s="158"/>
      <c r="H22" s="158"/>
      <c r="I22" s="158"/>
      <c r="J22" s="278" t="s">
        <v>267</v>
      </c>
      <c r="K22" s="278" t="s">
        <v>268</v>
      </c>
      <c r="L22" s="278" t="s">
        <v>307</v>
      </c>
      <c r="M22" s="279" t="s">
        <v>269</v>
      </c>
      <c r="N22" s="279" t="s">
        <v>270</v>
      </c>
      <c r="O22" s="279" t="s">
        <v>308</v>
      </c>
      <c r="P22" s="279" t="s">
        <v>309</v>
      </c>
      <c r="Q22" s="279" t="s">
        <v>271</v>
      </c>
      <c r="R22" s="279" t="s">
        <v>272</v>
      </c>
      <c r="S22" s="279" t="s">
        <v>273</v>
      </c>
      <c r="T22" s="280"/>
      <c r="U22" s="280"/>
      <c r="V22" s="279" t="s">
        <v>272</v>
      </c>
      <c r="W22" s="34">
        <v>1</v>
      </c>
      <c r="X22" s="34">
        <v>2</v>
      </c>
      <c r="Y22" s="34">
        <v>3</v>
      </c>
      <c r="Z22" s="34">
        <v>4</v>
      </c>
      <c r="AA22" s="34">
        <v>5</v>
      </c>
      <c r="AB22" s="34">
        <v>6</v>
      </c>
      <c r="AC22" s="34">
        <v>7</v>
      </c>
      <c r="AD22" s="34">
        <v>8</v>
      </c>
      <c r="AE22" s="34">
        <v>9</v>
      </c>
      <c r="AF22" s="34">
        <v>10</v>
      </c>
      <c r="AG22" s="34">
        <v>11</v>
      </c>
      <c r="AH22" s="34">
        <v>12</v>
      </c>
      <c r="AI22" s="34">
        <v>13</v>
      </c>
      <c r="AJ22" s="34">
        <v>14</v>
      </c>
      <c r="AK22" s="34">
        <v>15</v>
      </c>
      <c r="AL22" s="38">
        <v>16</v>
      </c>
      <c r="AN22" s="281"/>
    </row>
    <row r="23" spans="1:48" hidden="1">
      <c r="A23" s="42">
        <v>1</v>
      </c>
      <c r="B23" s="282">
        <f>U65</f>
        <v>0.47518076101944728</v>
      </c>
      <c r="C23" s="282">
        <f>W45</f>
        <v>0.5248192389805526</v>
      </c>
      <c r="D23" s="517"/>
      <c r="J23" s="283" t="s">
        <v>282</v>
      </c>
      <c r="K23" s="234" t="s">
        <v>283</v>
      </c>
      <c r="L23" s="234" t="s">
        <v>387</v>
      </c>
      <c r="M23" s="284">
        <v>0.92750968456415595</v>
      </c>
      <c r="N23" s="284">
        <v>0.499309049211141</v>
      </c>
      <c r="O23" s="284">
        <v>0.49119978950805399</v>
      </c>
      <c r="P23" s="284">
        <v>9.4911612808049207E-3</v>
      </c>
      <c r="Q23" s="284">
        <v>0.46311397873385401</v>
      </c>
      <c r="R23" s="284">
        <v>0.45559256182459495</v>
      </c>
      <c r="S23" s="284">
        <v>8.8031440057069026E-3</v>
      </c>
      <c r="T23" s="285"/>
      <c r="U23" s="154" t="s">
        <v>314</v>
      </c>
      <c r="V23" s="286">
        <f>V38</f>
        <v>0.45203354598961348</v>
      </c>
      <c r="W23" s="287">
        <f>$V23*'FZ-CZ'!I30*'FZ-CZ'!$F30</f>
        <v>3491.4968733710984</v>
      </c>
      <c r="X23" s="287">
        <f>$V23*'FZ-CZ'!J30*'FZ-CZ'!$F30</f>
        <v>0</v>
      </c>
      <c r="Y23" s="287">
        <f>$V23*'FZ-CZ'!K30*'FZ-CZ'!$F30</f>
        <v>0</v>
      </c>
      <c r="Z23" s="287">
        <f>$V23*'FZ-CZ'!L30*'FZ-CZ'!$F30</f>
        <v>0</v>
      </c>
      <c r="AA23" s="287">
        <f>$V23*'FZ-CZ'!M30*'FZ-CZ'!$F30</f>
        <v>0</v>
      </c>
      <c r="AB23" s="287">
        <f>$V23*'FZ-CZ'!N30*'FZ-CZ'!$F30</f>
        <v>0</v>
      </c>
      <c r="AC23" s="287">
        <f>$V23*'FZ-CZ'!O30*'FZ-CZ'!$F30</f>
        <v>0</v>
      </c>
      <c r="AD23" s="287">
        <f>$V23*'FZ-CZ'!P30*'FZ-CZ'!$F30</f>
        <v>0</v>
      </c>
      <c r="AE23" s="287">
        <f>$V23*'FZ-CZ'!Q30*'FZ-CZ'!$F30</f>
        <v>0</v>
      </c>
      <c r="AF23" s="287">
        <f>$V23*'FZ-CZ'!R30*'FZ-CZ'!$F30</f>
        <v>0</v>
      </c>
      <c r="AG23" s="287">
        <f>$V23*'FZ-CZ'!S30*'FZ-CZ'!$F30</f>
        <v>82.295861322522896</v>
      </c>
      <c r="AH23" s="287">
        <f>$V23*'FZ-CZ'!T30*'FZ-CZ'!$F30</f>
        <v>0</v>
      </c>
      <c r="AI23" s="287">
        <f>$V23*'FZ-CZ'!U30*'FZ-CZ'!$F30</f>
        <v>0</v>
      </c>
      <c r="AJ23" s="287">
        <f>$V23*'FZ-CZ'!V30*'FZ-CZ'!$F30</f>
        <v>0.253218034838532</v>
      </c>
      <c r="AK23" s="287">
        <f>$V23*'FZ-CZ'!W30*'FZ-CZ'!$F30</f>
        <v>620.76401240666121</v>
      </c>
      <c r="AL23" s="287">
        <f>$V23*'FZ-CZ'!X30*'FZ-CZ'!$F30</f>
        <v>15311.841348651191</v>
      </c>
      <c r="AN23" s="288"/>
      <c r="AP23" s="289"/>
    </row>
    <row r="24" spans="1:48" hidden="1">
      <c r="A24" s="42">
        <v>2</v>
      </c>
      <c r="B24" s="282">
        <f>V65</f>
        <v>0.4274836432799976</v>
      </c>
      <c r="C24" s="282">
        <f>X45</f>
        <v>0.57251635672000234</v>
      </c>
      <c r="D24" s="517"/>
      <c r="J24" s="283" t="s">
        <v>284</v>
      </c>
      <c r="K24" s="234" t="s">
        <v>283</v>
      </c>
      <c r="L24" s="234" t="s">
        <v>387</v>
      </c>
      <c r="M24" s="284">
        <v>0.967652388812825</v>
      </c>
      <c r="N24" s="284">
        <v>0.470743831586039</v>
      </c>
      <c r="O24" s="284">
        <v>0.51811800702794597</v>
      </c>
      <c r="P24" s="284">
        <v>1.11381613860141E-2</v>
      </c>
      <c r="Q24" s="284">
        <v>0.4555163931531328</v>
      </c>
      <c r="R24" s="284">
        <v>0.50135812718753192</v>
      </c>
      <c r="S24" s="284">
        <v>1.0777868472159309E-2</v>
      </c>
      <c r="T24" s="285"/>
      <c r="U24" s="290" t="s">
        <v>284</v>
      </c>
      <c r="V24" s="286">
        <f t="shared" ref="V24:V34" si="0">R24</f>
        <v>0.50135812718753192</v>
      </c>
      <c r="W24" s="287">
        <f>$V24*'FZ-CZ'!I31*'FZ-CZ'!$F31</f>
        <v>0</v>
      </c>
      <c r="X24" s="287">
        <f>$V24*'FZ-CZ'!J31*'FZ-CZ'!$F31</f>
        <v>0</v>
      </c>
      <c r="Y24" s="287">
        <f>$V24*'FZ-CZ'!K31*'FZ-CZ'!$F31</f>
        <v>31439.336684452504</v>
      </c>
      <c r="Z24" s="287">
        <f>$V24*'FZ-CZ'!L31*'FZ-CZ'!$F31</f>
        <v>18220.757920453161</v>
      </c>
      <c r="AA24" s="287">
        <f>$V24*'FZ-CZ'!M31*'FZ-CZ'!$F31</f>
        <v>0</v>
      </c>
      <c r="AB24" s="287">
        <f>$V24*'FZ-CZ'!N31*'FZ-CZ'!$F31</f>
        <v>0</v>
      </c>
      <c r="AC24" s="287">
        <f>$V24*'FZ-CZ'!O31*'FZ-CZ'!$F31</f>
        <v>0</v>
      </c>
      <c r="AD24" s="287">
        <f>$V24*'FZ-CZ'!P31*'FZ-CZ'!$F31</f>
        <v>0</v>
      </c>
      <c r="AE24" s="287">
        <f>$V24*'FZ-CZ'!Q31*'FZ-CZ'!$F31</f>
        <v>0</v>
      </c>
      <c r="AF24" s="287">
        <f>$V24*'FZ-CZ'!R31*'FZ-CZ'!$F31</f>
        <v>0</v>
      </c>
      <c r="AG24" s="287">
        <f>$V24*'FZ-CZ'!S31*'FZ-CZ'!$F31</f>
        <v>0</v>
      </c>
      <c r="AH24" s="287">
        <f>$V24*'FZ-CZ'!T31*'FZ-CZ'!$F31</f>
        <v>10300.120185203428</v>
      </c>
      <c r="AI24" s="287">
        <f>$V24*'FZ-CZ'!U31*'FZ-CZ'!$F31</f>
        <v>0</v>
      </c>
      <c r="AJ24" s="287">
        <f>$V24*'FZ-CZ'!V31*'FZ-CZ'!$F31</f>
        <v>0</v>
      </c>
      <c r="AK24" s="287">
        <f>$V24*'FZ-CZ'!W31*'FZ-CZ'!$F31</f>
        <v>0</v>
      </c>
      <c r="AL24" s="287">
        <f>$V24*'FZ-CZ'!X31*'FZ-CZ'!$F31</f>
        <v>0</v>
      </c>
      <c r="AN24" s="288"/>
      <c r="AO24" s="290"/>
      <c r="AP24" s="291"/>
      <c r="AQ24" s="292"/>
      <c r="AR24" s="292"/>
    </row>
    <row r="25" spans="1:48" hidden="1">
      <c r="A25" s="42">
        <v>3</v>
      </c>
      <c r="B25" s="282">
        <f>W65</f>
        <v>0.45841590078626177</v>
      </c>
      <c r="C25" s="282">
        <f>Y45</f>
        <v>0.54158409921373829</v>
      </c>
      <c r="D25" s="517"/>
      <c r="J25" s="283" t="s">
        <v>285</v>
      </c>
      <c r="K25" s="234" t="s">
        <v>283</v>
      </c>
      <c r="L25" s="234" t="s">
        <v>387</v>
      </c>
      <c r="M25" s="284">
        <v>0.952681787006181</v>
      </c>
      <c r="N25" s="284">
        <v>0.41840026596591001</v>
      </c>
      <c r="O25" s="284">
        <v>0.55887867256026202</v>
      </c>
      <c r="P25" s="284">
        <v>2.2721061473827901E-2</v>
      </c>
      <c r="Q25" s="284">
        <v>0.39860231306426458</v>
      </c>
      <c r="R25" s="284">
        <v>0.53243353249435277</v>
      </c>
      <c r="S25" s="284">
        <v>2.1645941447563658E-2</v>
      </c>
      <c r="T25" s="285"/>
      <c r="U25" s="290" t="s">
        <v>285</v>
      </c>
      <c r="V25" s="286">
        <f t="shared" si="0"/>
        <v>0.53243353249435277</v>
      </c>
      <c r="W25" s="287">
        <f>$V25*'FZ-CZ'!I32*'FZ-CZ'!$F32</f>
        <v>2418.3858433228565</v>
      </c>
      <c r="X25" s="287">
        <f>$V25*'FZ-CZ'!J32*'FZ-CZ'!$F32</f>
        <v>14354.500364900812</v>
      </c>
      <c r="Y25" s="287">
        <f>$V25*'FZ-CZ'!K32*'FZ-CZ'!$F32</f>
        <v>1124.9396890767207</v>
      </c>
      <c r="Z25" s="287">
        <f>$V25*'FZ-CZ'!L32*'FZ-CZ'!$F32</f>
        <v>0</v>
      </c>
      <c r="AA25" s="287">
        <f>$V25*'FZ-CZ'!M32*'FZ-CZ'!$F32</f>
        <v>0</v>
      </c>
      <c r="AB25" s="287">
        <f>$V25*'FZ-CZ'!N32*'FZ-CZ'!$F32</f>
        <v>0</v>
      </c>
      <c r="AC25" s="287">
        <f>$V25*'FZ-CZ'!O32*'FZ-CZ'!$F32</f>
        <v>0</v>
      </c>
      <c r="AD25" s="287">
        <f>$V25*'FZ-CZ'!P32*'FZ-CZ'!$F32</f>
        <v>0</v>
      </c>
      <c r="AE25" s="287">
        <f>$V25*'FZ-CZ'!Q32*'FZ-CZ'!$F32</f>
        <v>0</v>
      </c>
      <c r="AF25" s="287">
        <f>$V25*'FZ-CZ'!R32*'FZ-CZ'!$F32</f>
        <v>0</v>
      </c>
      <c r="AG25" s="287">
        <f>$V25*'FZ-CZ'!S32*'FZ-CZ'!$F32</f>
        <v>0</v>
      </c>
      <c r="AH25" s="287">
        <f>$V25*'FZ-CZ'!T32*'FZ-CZ'!$F32</f>
        <v>0</v>
      </c>
      <c r="AI25" s="287">
        <f>$V25*'FZ-CZ'!U32*'FZ-CZ'!$F32</f>
        <v>0</v>
      </c>
      <c r="AJ25" s="287">
        <f>$V25*'FZ-CZ'!V32*'FZ-CZ'!$F32</f>
        <v>0</v>
      </c>
      <c r="AK25" s="287">
        <f>$V25*'FZ-CZ'!W32*'FZ-CZ'!$F32</f>
        <v>0</v>
      </c>
      <c r="AL25" s="287">
        <f>$V25*'FZ-CZ'!X32*'FZ-CZ'!$F32</f>
        <v>0.99057718111900117</v>
      </c>
      <c r="AN25" s="288"/>
      <c r="AO25" s="290"/>
      <c r="AP25" s="293"/>
      <c r="AQ25" s="292"/>
      <c r="AR25" s="294"/>
      <c r="AT25" s="290"/>
      <c r="AU25" s="295"/>
      <c r="AV25" s="295"/>
    </row>
    <row r="26" spans="1:48" hidden="1">
      <c r="A26" s="42">
        <v>4</v>
      </c>
      <c r="B26" s="282">
        <f>X65</f>
        <v>0.49452539062639256</v>
      </c>
      <c r="C26" s="282">
        <f>Z45</f>
        <v>0.50547460937360744</v>
      </c>
      <c r="D26" s="517"/>
      <c r="J26" s="283" t="s">
        <v>286</v>
      </c>
      <c r="K26" s="234" t="s">
        <v>283</v>
      </c>
      <c r="L26" s="234" t="s">
        <v>387</v>
      </c>
      <c r="M26" s="284">
        <v>0.93571234620455601</v>
      </c>
      <c r="N26" s="284">
        <v>0.69114511385081401</v>
      </c>
      <c r="O26" s="284">
        <v>0.258536616450044</v>
      </c>
      <c r="P26" s="284">
        <v>5.0318269699141903E-2</v>
      </c>
      <c r="Q26" s="284">
        <v>0.64671301604916021</v>
      </c>
      <c r="R26" s="284">
        <v>0.24191590395825807</v>
      </c>
      <c r="S26" s="284">
        <v>4.7083426197137686E-2</v>
      </c>
      <c r="T26" s="285"/>
      <c r="U26" s="290" t="s">
        <v>286</v>
      </c>
      <c r="V26" s="286">
        <f t="shared" si="0"/>
        <v>0.24191590395825807</v>
      </c>
      <c r="W26" s="287">
        <f>$V26*'FZ-CZ'!I33*'FZ-CZ'!$F33</f>
        <v>0</v>
      </c>
      <c r="X26" s="287">
        <f>$V26*'FZ-CZ'!J33*'FZ-CZ'!$F33</f>
        <v>0</v>
      </c>
      <c r="Y26" s="287">
        <f>$V26*'FZ-CZ'!K33*'FZ-CZ'!$F33</f>
        <v>0</v>
      </c>
      <c r="Z26" s="287">
        <f>$V26*'FZ-CZ'!L33*'FZ-CZ'!$F33</f>
        <v>0</v>
      </c>
      <c r="AA26" s="287">
        <f>$V26*'FZ-CZ'!M33*'FZ-CZ'!$F33</f>
        <v>0</v>
      </c>
      <c r="AB26" s="287">
        <f>$V26*'FZ-CZ'!N33*'FZ-CZ'!$F33</f>
        <v>0</v>
      </c>
      <c r="AC26" s="287">
        <f>$V26*'FZ-CZ'!O33*'FZ-CZ'!$F33</f>
        <v>0</v>
      </c>
      <c r="AD26" s="287">
        <f>$V26*'FZ-CZ'!P33*'FZ-CZ'!$F33</f>
        <v>0</v>
      </c>
      <c r="AE26" s="287">
        <f>$V26*'FZ-CZ'!Q33*'FZ-CZ'!$F33</f>
        <v>0</v>
      </c>
      <c r="AF26" s="287">
        <f>$V26*'FZ-CZ'!R33*'FZ-CZ'!$F33</f>
        <v>0</v>
      </c>
      <c r="AG26" s="287">
        <f>$V26*'FZ-CZ'!S33*'FZ-CZ'!$F33</f>
        <v>1928.7897435480402</v>
      </c>
      <c r="AH26" s="287">
        <f>$V26*'FZ-CZ'!T33*'FZ-CZ'!$F33</f>
        <v>0</v>
      </c>
      <c r="AI26" s="287">
        <f>$V26*'FZ-CZ'!U33*'FZ-CZ'!$F33</f>
        <v>0</v>
      </c>
      <c r="AJ26" s="287">
        <f>$V26*'FZ-CZ'!V33*'FZ-CZ'!$F33</f>
        <v>0</v>
      </c>
      <c r="AK26" s="287">
        <f>$V26*'FZ-CZ'!W33*'FZ-CZ'!$F33</f>
        <v>0</v>
      </c>
      <c r="AL26" s="287">
        <f>$V26*'FZ-CZ'!X33*'FZ-CZ'!$F33</f>
        <v>346.46899374580403</v>
      </c>
      <c r="AN26" s="288"/>
      <c r="AO26" s="290"/>
      <c r="AP26" s="291"/>
      <c r="AQ26" s="294"/>
      <c r="AR26" s="294"/>
      <c r="AT26" s="290"/>
      <c r="AU26" s="295"/>
      <c r="AV26" s="295"/>
    </row>
    <row r="27" spans="1:48" hidden="1">
      <c r="A27" s="42">
        <v>5</v>
      </c>
      <c r="B27" s="282">
        <f>Y65</f>
        <v>0.37677632117990895</v>
      </c>
      <c r="C27" s="282">
        <f>AA45</f>
        <v>0.623223678820091</v>
      </c>
      <c r="D27" s="517"/>
      <c r="J27" s="283" t="s">
        <v>287</v>
      </c>
      <c r="K27" s="234" t="s">
        <v>283</v>
      </c>
      <c r="L27" s="234" t="s">
        <v>387</v>
      </c>
      <c r="M27" s="284">
        <v>0.93571234620455601</v>
      </c>
      <c r="N27" s="284">
        <v>0.69114511385081401</v>
      </c>
      <c r="O27" s="284">
        <v>0.258536616450044</v>
      </c>
      <c r="P27" s="284">
        <v>5.0318269699141903E-2</v>
      </c>
      <c r="Q27" s="284">
        <v>0.64671301604916021</v>
      </c>
      <c r="R27" s="284">
        <v>0.24191590395825807</v>
      </c>
      <c r="S27" s="284">
        <v>4.7083426197137686E-2</v>
      </c>
      <c r="T27" s="285"/>
      <c r="U27" s="290" t="s">
        <v>287</v>
      </c>
      <c r="V27" s="286">
        <f t="shared" si="0"/>
        <v>0.24191590395825807</v>
      </c>
      <c r="W27" s="287">
        <f>$V27*'FZ-CZ'!I34*'FZ-CZ'!$F34</f>
        <v>0</v>
      </c>
      <c r="X27" s="287">
        <f>$V27*'FZ-CZ'!J34*'FZ-CZ'!$F34</f>
        <v>0</v>
      </c>
      <c r="Y27" s="287">
        <f>$V27*'FZ-CZ'!K34*'FZ-CZ'!$F34</f>
        <v>398.15784151154537</v>
      </c>
      <c r="Z27" s="287">
        <f>$V27*'FZ-CZ'!L34*'FZ-CZ'!$F34</f>
        <v>0</v>
      </c>
      <c r="AA27" s="287">
        <f>$V27*'FZ-CZ'!M34*'FZ-CZ'!$F34</f>
        <v>0</v>
      </c>
      <c r="AB27" s="287">
        <f>$V27*'FZ-CZ'!N34*'FZ-CZ'!$F34</f>
        <v>0</v>
      </c>
      <c r="AC27" s="287">
        <f>$V27*'FZ-CZ'!O34*'FZ-CZ'!$F34</f>
        <v>0</v>
      </c>
      <c r="AD27" s="287">
        <f>$V27*'FZ-CZ'!P34*'FZ-CZ'!$F34</f>
        <v>0</v>
      </c>
      <c r="AE27" s="287">
        <f>$V27*'FZ-CZ'!Q34*'FZ-CZ'!$F34</f>
        <v>0</v>
      </c>
      <c r="AF27" s="287">
        <f>$V27*'FZ-CZ'!R34*'FZ-CZ'!$F34</f>
        <v>0</v>
      </c>
      <c r="AG27" s="287">
        <f>$V27*'FZ-CZ'!S34*'FZ-CZ'!$F34</f>
        <v>2415.4572414337058</v>
      </c>
      <c r="AH27" s="287">
        <f>$V27*'FZ-CZ'!T34*'FZ-CZ'!$F34</f>
        <v>7945.771914966067</v>
      </c>
      <c r="AI27" s="287">
        <f>$V27*'FZ-CZ'!U34*'FZ-CZ'!$F34</f>
        <v>0</v>
      </c>
      <c r="AJ27" s="287">
        <f>$V27*'FZ-CZ'!V34*'FZ-CZ'!$F34</f>
        <v>0</v>
      </c>
      <c r="AK27" s="287">
        <f>$V27*'FZ-CZ'!W34*'FZ-CZ'!$F34</f>
        <v>0</v>
      </c>
      <c r="AL27" s="287">
        <f>$V27*'FZ-CZ'!X34*'FZ-CZ'!$F34</f>
        <v>184.36048256548978</v>
      </c>
      <c r="AN27" s="288"/>
      <c r="AO27" s="290"/>
      <c r="AP27" s="291"/>
      <c r="AQ27" s="294"/>
      <c r="AR27" s="294"/>
      <c r="AT27" s="290"/>
      <c r="AU27" s="295"/>
      <c r="AV27" s="295"/>
    </row>
    <row r="28" spans="1:48" hidden="1">
      <c r="A28" s="42">
        <v>6</v>
      </c>
      <c r="B28" s="282">
        <f>Z65</f>
        <v>0.20051929381634176</v>
      </c>
      <c r="C28" s="282">
        <f>AB45</f>
        <v>0.79948070618365819</v>
      </c>
      <c r="D28" s="517"/>
      <c r="J28" s="283" t="s">
        <v>288</v>
      </c>
      <c r="K28" s="234" t="s">
        <v>283</v>
      </c>
      <c r="L28" s="234" t="s">
        <v>387</v>
      </c>
      <c r="M28" s="284">
        <v>0.91392696430730502</v>
      </c>
      <c r="N28" s="284">
        <v>0.50153448499198205</v>
      </c>
      <c r="O28" s="284">
        <v>0.49460576571588999</v>
      </c>
      <c r="P28" s="284">
        <v>3.8597492921283501E-3</v>
      </c>
      <c r="Q28" s="284">
        <v>0.45836588936414979</v>
      </c>
      <c r="R28" s="284">
        <v>0.45203354598961348</v>
      </c>
      <c r="S28" s="284">
        <v>3.5275289535421327E-3</v>
      </c>
      <c r="T28" s="285"/>
      <c r="U28" s="290" t="s">
        <v>288</v>
      </c>
      <c r="V28" s="286">
        <f t="shared" si="0"/>
        <v>0.45203354598961348</v>
      </c>
      <c r="W28" s="287">
        <f>$V28*'FZ-CZ'!I35*'FZ-CZ'!$F35</f>
        <v>0</v>
      </c>
      <c r="X28" s="287">
        <f>$V28*'FZ-CZ'!J35*'FZ-CZ'!$F35</f>
        <v>0</v>
      </c>
      <c r="Y28" s="287">
        <f>$V28*'FZ-CZ'!K35*'FZ-CZ'!$F35</f>
        <v>0</v>
      </c>
      <c r="Z28" s="287">
        <f>$V28*'FZ-CZ'!L35*'FZ-CZ'!$F35</f>
        <v>0</v>
      </c>
      <c r="AA28" s="287">
        <f>$V28*'FZ-CZ'!M35*'FZ-CZ'!$F35</f>
        <v>0</v>
      </c>
      <c r="AB28" s="287">
        <f>$V28*'FZ-CZ'!N35*'FZ-CZ'!$F35</f>
        <v>0</v>
      </c>
      <c r="AC28" s="287">
        <f>$V28*'FZ-CZ'!O35*'FZ-CZ'!$F35</f>
        <v>0</v>
      </c>
      <c r="AD28" s="287">
        <f>$V28*'FZ-CZ'!P35*'FZ-CZ'!$F35</f>
        <v>0</v>
      </c>
      <c r="AE28" s="287">
        <f>$V28*'FZ-CZ'!Q35*'FZ-CZ'!$F35</f>
        <v>0</v>
      </c>
      <c r="AF28" s="287">
        <f>$V28*'FZ-CZ'!R35*'FZ-CZ'!$F35</f>
        <v>0</v>
      </c>
      <c r="AG28" s="287">
        <f>$V28*'FZ-CZ'!S35*'FZ-CZ'!$F35</f>
        <v>0</v>
      </c>
      <c r="AH28" s="287">
        <f>$V28*'FZ-CZ'!T35*'FZ-CZ'!$F35</f>
        <v>888.46521238777359</v>
      </c>
      <c r="AI28" s="287">
        <f>$V28*'FZ-CZ'!U35*'FZ-CZ'!$F35</f>
        <v>18493.442770143214</v>
      </c>
      <c r="AJ28" s="287">
        <f>$V28*'FZ-CZ'!V35*'FZ-CZ'!$F35</f>
        <v>0</v>
      </c>
      <c r="AK28" s="287">
        <f>$V28*'FZ-CZ'!W35*'FZ-CZ'!$F35</f>
        <v>0</v>
      </c>
      <c r="AL28" s="287">
        <f>$V28*'FZ-CZ'!X35*'FZ-CZ'!$F35</f>
        <v>124.74333125532314</v>
      </c>
      <c r="AN28" s="288"/>
      <c r="AO28" s="290"/>
      <c r="AP28" s="291"/>
      <c r="AQ28" s="294"/>
      <c r="AR28" s="294"/>
      <c r="AT28" s="290"/>
      <c r="AU28" s="295"/>
      <c r="AV28" s="295"/>
    </row>
    <row r="29" spans="1:48" hidden="1">
      <c r="A29" s="42">
        <v>7</v>
      </c>
      <c r="B29" s="282">
        <f>AA65</f>
        <v>0.69539436669515065</v>
      </c>
      <c r="C29" s="282">
        <f>AC45</f>
        <v>0.3046056333048493</v>
      </c>
      <c r="D29" s="517"/>
      <c r="J29" s="283" t="s">
        <v>289</v>
      </c>
      <c r="K29" s="234" t="s">
        <v>283</v>
      </c>
      <c r="L29" s="234" t="s">
        <v>387</v>
      </c>
      <c r="M29" s="284">
        <v>0.94401134983219503</v>
      </c>
      <c r="N29" s="284">
        <v>0.37671060014611601</v>
      </c>
      <c r="O29" s="284">
        <v>0.62116457118539703</v>
      </c>
      <c r="P29" s="284">
        <v>2.1248286684867799E-3</v>
      </c>
      <c r="Q29" s="284">
        <v>0.35561908214003124</v>
      </c>
      <c r="R29" s="284">
        <v>0.58638640531266328</v>
      </c>
      <c r="S29" s="284">
        <v>2.0058623795003506E-3</v>
      </c>
      <c r="T29" s="285"/>
      <c r="U29" s="290" t="s">
        <v>289</v>
      </c>
      <c r="V29" s="286">
        <f t="shared" si="0"/>
        <v>0.58638640531266328</v>
      </c>
      <c r="W29" s="287">
        <f>$V29*'FZ-CZ'!I36*'FZ-CZ'!$F36</f>
        <v>0</v>
      </c>
      <c r="X29" s="287">
        <f>$V29*'FZ-CZ'!J36*'FZ-CZ'!$F36</f>
        <v>0</v>
      </c>
      <c r="Y29" s="287">
        <f>$V29*'FZ-CZ'!K36*'FZ-CZ'!$F36</f>
        <v>10712.211928839986</v>
      </c>
      <c r="Z29" s="287">
        <f>$V29*'FZ-CZ'!L36*'FZ-CZ'!$F36</f>
        <v>3154.6696527492854</v>
      </c>
      <c r="AA29" s="287">
        <f>$V29*'FZ-CZ'!M36*'FZ-CZ'!$F36</f>
        <v>6627.6897034075791</v>
      </c>
      <c r="AB29" s="287">
        <f>$V29*'FZ-CZ'!N36*'FZ-CZ'!$F36</f>
        <v>2.4628971366046075</v>
      </c>
      <c r="AC29" s="287">
        <f>$V29*'FZ-CZ'!O36*'FZ-CZ'!$F36</f>
        <v>0</v>
      </c>
      <c r="AD29" s="287">
        <f>$V29*'FZ-CZ'!P36*'FZ-CZ'!$F36</f>
        <v>0</v>
      </c>
      <c r="AE29" s="287">
        <f>$V29*'FZ-CZ'!Q36*'FZ-CZ'!$F36</f>
        <v>0</v>
      </c>
      <c r="AF29" s="287">
        <f>$V29*'FZ-CZ'!R36*'FZ-CZ'!$F36</f>
        <v>0</v>
      </c>
      <c r="AG29" s="287">
        <f>$V29*'FZ-CZ'!S36*'FZ-CZ'!$F36</f>
        <v>0</v>
      </c>
      <c r="AH29" s="287">
        <f>$V29*'FZ-CZ'!T36*'FZ-CZ'!$F36</f>
        <v>0</v>
      </c>
      <c r="AI29" s="287">
        <f>$V29*'FZ-CZ'!U36*'FZ-CZ'!$F36</f>
        <v>0</v>
      </c>
      <c r="AJ29" s="287">
        <f>$V29*'FZ-CZ'!V36*'FZ-CZ'!$F36</f>
        <v>0</v>
      </c>
      <c r="AK29" s="287">
        <f>$V29*'FZ-CZ'!W36*'FZ-CZ'!$F36</f>
        <v>0</v>
      </c>
      <c r="AL29" s="287">
        <f>$V29*'FZ-CZ'!X36*'FZ-CZ'!$F36</f>
        <v>0</v>
      </c>
      <c r="AN29" s="288"/>
      <c r="AO29" s="290"/>
      <c r="AP29" s="291"/>
      <c r="AQ29" s="294"/>
      <c r="AR29" s="294"/>
      <c r="AT29" s="290"/>
      <c r="AU29" s="295"/>
      <c r="AV29" s="295"/>
    </row>
    <row r="30" spans="1:48" hidden="1">
      <c r="A30" s="42">
        <v>8</v>
      </c>
      <c r="B30" s="282">
        <f>AB65</f>
        <v>2.0690267110278725E-2</v>
      </c>
      <c r="C30" s="282">
        <f>AD45</f>
        <v>0.97930973288972134</v>
      </c>
      <c r="D30" s="517"/>
      <c r="J30" s="283" t="s">
        <v>290</v>
      </c>
      <c r="K30" s="234" t="s">
        <v>283</v>
      </c>
      <c r="L30" s="234" t="s">
        <v>387</v>
      </c>
      <c r="M30" s="284">
        <v>0.89628660988166697</v>
      </c>
      <c r="N30" s="284">
        <v>0.49131496458683799</v>
      </c>
      <c r="O30" s="284">
        <v>0.50310727490791596</v>
      </c>
      <c r="P30" s="284">
        <v>5.5777605052460596E-3</v>
      </c>
      <c r="Q30" s="284">
        <v>0.44035902399366827</v>
      </c>
      <c r="R30" s="284">
        <v>0.45092831383401982</v>
      </c>
      <c r="S30" s="284">
        <v>4.9992720539788447E-3</v>
      </c>
      <c r="T30" s="285"/>
      <c r="U30" s="296" t="s">
        <v>290</v>
      </c>
      <c r="V30" s="286">
        <f t="shared" si="0"/>
        <v>0.45092831383401982</v>
      </c>
      <c r="W30" s="287">
        <f>$V30*'FZ-CZ'!I37*'FZ-CZ'!$F37</f>
        <v>0</v>
      </c>
      <c r="X30" s="287">
        <f>$V30*'FZ-CZ'!J37*'FZ-CZ'!$F37</f>
        <v>0</v>
      </c>
      <c r="Y30" s="287">
        <f>$V30*'FZ-CZ'!K37*'FZ-CZ'!$F37</f>
        <v>0</v>
      </c>
      <c r="Z30" s="287">
        <f>$V30*'FZ-CZ'!L37*'FZ-CZ'!$F37</f>
        <v>0</v>
      </c>
      <c r="AA30" s="287">
        <f>$V30*'FZ-CZ'!M37*'FZ-CZ'!$F37</f>
        <v>0</v>
      </c>
      <c r="AB30" s="287">
        <f>$V30*'FZ-CZ'!N37*'FZ-CZ'!$F37</f>
        <v>14320.983526162179</v>
      </c>
      <c r="AC30" s="287">
        <f>$V30*'FZ-CZ'!O37*'FZ-CZ'!$F37</f>
        <v>0</v>
      </c>
      <c r="AD30" s="287">
        <f>$V30*'FZ-CZ'!P37*'FZ-CZ'!$F37</f>
        <v>33347.91164978531</v>
      </c>
      <c r="AE30" s="287">
        <f>$V30*'FZ-CZ'!Q37*'FZ-CZ'!$F37</f>
        <v>24480.804134565271</v>
      </c>
      <c r="AF30" s="287">
        <f>$V30*'FZ-CZ'!R37*'FZ-CZ'!$F37</f>
        <v>0</v>
      </c>
      <c r="AG30" s="287">
        <f>$V30*'FZ-CZ'!S37*'FZ-CZ'!$F37</f>
        <v>0</v>
      </c>
      <c r="AH30" s="287">
        <f>$V30*'FZ-CZ'!T37*'FZ-CZ'!$F37</f>
        <v>0</v>
      </c>
      <c r="AI30" s="287">
        <f>$V30*'FZ-CZ'!U37*'FZ-CZ'!$F37</f>
        <v>0</v>
      </c>
      <c r="AJ30" s="287">
        <f>$V30*'FZ-CZ'!V37*'FZ-CZ'!$F37</f>
        <v>3416.1309503479156</v>
      </c>
      <c r="AK30" s="287">
        <f>$V30*'FZ-CZ'!W37*'FZ-CZ'!$F37</f>
        <v>0</v>
      </c>
      <c r="AL30" s="287">
        <f>$V30*'FZ-CZ'!X37*'FZ-CZ'!$F37</f>
        <v>247.88019745402772</v>
      </c>
      <c r="AN30" s="288"/>
      <c r="AO30" s="296"/>
      <c r="AP30" s="291"/>
      <c r="AQ30" s="294"/>
      <c r="AR30" s="294"/>
      <c r="AT30" s="290"/>
      <c r="AU30" s="295"/>
      <c r="AV30" s="295"/>
    </row>
    <row r="31" spans="1:48" hidden="1">
      <c r="A31" s="42">
        <v>9</v>
      </c>
      <c r="B31" s="282">
        <f>AC65</f>
        <v>0.13694875662035808</v>
      </c>
      <c r="C31" s="282">
        <f>AE45</f>
        <v>0.8630512433796419</v>
      </c>
      <c r="D31" s="517"/>
      <c r="J31" s="283" t="s">
        <v>291</v>
      </c>
      <c r="K31" s="234" t="s">
        <v>283</v>
      </c>
      <c r="L31" s="234" t="s">
        <v>387</v>
      </c>
      <c r="M31" s="284">
        <v>0.94957453183711305</v>
      </c>
      <c r="N31" s="284">
        <v>0.50547845758587495</v>
      </c>
      <c r="O31" s="284">
        <v>0.49452154241412499</v>
      </c>
      <c r="P31" s="284">
        <v>0</v>
      </c>
      <c r="Q31" s="284">
        <v>0.47998946971585321</v>
      </c>
      <c r="R31" s="284">
        <v>0.46958506212125978</v>
      </c>
      <c r="S31" s="284">
        <v>0</v>
      </c>
      <c r="T31" s="285"/>
      <c r="U31" s="296" t="s">
        <v>291</v>
      </c>
      <c r="V31" s="286">
        <f t="shared" si="0"/>
        <v>0.46958506212125978</v>
      </c>
      <c r="W31" s="287">
        <f>$V31*'FZ-CZ'!I38*'FZ-CZ'!$F38</f>
        <v>0</v>
      </c>
      <c r="X31" s="287">
        <f>$V31*'FZ-CZ'!J38*'FZ-CZ'!$F38</f>
        <v>0</v>
      </c>
      <c r="Y31" s="287">
        <f>$V31*'FZ-CZ'!K38*'FZ-CZ'!$F38</f>
        <v>0</v>
      </c>
      <c r="Z31" s="287">
        <f>$V31*'FZ-CZ'!L38*'FZ-CZ'!$F38</f>
        <v>0</v>
      </c>
      <c r="AA31" s="287">
        <f>$V31*'FZ-CZ'!M38*'FZ-CZ'!$F38</f>
        <v>20.810327610696884</v>
      </c>
      <c r="AB31" s="287">
        <f>$V31*'FZ-CZ'!N38*'FZ-CZ'!$F38</f>
        <v>6961.9984907124253</v>
      </c>
      <c r="AC31" s="287">
        <f>$V31*'FZ-CZ'!O38*'FZ-CZ'!$F38</f>
        <v>0</v>
      </c>
      <c r="AD31" s="287">
        <f>$V31*'FZ-CZ'!P38*'FZ-CZ'!$F38</f>
        <v>0</v>
      </c>
      <c r="AE31" s="287">
        <f>$V31*'FZ-CZ'!Q38*'FZ-CZ'!$F38</f>
        <v>4234.6906782620863</v>
      </c>
      <c r="AF31" s="287">
        <f>$V31*'FZ-CZ'!R38*'FZ-CZ'!$F38</f>
        <v>0</v>
      </c>
      <c r="AG31" s="287">
        <f>$V31*'FZ-CZ'!S38*'FZ-CZ'!$F38</f>
        <v>0</v>
      </c>
      <c r="AH31" s="287">
        <f>$V31*'FZ-CZ'!T38*'FZ-CZ'!$F38</f>
        <v>0</v>
      </c>
      <c r="AI31" s="287">
        <f>$V31*'FZ-CZ'!U38*'FZ-CZ'!$F38</f>
        <v>0</v>
      </c>
      <c r="AJ31" s="287">
        <f>$V31*'FZ-CZ'!V38*'FZ-CZ'!$F38</f>
        <v>0</v>
      </c>
      <c r="AK31" s="287">
        <f>$V31*'FZ-CZ'!W38*'FZ-CZ'!$F38</f>
        <v>0</v>
      </c>
      <c r="AL31" s="287">
        <f>$V31*'FZ-CZ'!X38*'FZ-CZ'!$F38</f>
        <v>160.48604836168161</v>
      </c>
      <c r="AN31" s="288"/>
      <c r="AO31" s="296"/>
      <c r="AP31" s="291"/>
      <c r="AQ31" s="294"/>
      <c r="AR31" s="294"/>
      <c r="AT31" s="296"/>
      <c r="AU31" s="295"/>
      <c r="AV31" s="295"/>
    </row>
    <row r="32" spans="1:48" hidden="1">
      <c r="A32" s="42">
        <v>10</v>
      </c>
      <c r="B32" s="282">
        <f>AD65</f>
        <v>0.57743829892119936</v>
      </c>
      <c r="C32" s="282">
        <f>AF45</f>
        <v>0.42256170107880064</v>
      </c>
      <c r="D32" s="517"/>
      <c r="J32" s="283" t="s">
        <v>292</v>
      </c>
      <c r="K32" s="234" t="s">
        <v>283</v>
      </c>
      <c r="L32" s="234" t="s">
        <v>387</v>
      </c>
      <c r="M32" s="284">
        <v>0.95364491852632605</v>
      </c>
      <c r="N32" s="284">
        <v>0.330735912549734</v>
      </c>
      <c r="O32" s="284">
        <v>0.65175324763605702</v>
      </c>
      <c r="P32" s="284">
        <v>1.7510839814209301E-2</v>
      </c>
      <c r="Q32" s="284">
        <v>0.31540462237722117</v>
      </c>
      <c r="R32" s="284">
        <v>0.62154117274115606</v>
      </c>
      <c r="S32" s="284">
        <v>1.6699123407949174E-2</v>
      </c>
      <c r="T32" s="285"/>
      <c r="U32" s="296" t="s">
        <v>292</v>
      </c>
      <c r="V32" s="286">
        <f t="shared" si="0"/>
        <v>0.62154117274115606</v>
      </c>
      <c r="W32" s="287">
        <f>$V32*'FZ-CZ'!I39*'FZ-CZ'!$F39</f>
        <v>0</v>
      </c>
      <c r="X32" s="287">
        <f>$V32*'FZ-CZ'!J39*'FZ-CZ'!$F39</f>
        <v>0</v>
      </c>
      <c r="Y32" s="287">
        <f>$V32*'FZ-CZ'!K39*'FZ-CZ'!$F39</f>
        <v>0</v>
      </c>
      <c r="Z32" s="287">
        <f>$V32*'FZ-CZ'!L39*'FZ-CZ'!$F39</f>
        <v>0</v>
      </c>
      <c r="AA32" s="287">
        <f>$V32*'FZ-CZ'!M39*'FZ-CZ'!$F39</f>
        <v>0</v>
      </c>
      <c r="AB32" s="287">
        <f>$V32*'FZ-CZ'!N39*'FZ-CZ'!$F39</f>
        <v>0</v>
      </c>
      <c r="AC32" s="287">
        <f>$V32*'FZ-CZ'!O39*'FZ-CZ'!$F39</f>
        <v>0</v>
      </c>
      <c r="AD32" s="287">
        <f>$V32*'FZ-CZ'!P39*'FZ-CZ'!$F39</f>
        <v>0</v>
      </c>
      <c r="AE32" s="287">
        <f>$V32*'FZ-CZ'!Q39*'FZ-CZ'!$F39</f>
        <v>0</v>
      </c>
      <c r="AF32" s="287">
        <f>$V32*'FZ-CZ'!R39*'FZ-CZ'!$F39</f>
        <v>0</v>
      </c>
      <c r="AG32" s="287">
        <f>$V32*'FZ-CZ'!S39*'FZ-CZ'!$F39</f>
        <v>0</v>
      </c>
      <c r="AH32" s="287">
        <f>$V32*'FZ-CZ'!T39*'FZ-CZ'!$F39</f>
        <v>0</v>
      </c>
      <c r="AI32" s="287">
        <f>$V32*'FZ-CZ'!U39*'FZ-CZ'!$F39</f>
        <v>5703.9276222104063</v>
      </c>
      <c r="AJ32" s="287">
        <f>$V32*'FZ-CZ'!V39*'FZ-CZ'!$F39</f>
        <v>879.48723259571648</v>
      </c>
      <c r="AK32" s="287">
        <f>$V32*'FZ-CZ'!W39*'FZ-CZ'!$F39</f>
        <v>0</v>
      </c>
      <c r="AL32" s="287">
        <f>$V32*'FZ-CZ'!X39*'FZ-CZ'!$F39</f>
        <v>683.93760128784061</v>
      </c>
      <c r="AN32" s="288"/>
      <c r="AO32" s="296"/>
      <c r="AP32" s="291"/>
      <c r="AQ32" s="294"/>
      <c r="AR32" s="294"/>
      <c r="AT32" s="296"/>
      <c r="AU32" s="295"/>
      <c r="AV32" s="295"/>
    </row>
    <row r="33" spans="1:61" hidden="1">
      <c r="A33" s="42">
        <v>11</v>
      </c>
      <c r="B33" s="282">
        <f>AE65</f>
        <v>0.47141158929035715</v>
      </c>
      <c r="C33" s="282">
        <f>AG45</f>
        <v>0.52858841070964291</v>
      </c>
      <c r="D33" s="517"/>
      <c r="J33" s="283" t="s">
        <v>293</v>
      </c>
      <c r="K33" s="234" t="s">
        <v>283</v>
      </c>
      <c r="L33" s="234" t="s">
        <v>387</v>
      </c>
      <c r="M33" s="284">
        <v>0.94091634493679199</v>
      </c>
      <c r="N33" s="284">
        <v>0.57543081975440402</v>
      </c>
      <c r="O33" s="284">
        <v>0.42456918024559598</v>
      </c>
      <c r="P33" s="284">
        <v>0</v>
      </c>
      <c r="Q33" s="284">
        <v>0.5414322636872958</v>
      </c>
      <c r="R33" s="284">
        <v>0.39948408124949619</v>
      </c>
      <c r="S33" s="284">
        <v>0</v>
      </c>
      <c r="T33" s="285"/>
      <c r="U33" s="296" t="s">
        <v>293</v>
      </c>
      <c r="V33" s="286">
        <f t="shared" si="0"/>
        <v>0.39948408124949619</v>
      </c>
      <c r="W33" s="287">
        <f>$V33*'FZ-CZ'!I40*'FZ-CZ'!$F40</f>
        <v>0</v>
      </c>
      <c r="X33" s="287">
        <f>$V33*'FZ-CZ'!J40*'FZ-CZ'!$F40</f>
        <v>0</v>
      </c>
      <c r="Y33" s="287">
        <f>$V33*'FZ-CZ'!K40*'FZ-CZ'!$F40</f>
        <v>0</v>
      </c>
      <c r="Z33" s="287">
        <f>$V33*'FZ-CZ'!L40*'FZ-CZ'!$F40</f>
        <v>0</v>
      </c>
      <c r="AA33" s="287">
        <f>$V33*'FZ-CZ'!M40*'FZ-CZ'!$F40</f>
        <v>0</v>
      </c>
      <c r="AB33" s="287">
        <f>$V33*'FZ-CZ'!N40*'FZ-CZ'!$F40</f>
        <v>0</v>
      </c>
      <c r="AC33" s="287">
        <f>$V33*'FZ-CZ'!O40*'FZ-CZ'!$F40</f>
        <v>0</v>
      </c>
      <c r="AD33" s="287">
        <f>$V33*'FZ-CZ'!P40*'FZ-CZ'!$F40</f>
        <v>0</v>
      </c>
      <c r="AE33" s="287">
        <f>$V33*'FZ-CZ'!Q40*'FZ-CZ'!$F40</f>
        <v>0</v>
      </c>
      <c r="AF33" s="287">
        <f>$V33*'FZ-CZ'!R40*'FZ-CZ'!$F40</f>
        <v>9573.2319481584491</v>
      </c>
      <c r="AG33" s="287">
        <f>$V33*'FZ-CZ'!S40*'FZ-CZ'!$F40</f>
        <v>0</v>
      </c>
      <c r="AH33" s="287">
        <f>$V33*'FZ-CZ'!T40*'FZ-CZ'!$F40</f>
        <v>0</v>
      </c>
      <c r="AI33" s="287">
        <f>$V33*'FZ-CZ'!U40*'FZ-CZ'!$F40</f>
        <v>0</v>
      </c>
      <c r="AJ33" s="287">
        <f>$V33*'FZ-CZ'!V40*'FZ-CZ'!$F40</f>
        <v>3250.343452320481</v>
      </c>
      <c r="AK33" s="287">
        <f>$V33*'FZ-CZ'!W40*'FZ-CZ'!$F40</f>
        <v>12.872194246905664</v>
      </c>
      <c r="AL33" s="287">
        <f>$V33*'FZ-CZ'!X40*'FZ-CZ'!$F40</f>
        <v>611.81166622189619</v>
      </c>
      <c r="AN33" s="288"/>
      <c r="AO33" s="296"/>
      <c r="AP33" s="291"/>
      <c r="AQ33" s="294"/>
      <c r="AR33" s="294"/>
      <c r="AT33" s="296"/>
      <c r="AU33" s="295"/>
      <c r="AV33" s="295"/>
    </row>
    <row r="34" spans="1:61" hidden="1">
      <c r="A34" s="42">
        <v>12</v>
      </c>
      <c r="B34" s="282">
        <f>AF65</f>
        <v>0.41179210886272355</v>
      </c>
      <c r="C34" s="282">
        <f>AH45</f>
        <v>0.58820789113727634</v>
      </c>
      <c r="D34" s="517"/>
      <c r="J34" s="283" t="s">
        <v>294</v>
      </c>
      <c r="K34" s="234" t="s">
        <v>283</v>
      </c>
      <c r="L34" s="234" t="s">
        <v>387</v>
      </c>
      <c r="M34" s="284">
        <v>0.91649907885745996</v>
      </c>
      <c r="N34" s="284">
        <v>0.56590177943271303</v>
      </c>
      <c r="O34" s="284">
        <v>0.42643215341099999</v>
      </c>
      <c r="P34" s="284">
        <v>7.6660671562874599E-3</v>
      </c>
      <c r="Q34" s="284">
        <v>0.51864845957387895</v>
      </c>
      <c r="R34" s="284">
        <v>0.39082467579638452</v>
      </c>
      <c r="S34" s="284">
        <v>7.0259434871968842E-3</v>
      </c>
      <c r="T34" s="285"/>
      <c r="U34" s="296" t="s">
        <v>294</v>
      </c>
      <c r="V34" s="286">
        <f t="shared" si="0"/>
        <v>0.39082467579638452</v>
      </c>
      <c r="W34" s="287">
        <f>$V34*'FZ-CZ'!I41*'FZ-CZ'!$F41</f>
        <v>0</v>
      </c>
      <c r="X34" s="287">
        <f>$V34*'FZ-CZ'!J41*'FZ-CZ'!$F41</f>
        <v>0</v>
      </c>
      <c r="Y34" s="287">
        <f>$V34*'FZ-CZ'!K41*'FZ-CZ'!$F41</f>
        <v>0</v>
      </c>
      <c r="Z34" s="287">
        <f>$V34*'FZ-CZ'!L41*'FZ-CZ'!$F41</f>
        <v>0</v>
      </c>
      <c r="AA34" s="287">
        <f>$V34*'FZ-CZ'!M41*'FZ-CZ'!$F41</f>
        <v>0</v>
      </c>
      <c r="AB34" s="287">
        <f>$V34*'FZ-CZ'!N41*'FZ-CZ'!$F41</f>
        <v>0</v>
      </c>
      <c r="AC34" s="287">
        <f>$V34*'FZ-CZ'!O41*'FZ-CZ'!$F41</f>
        <v>0</v>
      </c>
      <c r="AD34" s="287">
        <f>$V34*'FZ-CZ'!P41*'FZ-CZ'!$F41</f>
        <v>0</v>
      </c>
      <c r="AE34" s="287">
        <f>$V34*'FZ-CZ'!Q41*'FZ-CZ'!$F41</f>
        <v>0</v>
      </c>
      <c r="AF34" s="287">
        <f>$V34*'FZ-CZ'!R41*'FZ-CZ'!$F41</f>
        <v>11976.738000228313</v>
      </c>
      <c r="AG34" s="287">
        <f>$V34*'FZ-CZ'!S41*'FZ-CZ'!$F41</f>
        <v>0</v>
      </c>
      <c r="AH34" s="287">
        <f>$V34*'FZ-CZ'!T41*'FZ-CZ'!$F41</f>
        <v>0</v>
      </c>
      <c r="AI34" s="287">
        <f>$V34*'FZ-CZ'!U41*'FZ-CZ'!$F41</f>
        <v>0</v>
      </c>
      <c r="AJ34" s="287">
        <f>$V34*'FZ-CZ'!V41*'FZ-CZ'!$F41</f>
        <v>3.5188917232482027E-2</v>
      </c>
      <c r="AK34" s="287">
        <f>$V34*'FZ-CZ'!W41*'FZ-CZ'!$F41</f>
        <v>1854.7092983558769</v>
      </c>
      <c r="AL34" s="287">
        <f>$V34*'FZ-CZ'!X41*'FZ-CZ'!$F41</f>
        <v>77.260786675637533</v>
      </c>
      <c r="AN34" s="288"/>
      <c r="AO34" s="296"/>
      <c r="AP34" s="291"/>
      <c r="AQ34" s="294"/>
      <c r="AR34" s="294"/>
      <c r="AT34" s="296"/>
      <c r="AU34" s="295"/>
      <c r="AV34" s="295"/>
    </row>
    <row r="35" spans="1:61" hidden="1">
      <c r="A35" s="42">
        <v>13</v>
      </c>
      <c r="B35" s="282">
        <f>AG65</f>
        <v>0.6059263643684909</v>
      </c>
      <c r="C35" s="282">
        <f>AI45</f>
        <v>0.39407363563150904</v>
      </c>
      <c r="D35" s="517"/>
      <c r="J35" s="283" t="s">
        <v>295</v>
      </c>
      <c r="K35" s="234" t="s">
        <v>283</v>
      </c>
      <c r="L35" s="234" t="s">
        <v>387</v>
      </c>
      <c r="M35" s="284">
        <v>0.88342889941446501</v>
      </c>
      <c r="N35" s="284">
        <v>0.60337440645525697</v>
      </c>
      <c r="O35" s="284">
        <v>0.394588789191334</v>
      </c>
      <c r="P35" s="284">
        <v>2.03680435340973E-3</v>
      </c>
      <c r="Q35" s="284">
        <v>0.53303838782962376</v>
      </c>
      <c r="R35" s="284">
        <v>0.34859113975658657</v>
      </c>
      <c r="S35" s="284">
        <v>1.7993718282553488E-3</v>
      </c>
      <c r="T35" s="285"/>
      <c r="U35" s="296" t="s">
        <v>214</v>
      </c>
      <c r="V35" s="286">
        <f>(R35+R36)/2</f>
        <v>0.38899083861256223</v>
      </c>
      <c r="W35" s="287">
        <f>$V35*'FZ-CZ'!I42*'FZ-CZ'!$F42</f>
        <v>0</v>
      </c>
      <c r="X35" s="287">
        <f>$V35*'FZ-CZ'!J42*'FZ-CZ'!$F42</f>
        <v>0</v>
      </c>
      <c r="Y35" s="287">
        <f>$V35*'FZ-CZ'!K42*'FZ-CZ'!$F42</f>
        <v>0</v>
      </c>
      <c r="Z35" s="287">
        <f>$V35*'FZ-CZ'!L42*'FZ-CZ'!$F42</f>
        <v>0</v>
      </c>
      <c r="AA35" s="287">
        <f>$V35*'FZ-CZ'!M42*'FZ-CZ'!$F42</f>
        <v>0</v>
      </c>
      <c r="AB35" s="287">
        <f>$V35*'FZ-CZ'!N42*'FZ-CZ'!$F42</f>
        <v>2246.6192032952354</v>
      </c>
      <c r="AC35" s="287">
        <f>$V35*'FZ-CZ'!O42*'FZ-CZ'!$F42</f>
        <v>21394.084365881783</v>
      </c>
      <c r="AD35" s="287">
        <f>$V35*'FZ-CZ'!P42*'FZ-CZ'!$F42</f>
        <v>660.1613900034464</v>
      </c>
      <c r="AE35" s="287">
        <f>$V35*'FZ-CZ'!Q42*'FZ-CZ'!$F42</f>
        <v>0</v>
      </c>
      <c r="AF35" s="287">
        <f>$V35*'FZ-CZ'!R42*'FZ-CZ'!$F42</f>
        <v>9496.7404910794266</v>
      </c>
      <c r="AG35" s="287">
        <f>$V35*'FZ-CZ'!S42*'FZ-CZ'!$F42</f>
        <v>0</v>
      </c>
      <c r="AH35" s="287">
        <f>$V35*'FZ-CZ'!T42*'FZ-CZ'!$F42</f>
        <v>0</v>
      </c>
      <c r="AI35" s="287">
        <f>$V35*'FZ-CZ'!U42*'FZ-CZ'!$F42</f>
        <v>0</v>
      </c>
      <c r="AJ35" s="287">
        <f>$V35*'FZ-CZ'!V42*'FZ-CZ'!$F42</f>
        <v>225.58314146005546</v>
      </c>
      <c r="AK35" s="287">
        <f>$V35*'FZ-CZ'!W42*'FZ-CZ'!$F42</f>
        <v>39.623607662639799</v>
      </c>
      <c r="AL35" s="287">
        <f>$V35*'FZ-CZ'!X42*'FZ-CZ'!$F42</f>
        <v>0</v>
      </c>
      <c r="AN35" s="288"/>
      <c r="AO35" s="296"/>
      <c r="AP35" s="291"/>
      <c r="AQ35" s="294"/>
      <c r="AR35" s="294"/>
      <c r="AT35" s="296"/>
      <c r="AU35" s="295"/>
      <c r="AV35" s="295"/>
    </row>
    <row r="36" spans="1:61" hidden="1">
      <c r="A36" s="42">
        <v>14</v>
      </c>
      <c r="B36" s="282">
        <f>AH65</f>
        <v>0.71044545943493953</v>
      </c>
      <c r="C36" s="282">
        <f>AJ45</f>
        <v>0.28955454056506053</v>
      </c>
      <c r="D36" s="517"/>
      <c r="J36" s="283" t="s">
        <v>296</v>
      </c>
      <c r="K36" s="234" t="s">
        <v>283</v>
      </c>
      <c r="L36" s="234" t="s">
        <v>387</v>
      </c>
      <c r="M36" s="284">
        <v>0.89957233557740202</v>
      </c>
      <c r="N36" s="284">
        <v>0.52131716136986495</v>
      </c>
      <c r="O36" s="284">
        <v>0.47732741491314101</v>
      </c>
      <c r="P36" s="284">
        <v>1.3554237169944301E-3</v>
      </c>
      <c r="Q36" s="284">
        <v>0.46896249643007076</v>
      </c>
      <c r="R36" s="284">
        <v>0.42939053746853789</v>
      </c>
      <c r="S36" s="284">
        <v>1.219301678793683E-3</v>
      </c>
      <c r="T36" s="285"/>
      <c r="U36" s="296" t="s">
        <v>297</v>
      </c>
      <c r="V36" s="286">
        <f>R37</f>
        <v>0.48226227459724308</v>
      </c>
      <c r="W36" s="287">
        <f>$V36*'FZ-CZ'!I43*'FZ-CZ'!$F43</f>
        <v>0</v>
      </c>
      <c r="X36" s="287">
        <f>$V36*'FZ-CZ'!J43*'FZ-CZ'!$F43</f>
        <v>0</v>
      </c>
      <c r="Y36" s="287">
        <f>$V36*'FZ-CZ'!K43*'FZ-CZ'!$F43</f>
        <v>0</v>
      </c>
      <c r="Z36" s="287">
        <f>$V36*'FZ-CZ'!L43*'FZ-CZ'!$F43</f>
        <v>0</v>
      </c>
      <c r="AA36" s="287">
        <f>$V36*'FZ-CZ'!M43*'FZ-CZ'!$F43</f>
        <v>0</v>
      </c>
      <c r="AB36" s="287">
        <f>$V36*'FZ-CZ'!N43*'FZ-CZ'!$F43</f>
        <v>0</v>
      </c>
      <c r="AC36" s="287">
        <f>$V36*'FZ-CZ'!O43*'FZ-CZ'!$F43</f>
        <v>0</v>
      </c>
      <c r="AD36" s="287">
        <f>$V36*'FZ-CZ'!P43*'FZ-CZ'!$F43</f>
        <v>0</v>
      </c>
      <c r="AE36" s="287">
        <f>$V36*'FZ-CZ'!Q43*'FZ-CZ'!$F43</f>
        <v>0</v>
      </c>
      <c r="AF36" s="287">
        <f>$V36*'FZ-CZ'!R43*'FZ-CZ'!$F43</f>
        <v>0</v>
      </c>
      <c r="AG36" s="287">
        <f>$V36*'FZ-CZ'!S43*'FZ-CZ'!$F43</f>
        <v>59.069378284637509</v>
      </c>
      <c r="AH36" s="287">
        <f>$V36*'FZ-CZ'!T43*'FZ-CZ'!$F43</f>
        <v>13974.919194137849</v>
      </c>
      <c r="AI36" s="287">
        <f>$V36*'FZ-CZ'!U43*'FZ-CZ'!$F43</f>
        <v>0</v>
      </c>
      <c r="AJ36" s="287">
        <f>$V36*'FZ-CZ'!V43*'FZ-CZ'!$F43</f>
        <v>0</v>
      </c>
      <c r="AK36" s="287">
        <f>$V36*'FZ-CZ'!W43*'FZ-CZ'!$F43</f>
        <v>0</v>
      </c>
      <c r="AL36" s="287">
        <f>$V36*'FZ-CZ'!X43*'FZ-CZ'!$F43</f>
        <v>0</v>
      </c>
      <c r="AN36" s="288"/>
      <c r="AO36" s="296"/>
      <c r="AP36" s="291"/>
      <c r="AQ36" s="294"/>
      <c r="AR36" s="294"/>
      <c r="AT36" s="296"/>
    </row>
    <row r="37" spans="1:61" hidden="1">
      <c r="A37" s="42">
        <v>15</v>
      </c>
      <c r="B37" s="282">
        <f>AI65</f>
        <v>3.9762750254867703E-2</v>
      </c>
      <c r="C37" s="282">
        <f>AK45</f>
        <v>0.96023724974513225</v>
      </c>
      <c r="D37" s="517"/>
      <c r="J37" s="283" t="s">
        <v>297</v>
      </c>
      <c r="K37" s="234" t="s">
        <v>283</v>
      </c>
      <c r="L37" s="234" t="s">
        <v>387</v>
      </c>
      <c r="M37" s="284">
        <v>0.93479539637147502</v>
      </c>
      <c r="N37" s="284">
        <v>0.46221215509339397</v>
      </c>
      <c r="O37" s="284">
        <v>0.51590142235317404</v>
      </c>
      <c r="P37" s="284">
        <v>2.1886422553432199E-2</v>
      </c>
      <c r="Q37" s="284">
        <v>0.43207379472824292</v>
      </c>
      <c r="R37" s="284">
        <v>0.48226227459724308</v>
      </c>
      <c r="S37" s="284">
        <v>2.0459327045989243E-2</v>
      </c>
      <c r="T37" s="285"/>
      <c r="U37" s="296" t="s">
        <v>315</v>
      </c>
      <c r="V37" s="286">
        <f>R28</f>
        <v>0.45203354598961348</v>
      </c>
      <c r="W37" s="287">
        <f>$V37*'FZ-CZ'!I44*'FZ-CZ'!$F44</f>
        <v>0</v>
      </c>
      <c r="X37" s="287">
        <f>$V37*'FZ-CZ'!J44*'FZ-CZ'!$F44</f>
        <v>0</v>
      </c>
      <c r="Y37" s="287">
        <f>$V37*'FZ-CZ'!K44*'FZ-CZ'!$F44</f>
        <v>0</v>
      </c>
      <c r="Z37" s="287">
        <f>$V37*'FZ-CZ'!L44*'FZ-CZ'!$F44</f>
        <v>0</v>
      </c>
      <c r="AA37" s="287">
        <f>$V37*'FZ-CZ'!M44*'FZ-CZ'!$F44</f>
        <v>0</v>
      </c>
      <c r="AB37" s="287">
        <f>$V37*'FZ-CZ'!N44*'FZ-CZ'!$F44</f>
        <v>0</v>
      </c>
      <c r="AC37" s="287">
        <f>$V37*'FZ-CZ'!O44*'FZ-CZ'!$F44</f>
        <v>0</v>
      </c>
      <c r="AD37" s="287">
        <f>$V37*'FZ-CZ'!P44*'FZ-CZ'!$F44</f>
        <v>0</v>
      </c>
      <c r="AE37" s="287">
        <f>$V37*'FZ-CZ'!Q44*'FZ-CZ'!$F44</f>
        <v>0</v>
      </c>
      <c r="AF37" s="287">
        <f>$V37*'FZ-CZ'!R44*'FZ-CZ'!$F44</f>
        <v>0</v>
      </c>
      <c r="AG37" s="287">
        <f>$V37*'FZ-CZ'!S44*'FZ-CZ'!$F44</f>
        <v>0</v>
      </c>
      <c r="AH37" s="287">
        <f>$V37*'FZ-CZ'!T44*'FZ-CZ'!$F44</f>
        <v>19506.651313786311</v>
      </c>
      <c r="AI37" s="287">
        <f>$V37*'FZ-CZ'!U44*'FZ-CZ'!$F44</f>
        <v>0</v>
      </c>
      <c r="AJ37" s="287">
        <f>$V37*'FZ-CZ'!V44*'FZ-CZ'!$F44</f>
        <v>0</v>
      </c>
      <c r="AK37" s="287">
        <f>$V37*'FZ-CZ'!W44*'FZ-CZ'!$F44</f>
        <v>0</v>
      </c>
      <c r="AL37" s="287">
        <f>$V37*'FZ-CZ'!X44*'FZ-CZ'!$F44</f>
        <v>0</v>
      </c>
      <c r="AN37" s="288"/>
      <c r="AO37" s="296"/>
      <c r="AP37" s="291"/>
      <c r="AQ37" s="294"/>
      <c r="AR37" s="294"/>
      <c r="AT37" s="296"/>
      <c r="AU37" s="295"/>
      <c r="AV37" s="295"/>
    </row>
    <row r="38" spans="1:61" hidden="1">
      <c r="A38" s="42">
        <v>16</v>
      </c>
      <c r="B38" s="282">
        <f>AJ65</f>
        <v>0.3496593743484912</v>
      </c>
      <c r="C38" s="282">
        <f>AL45</f>
        <v>0.65034062565150874</v>
      </c>
      <c r="D38" s="517"/>
      <c r="J38" s="283" t="s">
        <v>298</v>
      </c>
      <c r="K38" s="234" t="s">
        <v>283</v>
      </c>
      <c r="L38" s="234" t="s">
        <v>387</v>
      </c>
      <c r="M38" s="284">
        <v>0.94643011081630801</v>
      </c>
      <c r="N38" s="284">
        <v>0.38899176693590898</v>
      </c>
      <c r="O38" s="284">
        <v>0.61100823306409102</v>
      </c>
      <c r="P38" s="284">
        <v>0</v>
      </c>
      <c r="Q38" s="284">
        <v>0.36815352108778382</v>
      </c>
      <c r="R38" s="284">
        <v>0.57827658972852425</v>
      </c>
      <c r="S38" s="284">
        <v>0</v>
      </c>
      <c r="T38" s="285"/>
      <c r="U38" s="296" t="s">
        <v>316</v>
      </c>
      <c r="V38" s="286">
        <f>R28</f>
        <v>0.45203354598961348</v>
      </c>
      <c r="W38" s="287">
        <f>$V38*'FZ-CZ'!I45*'FZ-CZ'!$F45</f>
        <v>0</v>
      </c>
      <c r="X38" s="287">
        <f>$V38*'FZ-CZ'!J45*'FZ-CZ'!$F45</f>
        <v>37.822488919820294</v>
      </c>
      <c r="Y38" s="287">
        <f>$V38*'FZ-CZ'!K45*'FZ-CZ'!$F45</f>
        <v>0</v>
      </c>
      <c r="Z38" s="287">
        <f>$V38*'FZ-CZ'!L45*'FZ-CZ'!$F45</f>
        <v>0</v>
      </c>
      <c r="AA38" s="287">
        <f>$V38*'FZ-CZ'!M45*'FZ-CZ'!$F45</f>
        <v>0</v>
      </c>
      <c r="AB38" s="287">
        <f>$V38*'FZ-CZ'!N45*'FZ-CZ'!$F45</f>
        <v>0</v>
      </c>
      <c r="AC38" s="287">
        <f>$V38*'FZ-CZ'!O45*'FZ-CZ'!$F45</f>
        <v>0</v>
      </c>
      <c r="AD38" s="287">
        <f>$V38*'FZ-CZ'!P45*'FZ-CZ'!$F45</f>
        <v>0</v>
      </c>
      <c r="AE38" s="287">
        <f>$V38*'FZ-CZ'!Q45*'FZ-CZ'!$F45</f>
        <v>0</v>
      </c>
      <c r="AF38" s="287">
        <f>$V38*'FZ-CZ'!R45*'FZ-CZ'!$F45</f>
        <v>0</v>
      </c>
      <c r="AG38" s="287">
        <f>$V38*'FZ-CZ'!S45*'FZ-CZ'!$F45</f>
        <v>8689.3401902881069</v>
      </c>
      <c r="AH38" s="287">
        <f>$V38*'FZ-CZ'!T45*'FZ-CZ'!$F45</f>
        <v>10270.788052471242</v>
      </c>
      <c r="AI38" s="287">
        <f>$V38*'FZ-CZ'!U45*'FZ-CZ'!$F45</f>
        <v>0</v>
      </c>
      <c r="AJ38" s="287">
        <f>$V38*'FZ-CZ'!V45*'FZ-CZ'!$F45</f>
        <v>0</v>
      </c>
      <c r="AK38" s="287">
        <f>$V38*'FZ-CZ'!W45*'FZ-CZ'!$F45</f>
        <v>0</v>
      </c>
      <c r="AL38" s="287">
        <f>$V38*'FZ-CZ'!X45*'FZ-CZ'!$F45</f>
        <v>508.70058210714274</v>
      </c>
      <c r="AN38" s="288"/>
      <c r="AO38" s="296"/>
      <c r="AP38" s="291"/>
      <c r="AQ38" s="294"/>
      <c r="AR38" s="294"/>
      <c r="AT38" s="296"/>
      <c r="AU38" s="295"/>
      <c r="AV38" s="295"/>
    </row>
    <row r="39" spans="1:61" hidden="1">
      <c r="J39" s="283" t="s">
        <v>299</v>
      </c>
      <c r="K39" s="234" t="s">
        <v>283</v>
      </c>
      <c r="L39" s="234" t="s">
        <v>387</v>
      </c>
      <c r="M39" s="284">
        <v>0.95990158310112605</v>
      </c>
      <c r="N39" s="284">
        <v>0.48098920322407501</v>
      </c>
      <c r="O39" s="284">
        <v>0.51901079677592499</v>
      </c>
      <c r="P39" s="284">
        <v>0</v>
      </c>
      <c r="Q39" s="284">
        <v>0.46170229762933884</v>
      </c>
      <c r="R39" s="284">
        <v>0.49819928547178721</v>
      </c>
      <c r="S39" s="284">
        <v>0</v>
      </c>
      <c r="T39" s="285"/>
      <c r="U39" s="296" t="s">
        <v>298</v>
      </c>
      <c r="V39" s="286">
        <f>R38</f>
        <v>0.57827658972852425</v>
      </c>
      <c r="W39" s="287">
        <f>$V39*'FZ-CZ'!I46*'FZ-CZ'!$F46</f>
        <v>0</v>
      </c>
      <c r="X39" s="287">
        <f>$V39*'FZ-CZ'!J46*'FZ-CZ'!$F46</f>
        <v>0</v>
      </c>
      <c r="Y39" s="287">
        <f>$V39*'FZ-CZ'!K46*'FZ-CZ'!$F46</f>
        <v>0</v>
      </c>
      <c r="Z39" s="287">
        <f>$V39*'FZ-CZ'!L46*'FZ-CZ'!$F46</f>
        <v>0</v>
      </c>
      <c r="AA39" s="287">
        <f>$V39*'FZ-CZ'!M46*'FZ-CZ'!$F46</f>
        <v>0</v>
      </c>
      <c r="AB39" s="287">
        <f>$V39*'FZ-CZ'!N46*'FZ-CZ'!$F46</f>
        <v>3839.6809902365717</v>
      </c>
      <c r="AC39" s="287">
        <f>$V39*'FZ-CZ'!O46*'FZ-CZ'!$F46</f>
        <v>0</v>
      </c>
      <c r="AD39" s="287">
        <f>$V39*'FZ-CZ'!P46*'FZ-CZ'!$F46</f>
        <v>6236.0835456586774</v>
      </c>
      <c r="AE39" s="287">
        <f>$V39*'FZ-CZ'!Q46*'FZ-CZ'!$F46</f>
        <v>12274.598562137064</v>
      </c>
      <c r="AF39" s="287">
        <f>$V39*'FZ-CZ'!R46*'FZ-CZ'!$F46</f>
        <v>0</v>
      </c>
      <c r="AG39" s="287">
        <f>$V39*'FZ-CZ'!S46*'FZ-CZ'!$F46</f>
        <v>0</v>
      </c>
      <c r="AH39" s="287">
        <f>$V39*'FZ-CZ'!T46*'FZ-CZ'!$F46</f>
        <v>0</v>
      </c>
      <c r="AI39" s="287">
        <f>$V39*'FZ-CZ'!U46*'FZ-CZ'!$F46</f>
        <v>0</v>
      </c>
      <c r="AJ39" s="287">
        <f>$V39*'FZ-CZ'!V46*'FZ-CZ'!$F46</f>
        <v>0</v>
      </c>
      <c r="AK39" s="287">
        <f>$V39*'FZ-CZ'!W46*'FZ-CZ'!$F46</f>
        <v>0</v>
      </c>
      <c r="AL39" s="287">
        <f>$V39*'FZ-CZ'!X46*'FZ-CZ'!$F46</f>
        <v>0</v>
      </c>
      <c r="AN39" s="288"/>
      <c r="AO39" s="296"/>
      <c r="AP39" s="291"/>
      <c r="AQ39" s="294"/>
      <c r="AR39" s="294"/>
      <c r="AT39" s="296"/>
      <c r="AU39" s="295"/>
      <c r="AV39" s="295"/>
    </row>
    <row r="40" spans="1:61" hidden="1">
      <c r="U40" s="296" t="s">
        <v>299</v>
      </c>
      <c r="V40" s="286">
        <f>R39</f>
        <v>0.49819928547178721</v>
      </c>
      <c r="W40" s="287">
        <f>$V40*'FZ-CZ'!I47*'FZ-CZ'!$F47</f>
        <v>0</v>
      </c>
      <c r="X40" s="287">
        <f>$V40*'FZ-CZ'!J47*'FZ-CZ'!$F47</f>
        <v>0</v>
      </c>
      <c r="Y40" s="287">
        <f>$V40*'FZ-CZ'!K47*'FZ-CZ'!$F47</f>
        <v>0</v>
      </c>
      <c r="Z40" s="287">
        <f>$V40*'FZ-CZ'!L47*'FZ-CZ'!$F47</f>
        <v>0</v>
      </c>
      <c r="AA40" s="287">
        <f>$V40*'FZ-CZ'!M47*'FZ-CZ'!$F47</f>
        <v>0</v>
      </c>
      <c r="AB40" s="287">
        <f>$V40*'FZ-CZ'!N47*'FZ-CZ'!$F47</f>
        <v>0</v>
      </c>
      <c r="AC40" s="287">
        <f>$V40*'FZ-CZ'!O47*'FZ-CZ'!$F47</f>
        <v>0</v>
      </c>
      <c r="AD40" s="287">
        <f>$V40*'FZ-CZ'!P47*'FZ-CZ'!$F47</f>
        <v>0</v>
      </c>
      <c r="AE40" s="287">
        <f>$V40*'FZ-CZ'!Q47*'FZ-CZ'!$F47</f>
        <v>7245.0757601438527</v>
      </c>
      <c r="AF40" s="287">
        <f>$V40*'FZ-CZ'!R47*'FZ-CZ'!$F47</f>
        <v>0</v>
      </c>
      <c r="AG40" s="287">
        <f>$V40*'FZ-CZ'!S47*'FZ-CZ'!$F47</f>
        <v>0</v>
      </c>
      <c r="AH40" s="287">
        <f>$V40*'FZ-CZ'!T47*'FZ-CZ'!$F47</f>
        <v>0</v>
      </c>
      <c r="AI40" s="287">
        <f>$V40*'FZ-CZ'!U47*'FZ-CZ'!$F47</f>
        <v>0</v>
      </c>
      <c r="AJ40" s="287">
        <f>$V40*'FZ-CZ'!V47*'FZ-CZ'!$F47</f>
        <v>0</v>
      </c>
      <c r="AK40" s="287">
        <f>$V40*'FZ-CZ'!W47*'FZ-CZ'!$F47</f>
        <v>0</v>
      </c>
      <c r="AL40" s="287">
        <f>$V40*'FZ-CZ'!X47*'FZ-CZ'!$F47</f>
        <v>47.100888262567423</v>
      </c>
      <c r="AT40" s="296"/>
      <c r="AU40" s="295"/>
      <c r="AV40" s="295"/>
    </row>
    <row r="41" spans="1:61" hidden="1">
      <c r="U41" s="296" t="s">
        <v>317</v>
      </c>
      <c r="V41" s="286">
        <f>R39</f>
        <v>0.49819928547178721</v>
      </c>
      <c r="W41" s="287">
        <f>$V41*'FZ-CZ'!I48*'FZ-CZ'!$F48</f>
        <v>0</v>
      </c>
      <c r="X41" s="287">
        <f>$V41*'FZ-CZ'!J48*'FZ-CZ'!$F48</f>
        <v>0</v>
      </c>
      <c r="Y41" s="287">
        <f>$V41*'FZ-CZ'!K48*'FZ-CZ'!$F48</f>
        <v>0</v>
      </c>
      <c r="Z41" s="287">
        <f>$V41*'FZ-CZ'!L48*'FZ-CZ'!$F48</f>
        <v>0</v>
      </c>
      <c r="AA41" s="287">
        <f>$V41*'FZ-CZ'!M48*'FZ-CZ'!$F48</f>
        <v>0</v>
      </c>
      <c r="AB41" s="287">
        <f>$V41*'FZ-CZ'!N48*'FZ-CZ'!$F48</f>
        <v>0</v>
      </c>
      <c r="AC41" s="287">
        <f>$V41*'FZ-CZ'!O48*'FZ-CZ'!$F48</f>
        <v>0</v>
      </c>
      <c r="AD41" s="287">
        <f>$V41*'FZ-CZ'!P48*'FZ-CZ'!$F48</f>
        <v>0</v>
      </c>
      <c r="AE41" s="287">
        <f>$V41*'FZ-CZ'!Q48*'FZ-CZ'!$F48</f>
        <v>7292.1766484064201</v>
      </c>
      <c r="AF41" s="287">
        <f>$V41*'FZ-CZ'!R48*'FZ-CZ'!$F48</f>
        <v>0</v>
      </c>
      <c r="AG41" s="287">
        <f>$V41*'FZ-CZ'!S48*'FZ-CZ'!$F48</f>
        <v>0</v>
      </c>
      <c r="AH41" s="287">
        <f>$V41*'FZ-CZ'!T48*'FZ-CZ'!$F48</f>
        <v>0</v>
      </c>
      <c r="AI41" s="287">
        <f>$V41*'FZ-CZ'!U48*'FZ-CZ'!$F48</f>
        <v>0</v>
      </c>
      <c r="AJ41" s="287">
        <f>$V41*'FZ-CZ'!V48*'FZ-CZ'!$F48</f>
        <v>0</v>
      </c>
      <c r="AK41" s="287">
        <f>$V41*'FZ-CZ'!W48*'FZ-CZ'!$F48</f>
        <v>0</v>
      </c>
      <c r="AL41" s="287">
        <f>$V41*'FZ-CZ'!X48*'FZ-CZ'!$F48</f>
        <v>0</v>
      </c>
      <c r="AT41" s="296"/>
      <c r="AU41" s="295"/>
      <c r="AV41" s="295"/>
    </row>
    <row r="42" spans="1:61" hidden="1">
      <c r="U42" s="296" t="s">
        <v>318</v>
      </c>
      <c r="V42" s="286">
        <f>R34</f>
        <v>0.39082467579638452</v>
      </c>
      <c r="W42" s="287">
        <f>$V42*'FZ-CZ'!I49*'FZ-CZ'!$F49</f>
        <v>0</v>
      </c>
      <c r="X42" s="287">
        <f>$V42*'FZ-CZ'!J49*'FZ-CZ'!$F49</f>
        <v>0</v>
      </c>
      <c r="Y42" s="287">
        <f>$V42*'FZ-CZ'!K49*'FZ-CZ'!$F49</f>
        <v>0</v>
      </c>
      <c r="Z42" s="287">
        <f>$V42*'FZ-CZ'!L49*'FZ-CZ'!$F49</f>
        <v>0</v>
      </c>
      <c r="AA42" s="287">
        <f>$V42*'FZ-CZ'!M49*'FZ-CZ'!$F49</f>
        <v>0</v>
      </c>
      <c r="AB42" s="287">
        <f>$V42*'FZ-CZ'!N49*'FZ-CZ'!$F49</f>
        <v>0</v>
      </c>
      <c r="AC42" s="287">
        <f>$V42*'FZ-CZ'!O49*'FZ-CZ'!$F49</f>
        <v>0</v>
      </c>
      <c r="AD42" s="287">
        <f>$V42*'FZ-CZ'!P49*'FZ-CZ'!$F49</f>
        <v>0</v>
      </c>
      <c r="AE42" s="287">
        <f>$V42*'FZ-CZ'!Q49*'FZ-CZ'!$F49</f>
        <v>0</v>
      </c>
      <c r="AF42" s="287">
        <f>$V42*'FZ-CZ'!R49*'FZ-CZ'!$F49</f>
        <v>0</v>
      </c>
      <c r="AG42" s="287">
        <f>$V42*'FZ-CZ'!S49*'FZ-CZ'!$F49</f>
        <v>0</v>
      </c>
      <c r="AH42" s="287">
        <f>$V42*'FZ-CZ'!T49*'FZ-CZ'!$F49</f>
        <v>0</v>
      </c>
      <c r="AI42" s="287">
        <f>$V42*'FZ-CZ'!U49*'FZ-CZ'!$F49</f>
        <v>0</v>
      </c>
      <c r="AJ42" s="287">
        <f>$V42*'FZ-CZ'!V49*'FZ-CZ'!$F49</f>
        <v>3.3687149878065683</v>
      </c>
      <c r="AK42" s="287">
        <f>$V42*'FZ-CZ'!W49*'FZ-CZ'!$F49</f>
        <v>13905.374559189253</v>
      </c>
      <c r="AL42" s="287">
        <f>$V42*'FZ-CZ'!X49*'FZ-CZ'!$F49</f>
        <v>0</v>
      </c>
      <c r="AT42" s="296"/>
      <c r="AU42" s="295"/>
      <c r="AV42" s="295"/>
    </row>
    <row r="43" spans="1:61" hidden="1">
      <c r="U43" s="296" t="s">
        <v>319</v>
      </c>
      <c r="V43" s="286">
        <f>R33</f>
        <v>0.39948408124949619</v>
      </c>
      <c r="W43" s="287">
        <f>$V43*'FZ-CZ'!I50*'FZ-CZ'!$F50</f>
        <v>0</v>
      </c>
      <c r="X43" s="287">
        <f>$V43*'FZ-CZ'!J50*'FZ-CZ'!$F50</f>
        <v>0</v>
      </c>
      <c r="Y43" s="287">
        <f>$V43*'FZ-CZ'!K50*'FZ-CZ'!$F50</f>
        <v>0</v>
      </c>
      <c r="Z43" s="287">
        <f>$V43*'FZ-CZ'!L50*'FZ-CZ'!$F50</f>
        <v>0</v>
      </c>
      <c r="AA43" s="287">
        <f>$V43*'FZ-CZ'!M50*'FZ-CZ'!$F50</f>
        <v>0</v>
      </c>
      <c r="AB43" s="287">
        <f>$V43*'FZ-CZ'!N50*'FZ-CZ'!$F50</f>
        <v>0</v>
      </c>
      <c r="AC43" s="287">
        <f>$V43*'FZ-CZ'!O50*'FZ-CZ'!$F50</f>
        <v>0</v>
      </c>
      <c r="AD43" s="287">
        <f>$V43*'FZ-CZ'!P50*'FZ-CZ'!$F50</f>
        <v>0</v>
      </c>
      <c r="AE43" s="287">
        <f>$V43*'FZ-CZ'!Q50*'FZ-CZ'!$F50</f>
        <v>0</v>
      </c>
      <c r="AF43" s="287">
        <f>$V43*'FZ-CZ'!R50*'FZ-CZ'!$F50</f>
        <v>0</v>
      </c>
      <c r="AG43" s="287">
        <f>$V43*'FZ-CZ'!S50*'FZ-CZ'!$F50</f>
        <v>0</v>
      </c>
      <c r="AH43" s="287">
        <f>$V43*'FZ-CZ'!T50*'FZ-CZ'!$F50</f>
        <v>0</v>
      </c>
      <c r="AI43" s="287">
        <f>$V43*'FZ-CZ'!U50*'FZ-CZ'!$F50</f>
        <v>0</v>
      </c>
      <c r="AJ43" s="287">
        <f>$V43*'FZ-CZ'!V50*'FZ-CZ'!$F50</f>
        <v>0</v>
      </c>
      <c r="AK43" s="287">
        <f>$V43*'FZ-CZ'!W50*'FZ-CZ'!$F50</f>
        <v>0</v>
      </c>
      <c r="AL43" s="287">
        <f>$V43*'FZ-CZ'!X50*'FZ-CZ'!$F50</f>
        <v>13448.259260947734</v>
      </c>
      <c r="AT43" s="296"/>
      <c r="AU43" s="295"/>
      <c r="AV43" s="295"/>
    </row>
    <row r="44" spans="1:61" hidden="1">
      <c r="U44" s="296" t="s">
        <v>320</v>
      </c>
      <c r="V44" s="297"/>
      <c r="W44" s="291">
        <f t="shared" ref="W44:AL44" si="1">SUM(W23:W43)</f>
        <v>5909.8827166939554</v>
      </c>
      <c r="X44" s="291">
        <f t="shared" si="1"/>
        <v>14392.322853820633</v>
      </c>
      <c r="Y44" s="291">
        <f t="shared" si="1"/>
        <v>43674.646143880753</v>
      </c>
      <c r="Z44" s="291">
        <f t="shared" si="1"/>
        <v>21375.427573202447</v>
      </c>
      <c r="AA44" s="291">
        <f t="shared" si="1"/>
        <v>6648.5000310182759</v>
      </c>
      <c r="AB44" s="291">
        <f t="shared" si="1"/>
        <v>27371.745107543014</v>
      </c>
      <c r="AC44" s="291">
        <f t="shared" si="1"/>
        <v>21394.084365881783</v>
      </c>
      <c r="AD44" s="291">
        <f t="shared" si="1"/>
        <v>40244.156585447439</v>
      </c>
      <c r="AE44" s="291">
        <f t="shared" si="1"/>
        <v>55527.345783514691</v>
      </c>
      <c r="AF44" s="291">
        <f t="shared" si="1"/>
        <v>31046.710439466187</v>
      </c>
      <c r="AG44" s="291">
        <f t="shared" si="1"/>
        <v>13174.952414877014</v>
      </c>
      <c r="AH44" s="291">
        <f t="shared" si="1"/>
        <v>62886.715872952671</v>
      </c>
      <c r="AI44" s="291">
        <f t="shared" si="1"/>
        <v>24197.37039235362</v>
      </c>
      <c r="AJ44" s="291">
        <f t="shared" si="1"/>
        <v>7775.2018986640469</v>
      </c>
      <c r="AK44" s="291">
        <f t="shared" si="1"/>
        <v>16433.343671861337</v>
      </c>
      <c r="AL44" s="291">
        <f t="shared" si="1"/>
        <v>31753.841764717457</v>
      </c>
      <c r="AT44" s="296"/>
      <c r="AU44" s="295"/>
      <c r="AV44" s="295"/>
    </row>
    <row r="45" spans="1:61" hidden="1">
      <c r="W45" s="298">
        <f t="shared" ref="W45:AL45" si="2">W44/(U64+W44)</f>
        <v>0.5248192389805526</v>
      </c>
      <c r="X45" s="298">
        <f t="shared" si="2"/>
        <v>0.57251635672000234</v>
      </c>
      <c r="Y45" s="298">
        <f t="shared" si="2"/>
        <v>0.54158409921373829</v>
      </c>
      <c r="Z45" s="298">
        <f t="shared" si="2"/>
        <v>0.50547460937360744</v>
      </c>
      <c r="AA45" s="298">
        <f t="shared" si="2"/>
        <v>0.623223678820091</v>
      </c>
      <c r="AB45" s="298">
        <f t="shared" si="2"/>
        <v>0.79948070618365819</v>
      </c>
      <c r="AC45" s="298">
        <f t="shared" si="2"/>
        <v>0.3046056333048493</v>
      </c>
      <c r="AD45" s="298">
        <f t="shared" si="2"/>
        <v>0.97930973288972134</v>
      </c>
      <c r="AE45" s="298">
        <f t="shared" si="2"/>
        <v>0.8630512433796419</v>
      </c>
      <c r="AF45" s="298">
        <f t="shared" si="2"/>
        <v>0.42256170107880064</v>
      </c>
      <c r="AG45" s="298">
        <f t="shared" si="2"/>
        <v>0.52858841070964291</v>
      </c>
      <c r="AH45" s="298">
        <f t="shared" si="2"/>
        <v>0.58820789113727634</v>
      </c>
      <c r="AI45" s="298">
        <f t="shared" si="2"/>
        <v>0.39407363563150904</v>
      </c>
      <c r="AJ45" s="298">
        <f t="shared" si="2"/>
        <v>0.28955454056506053</v>
      </c>
      <c r="AK45" s="298">
        <f t="shared" si="2"/>
        <v>0.96023724974513225</v>
      </c>
      <c r="AL45" s="298">
        <f t="shared" si="2"/>
        <v>0.65034062565150874</v>
      </c>
    </row>
    <row r="46" spans="1:61" hidden="1"/>
    <row r="47" spans="1:61" ht="28.95" hidden="1" customHeight="1">
      <c r="U47" s="280"/>
      <c r="V47" s="299" t="s">
        <v>271</v>
      </c>
      <c r="W47" s="30">
        <v>1</v>
      </c>
      <c r="X47" s="34">
        <v>2</v>
      </c>
      <c r="Y47" s="34">
        <v>3</v>
      </c>
      <c r="Z47" s="34">
        <v>4</v>
      </c>
      <c r="AA47" s="34">
        <v>5</v>
      </c>
      <c r="AB47" s="34">
        <v>6</v>
      </c>
      <c r="AC47" s="34">
        <v>7</v>
      </c>
      <c r="AD47" s="34">
        <v>8</v>
      </c>
      <c r="AE47" s="34">
        <v>9</v>
      </c>
      <c r="AF47" s="34">
        <v>10</v>
      </c>
      <c r="AG47" s="34">
        <v>11</v>
      </c>
      <c r="AH47" s="34">
        <v>12</v>
      </c>
      <c r="AI47" s="34">
        <v>13</v>
      </c>
      <c r="AJ47" s="34">
        <v>14</v>
      </c>
      <c r="AK47" s="34">
        <v>15</v>
      </c>
      <c r="AL47" s="38">
        <v>16</v>
      </c>
    </row>
    <row r="48" spans="1:61" hidden="1">
      <c r="U48" s="154" t="s">
        <v>314</v>
      </c>
      <c r="V48" s="286">
        <f>T58</f>
        <v>0.45836588936414979</v>
      </c>
      <c r="W48" s="291">
        <f>$V48*'FZ-CZ'!$F30*'FZ-CZ'!I30</f>
        <v>3540.4077502063628</v>
      </c>
      <c r="X48" s="291">
        <f>$V48*'FZ-CZ'!$F30*'FZ-CZ'!J30</f>
        <v>0</v>
      </c>
      <c r="Y48" s="291">
        <f>$V48*'FZ-CZ'!$F30*'FZ-CZ'!K30</f>
        <v>0</v>
      </c>
      <c r="Z48" s="291">
        <f>$V48*'FZ-CZ'!$F30*'FZ-CZ'!L30</f>
        <v>0</v>
      </c>
      <c r="AA48" s="291">
        <f>$V48*'FZ-CZ'!$F30*'FZ-CZ'!M30</f>
        <v>0</v>
      </c>
      <c r="AB48" s="291">
        <f>$V48*'FZ-CZ'!$F30*'FZ-CZ'!N30</f>
        <v>0</v>
      </c>
      <c r="AC48" s="291">
        <f>$V48*'FZ-CZ'!$F30*'FZ-CZ'!O30</f>
        <v>0</v>
      </c>
      <c r="AD48" s="291">
        <f>$V48*'FZ-CZ'!$F30*'FZ-CZ'!P30</f>
        <v>0</v>
      </c>
      <c r="AE48" s="291">
        <f>$V48*'FZ-CZ'!$F30*'FZ-CZ'!Q30</f>
        <v>0</v>
      </c>
      <c r="AF48" s="291">
        <f>$V48*'FZ-CZ'!$F30*'FZ-CZ'!R30</f>
        <v>0</v>
      </c>
      <c r="AG48" s="291">
        <f>$V48*'FZ-CZ'!$F30*'FZ-CZ'!S30</f>
        <v>83.448708620739595</v>
      </c>
      <c r="AH48" s="291">
        <f>$V48*'FZ-CZ'!$F30*'FZ-CZ'!T30</f>
        <v>0</v>
      </c>
      <c r="AI48" s="291">
        <f>$V48*'FZ-CZ'!$F30*'FZ-CZ'!U30</f>
        <v>0</v>
      </c>
      <c r="AJ48" s="291">
        <f>$V48*'FZ-CZ'!$F30*'FZ-CZ'!V30</f>
        <v>0.25676525729458338</v>
      </c>
      <c r="AK48" s="291">
        <f>$V48*'FZ-CZ'!$F30*'FZ-CZ'!W30</f>
        <v>629.46002825767118</v>
      </c>
      <c r="AL48" s="291">
        <f>$V48*'FZ-CZ'!$F30*'FZ-CZ'!X30</f>
        <v>15526.338343346162</v>
      </c>
      <c r="AO48" s="768"/>
      <c r="AP48" s="768"/>
      <c r="AQ48" s="768"/>
      <c r="AR48" s="768"/>
      <c r="AS48" s="768"/>
      <c r="AT48" s="768"/>
      <c r="AU48" s="768"/>
      <c r="AV48" s="768"/>
      <c r="AW48" s="768"/>
      <c r="AX48" s="768"/>
      <c r="AY48" s="768"/>
      <c r="AZ48" s="768"/>
      <c r="BA48" s="768"/>
      <c r="BB48" s="768"/>
      <c r="BC48" s="768"/>
      <c r="BD48" s="768"/>
      <c r="BE48" s="768"/>
      <c r="BF48" s="768"/>
      <c r="BG48" s="768"/>
      <c r="BH48" s="768"/>
      <c r="BI48" s="768"/>
    </row>
    <row r="49" spans="1:61" hidden="1">
      <c r="U49" s="290" t="s">
        <v>284</v>
      </c>
      <c r="V49" s="286">
        <f t="shared" ref="V49:V54" si="3">Q24</f>
        <v>0.4555163931531328</v>
      </c>
      <c r="W49" s="291">
        <f>$V49*'FZ-CZ'!$F31*'FZ-CZ'!I31</f>
        <v>0</v>
      </c>
      <c r="X49" s="291">
        <f>$V49*'FZ-CZ'!$F31*'FZ-CZ'!J31</f>
        <v>0</v>
      </c>
      <c r="Y49" s="291">
        <f>$V49*'FZ-CZ'!$F31*'FZ-CZ'!K31</f>
        <v>28564.67756883891</v>
      </c>
      <c r="Z49" s="291">
        <f>$V49*'FZ-CZ'!$F31*'FZ-CZ'!L31</f>
        <v>16554.740969296501</v>
      </c>
      <c r="AA49" s="291">
        <f>$V49*'FZ-CZ'!$F31*'FZ-CZ'!M31</f>
        <v>0</v>
      </c>
      <c r="AB49" s="291">
        <f>$V49*'FZ-CZ'!$F31*'FZ-CZ'!N31</f>
        <v>0</v>
      </c>
      <c r="AC49" s="291">
        <f>$V49*'FZ-CZ'!$F31*'FZ-CZ'!O31</f>
        <v>0</v>
      </c>
      <c r="AD49" s="291">
        <f>$V49*'FZ-CZ'!$F31*'FZ-CZ'!P31</f>
        <v>0</v>
      </c>
      <c r="AE49" s="291">
        <f>$V49*'FZ-CZ'!$F31*'FZ-CZ'!Q31</f>
        <v>0</v>
      </c>
      <c r="AF49" s="291">
        <f>$V49*'FZ-CZ'!$F31*'FZ-CZ'!R31</f>
        <v>0</v>
      </c>
      <c r="AG49" s="291">
        <f>$V49*'FZ-CZ'!$F31*'FZ-CZ'!S31</f>
        <v>0</v>
      </c>
      <c r="AH49" s="291">
        <f>$V49*'FZ-CZ'!$F31*'FZ-CZ'!T31</f>
        <v>9358.3275933465793</v>
      </c>
      <c r="AI49" s="291">
        <f>$V49*'FZ-CZ'!$F31*'FZ-CZ'!U31</f>
        <v>0</v>
      </c>
      <c r="AJ49" s="291">
        <f>$V49*'FZ-CZ'!$F31*'FZ-CZ'!V31</f>
        <v>0</v>
      </c>
      <c r="AK49" s="291">
        <f>$V49*'FZ-CZ'!$F31*'FZ-CZ'!W31</f>
        <v>0</v>
      </c>
      <c r="AL49" s="291">
        <f>$V49*'FZ-CZ'!$F31*'FZ-CZ'!X31</f>
        <v>0</v>
      </c>
      <c r="AN49" s="155"/>
      <c r="AO49" s="155"/>
      <c r="AP49" s="300"/>
      <c r="AQ49" s="300"/>
      <c r="AR49" s="300"/>
      <c r="AS49" s="300"/>
      <c r="AT49" s="300"/>
      <c r="AU49" s="300"/>
      <c r="AV49" s="300"/>
      <c r="AW49" s="300"/>
      <c r="AX49" s="300"/>
      <c r="AY49" s="300"/>
      <c r="AZ49" s="300"/>
      <c r="BA49" s="300"/>
      <c r="BB49" s="300"/>
      <c r="BC49" s="300"/>
      <c r="BD49" s="300"/>
      <c r="BE49" s="300"/>
      <c r="BF49" s="300"/>
      <c r="BG49" s="300"/>
      <c r="BH49" s="300"/>
      <c r="BI49" s="300"/>
    </row>
    <row r="50" spans="1:61" hidden="1">
      <c r="U50" s="290" t="s">
        <v>285</v>
      </c>
      <c r="V50" s="286">
        <f t="shared" si="3"/>
        <v>0.39860231306426458</v>
      </c>
      <c r="W50" s="291">
        <f>$V50*'FZ-CZ'!$F32*'FZ-CZ'!I32</f>
        <v>1810.5061612372945</v>
      </c>
      <c r="X50" s="291">
        <f>$V50*'FZ-CZ'!$F32*'FZ-CZ'!J32</f>
        <v>10746.38748150593</v>
      </c>
      <c r="Y50" s="291">
        <f>$V50*'FZ-CZ'!$F32*'FZ-CZ'!K32</f>
        <v>842.17753908753195</v>
      </c>
      <c r="Z50" s="291">
        <f>$V50*'FZ-CZ'!$F32*'FZ-CZ'!L32</f>
        <v>0</v>
      </c>
      <c r="AA50" s="291">
        <f>$V50*'FZ-CZ'!$F32*'FZ-CZ'!M32</f>
        <v>0</v>
      </c>
      <c r="AB50" s="291">
        <f>$V50*'FZ-CZ'!$F32*'FZ-CZ'!N32</f>
        <v>0</v>
      </c>
      <c r="AC50" s="291">
        <f>$V50*'FZ-CZ'!$F32*'FZ-CZ'!O32</f>
        <v>0</v>
      </c>
      <c r="AD50" s="291">
        <f>$V50*'FZ-CZ'!$F32*'FZ-CZ'!P32</f>
        <v>0</v>
      </c>
      <c r="AE50" s="291">
        <f>$V50*'FZ-CZ'!$F32*'FZ-CZ'!Q32</f>
        <v>0</v>
      </c>
      <c r="AF50" s="291">
        <f>$V50*'FZ-CZ'!$F32*'FZ-CZ'!R32</f>
        <v>0</v>
      </c>
      <c r="AG50" s="291">
        <f>$V50*'FZ-CZ'!$F32*'FZ-CZ'!S32</f>
        <v>0</v>
      </c>
      <c r="AH50" s="291">
        <f>$V50*'FZ-CZ'!$F32*'FZ-CZ'!T32</f>
        <v>0</v>
      </c>
      <c r="AI50" s="291">
        <f>$V50*'FZ-CZ'!$F32*'FZ-CZ'!U32</f>
        <v>0</v>
      </c>
      <c r="AJ50" s="291">
        <f>$V50*'FZ-CZ'!$F32*'FZ-CZ'!V32</f>
        <v>0</v>
      </c>
      <c r="AK50" s="291">
        <f>$V50*'FZ-CZ'!$F32*'FZ-CZ'!W32</f>
        <v>0</v>
      </c>
      <c r="AL50" s="291">
        <f>$V50*'FZ-CZ'!$F32*'FZ-CZ'!X32</f>
        <v>0.74158806980644254</v>
      </c>
      <c r="AN50" s="161"/>
      <c r="AO50" s="155"/>
      <c r="AP50" s="301"/>
      <c r="AQ50" s="301"/>
      <c r="AR50" s="301"/>
      <c r="AS50" s="301"/>
      <c r="AT50" s="301"/>
      <c r="AU50" s="301"/>
      <c r="AV50" s="301"/>
      <c r="AW50" s="301"/>
      <c r="AX50" s="301"/>
      <c r="AY50" s="301"/>
      <c r="AZ50" s="301"/>
      <c r="BA50" s="155"/>
      <c r="BB50" s="301"/>
      <c r="BC50" s="301"/>
      <c r="BD50" s="301"/>
      <c r="BE50" s="301"/>
      <c r="BF50" s="301"/>
      <c r="BG50" s="301"/>
      <c r="BH50" s="301"/>
      <c r="BI50" s="301"/>
    </row>
    <row r="51" spans="1:61" hidden="1">
      <c r="U51" s="290" t="s">
        <v>286</v>
      </c>
      <c r="V51" s="286">
        <f t="shared" si="3"/>
        <v>0.64671301604916021</v>
      </c>
      <c r="W51" s="291">
        <f>$V51*'FZ-CZ'!$F33*'FZ-CZ'!I33</f>
        <v>0</v>
      </c>
      <c r="X51" s="291">
        <f>$V51*'FZ-CZ'!$F33*'FZ-CZ'!J33</f>
        <v>0</v>
      </c>
      <c r="Y51" s="291">
        <f>$V51*'FZ-CZ'!$F33*'FZ-CZ'!K33</f>
        <v>0</v>
      </c>
      <c r="Z51" s="291">
        <f>$V51*'FZ-CZ'!$F33*'FZ-CZ'!L33</f>
        <v>0</v>
      </c>
      <c r="AA51" s="291">
        <f>$V51*'FZ-CZ'!$F33*'FZ-CZ'!M33</f>
        <v>0</v>
      </c>
      <c r="AB51" s="291">
        <f>$V51*'FZ-CZ'!$F33*'FZ-CZ'!N33</f>
        <v>0</v>
      </c>
      <c r="AC51" s="291">
        <f>$V51*'FZ-CZ'!$F33*'FZ-CZ'!O33</f>
        <v>0</v>
      </c>
      <c r="AD51" s="291">
        <f>$V51*'FZ-CZ'!$F33*'FZ-CZ'!P33</f>
        <v>0</v>
      </c>
      <c r="AE51" s="291">
        <f>$V51*'FZ-CZ'!$F33*'FZ-CZ'!Q33</f>
        <v>0</v>
      </c>
      <c r="AF51" s="291">
        <f>$V51*'FZ-CZ'!$F33*'FZ-CZ'!R33</f>
        <v>0</v>
      </c>
      <c r="AG51" s="291">
        <f>$V51*'FZ-CZ'!$F33*'FZ-CZ'!S33</f>
        <v>5156.2274822157633</v>
      </c>
      <c r="AH51" s="291">
        <f>$V51*'FZ-CZ'!$F33*'FZ-CZ'!T33</f>
        <v>0</v>
      </c>
      <c r="AI51" s="291">
        <f>$V51*'FZ-CZ'!$F33*'FZ-CZ'!U33</f>
        <v>0</v>
      </c>
      <c r="AJ51" s="291">
        <f>$V51*'FZ-CZ'!$F33*'FZ-CZ'!V33</f>
        <v>0</v>
      </c>
      <c r="AK51" s="291">
        <f>$V51*'FZ-CZ'!$F33*'FZ-CZ'!W33</f>
        <v>0</v>
      </c>
      <c r="AL51" s="291">
        <f>$V51*'FZ-CZ'!$F33*'FZ-CZ'!X33</f>
        <v>926.21445819258133</v>
      </c>
      <c r="AN51" s="161"/>
      <c r="AO51" s="155"/>
      <c r="AP51" s="301"/>
      <c r="AQ51" s="301"/>
      <c r="AR51" s="301"/>
      <c r="AS51" s="301"/>
      <c r="AT51" s="301"/>
      <c r="AU51" s="301"/>
      <c r="AV51" s="301"/>
      <c r="AW51" s="301"/>
      <c r="AX51" s="301"/>
      <c r="AY51" s="301"/>
      <c r="AZ51" s="301"/>
      <c r="BA51" s="155"/>
      <c r="BB51" s="301"/>
      <c r="BC51" s="301"/>
      <c r="BD51" s="301"/>
      <c r="BE51" s="301"/>
      <c r="BF51" s="301"/>
      <c r="BG51" s="301"/>
      <c r="BH51" s="301"/>
      <c r="BI51" s="301"/>
    </row>
    <row r="52" spans="1:61" hidden="1">
      <c r="U52" s="290" t="s">
        <v>287</v>
      </c>
      <c r="V52" s="286">
        <f t="shared" si="3"/>
        <v>0.64671301604916021</v>
      </c>
      <c r="W52" s="291">
        <f>$V52*'FZ-CZ'!$F34*'FZ-CZ'!I34</f>
        <v>0</v>
      </c>
      <c r="X52" s="291">
        <f>$V52*'FZ-CZ'!$F34*'FZ-CZ'!J34</f>
        <v>0</v>
      </c>
      <c r="Y52" s="291">
        <f>$V52*'FZ-CZ'!$F34*'FZ-CZ'!K34</f>
        <v>1064.3940904025262</v>
      </c>
      <c r="Z52" s="291">
        <f>$V52*'FZ-CZ'!$F34*'FZ-CZ'!L34</f>
        <v>0</v>
      </c>
      <c r="AA52" s="291">
        <f>$V52*'FZ-CZ'!$F34*'FZ-CZ'!M34</f>
        <v>0</v>
      </c>
      <c r="AB52" s="291">
        <f>$V52*'FZ-CZ'!$F34*'FZ-CZ'!N34</f>
        <v>0</v>
      </c>
      <c r="AC52" s="291">
        <f>$V52*'FZ-CZ'!$F34*'FZ-CZ'!O34</f>
        <v>0</v>
      </c>
      <c r="AD52" s="291">
        <f>$V52*'FZ-CZ'!$F34*'FZ-CZ'!P34</f>
        <v>0</v>
      </c>
      <c r="AE52" s="291">
        <f>$V52*'FZ-CZ'!$F34*'FZ-CZ'!Q34</f>
        <v>0</v>
      </c>
      <c r="AF52" s="291">
        <f>$V52*'FZ-CZ'!$F34*'FZ-CZ'!R34</f>
        <v>0</v>
      </c>
      <c r="AG52" s="291">
        <f>$V52*'FZ-CZ'!$F34*'FZ-CZ'!S34</f>
        <v>6457.2341552827957</v>
      </c>
      <c r="AH52" s="291">
        <f>$V52*'FZ-CZ'!$F34*'FZ-CZ'!T34</f>
        <v>21241.406769408073</v>
      </c>
      <c r="AI52" s="291">
        <f>$V52*'FZ-CZ'!$F34*'FZ-CZ'!U34</f>
        <v>0</v>
      </c>
      <c r="AJ52" s="291">
        <f>$V52*'FZ-CZ'!$F34*'FZ-CZ'!V34</f>
        <v>0</v>
      </c>
      <c r="AK52" s="291">
        <f>$V52*'FZ-CZ'!$F34*'FZ-CZ'!W34</f>
        <v>0</v>
      </c>
      <c r="AL52" s="291">
        <f>$V52*'FZ-CZ'!$F34*'FZ-CZ'!X34</f>
        <v>492.850291235003</v>
      </c>
    </row>
    <row r="53" spans="1:61" hidden="1">
      <c r="U53" s="290" t="s">
        <v>288</v>
      </c>
      <c r="V53" s="286">
        <f t="shared" si="3"/>
        <v>0.45836588936414979</v>
      </c>
      <c r="W53" s="291">
        <f>$V53*'FZ-CZ'!$F35*'FZ-CZ'!I35</f>
        <v>0</v>
      </c>
      <c r="X53" s="291">
        <f>$V53*'FZ-CZ'!$F35*'FZ-CZ'!J35</f>
        <v>0</v>
      </c>
      <c r="Y53" s="291">
        <f>$V53*'FZ-CZ'!$F35*'FZ-CZ'!K35</f>
        <v>0</v>
      </c>
      <c r="Z53" s="291">
        <f>$V53*'FZ-CZ'!$F35*'FZ-CZ'!L35</f>
        <v>0</v>
      </c>
      <c r="AA53" s="291">
        <f>$V53*'FZ-CZ'!$F35*'FZ-CZ'!M35</f>
        <v>0</v>
      </c>
      <c r="AB53" s="291">
        <f>$V53*'FZ-CZ'!$F35*'FZ-CZ'!N35</f>
        <v>0</v>
      </c>
      <c r="AC53" s="291">
        <f>$V53*'FZ-CZ'!$F35*'FZ-CZ'!O35</f>
        <v>0</v>
      </c>
      <c r="AD53" s="291">
        <f>$V53*'FZ-CZ'!$F35*'FZ-CZ'!P35</f>
        <v>0</v>
      </c>
      <c r="AE53" s="291">
        <f>$V53*'FZ-CZ'!$F35*'FZ-CZ'!Q35</f>
        <v>0</v>
      </c>
      <c r="AF53" s="291">
        <f>$V53*'FZ-CZ'!$F35*'FZ-CZ'!R35</f>
        <v>0</v>
      </c>
      <c r="AG53" s="291">
        <f>$V53*'FZ-CZ'!$F35*'FZ-CZ'!S35</f>
        <v>0</v>
      </c>
      <c r="AH53" s="291">
        <f>$V53*'FZ-CZ'!$F35*'FZ-CZ'!T35</f>
        <v>900.91133912125065</v>
      </c>
      <c r="AI53" s="291">
        <f>$V53*'FZ-CZ'!$F35*'FZ-CZ'!U35</f>
        <v>18752.509449678044</v>
      </c>
      <c r="AJ53" s="291">
        <f>$V53*'FZ-CZ'!$F35*'FZ-CZ'!V35</f>
        <v>0</v>
      </c>
      <c r="AK53" s="291">
        <f>$V53*'FZ-CZ'!$F35*'FZ-CZ'!W35</f>
        <v>0</v>
      </c>
      <c r="AL53" s="291">
        <f>$V53*'FZ-CZ'!$F35*'FZ-CZ'!X35</f>
        <v>126.4908068889355</v>
      </c>
    </row>
    <row r="54" spans="1:61" hidden="1">
      <c r="U54" s="290" t="s">
        <v>289</v>
      </c>
      <c r="V54" s="286">
        <f t="shared" si="3"/>
        <v>0.35561908214003124</v>
      </c>
      <c r="W54" s="291">
        <f>$V54*'FZ-CZ'!$F36*'FZ-CZ'!I36</f>
        <v>0</v>
      </c>
      <c r="X54" s="291">
        <f>$V54*'FZ-CZ'!$F36*'FZ-CZ'!J36</f>
        <v>0</v>
      </c>
      <c r="Y54" s="291">
        <f>$V54*'FZ-CZ'!$F36*'FZ-CZ'!K36</f>
        <v>6496.5131171353614</v>
      </c>
      <c r="Z54" s="291">
        <f>$V54*'FZ-CZ'!$F36*'FZ-CZ'!L36</f>
        <v>1913.176561055388</v>
      </c>
      <c r="AA54" s="291">
        <f>$V54*'FZ-CZ'!$F36*'FZ-CZ'!M36</f>
        <v>4019.4194607530408</v>
      </c>
      <c r="AB54" s="291">
        <f>$V54*'FZ-CZ'!$F36*'FZ-CZ'!N36</f>
        <v>1.4936451650130493</v>
      </c>
      <c r="AC54" s="291">
        <f>$V54*'FZ-CZ'!$F36*'FZ-CZ'!O36</f>
        <v>0</v>
      </c>
      <c r="AD54" s="291">
        <f>$V54*'FZ-CZ'!$F36*'FZ-CZ'!P36</f>
        <v>0</v>
      </c>
      <c r="AE54" s="291">
        <f>$V54*'FZ-CZ'!$F36*'FZ-CZ'!Q36</f>
        <v>0</v>
      </c>
      <c r="AF54" s="291">
        <f>$V54*'FZ-CZ'!$F36*'FZ-CZ'!R36</f>
        <v>0</v>
      </c>
      <c r="AG54" s="291">
        <f>$V54*'FZ-CZ'!$F36*'FZ-CZ'!S36</f>
        <v>0</v>
      </c>
      <c r="AH54" s="291">
        <f>$V54*'FZ-CZ'!$F36*'FZ-CZ'!T36</f>
        <v>0</v>
      </c>
      <c r="AI54" s="291">
        <f>$V54*'FZ-CZ'!$F36*'FZ-CZ'!U36</f>
        <v>0</v>
      </c>
      <c r="AJ54" s="291">
        <f>$V54*'FZ-CZ'!$F36*'FZ-CZ'!V36</f>
        <v>0</v>
      </c>
      <c r="AK54" s="291">
        <f>$V54*'FZ-CZ'!$F36*'FZ-CZ'!W36</f>
        <v>0</v>
      </c>
      <c r="AL54" s="291">
        <f>$V54*'FZ-CZ'!$F36*'FZ-CZ'!X36</f>
        <v>0</v>
      </c>
    </row>
    <row r="55" spans="1:61" hidden="1">
      <c r="U55" s="296" t="s">
        <v>214</v>
      </c>
      <c r="V55" s="286">
        <f>(Q35+Q36)/2</f>
        <v>0.50100044212984729</v>
      </c>
      <c r="W55" s="291">
        <f>$V55*'FZ-CZ'!$F42*'FZ-CZ'!I42</f>
        <v>0</v>
      </c>
      <c r="X55" s="291">
        <f>$V55*'FZ-CZ'!$F42*'FZ-CZ'!J42</f>
        <v>0</v>
      </c>
      <c r="Y55" s="291">
        <f>$V55*'FZ-CZ'!$F42*'FZ-CZ'!K42</f>
        <v>0</v>
      </c>
      <c r="Z55" s="291">
        <f>$V55*'FZ-CZ'!$F42*'FZ-CZ'!L42</f>
        <v>0</v>
      </c>
      <c r="AA55" s="291">
        <f>$V55*'FZ-CZ'!$F42*'FZ-CZ'!M42</f>
        <v>0</v>
      </c>
      <c r="AB55" s="291">
        <f>$V55*'FZ-CZ'!$F42*'FZ-CZ'!N42</f>
        <v>2893.5314213643514</v>
      </c>
      <c r="AC55" s="291">
        <f>$V55*'FZ-CZ'!$F42*'FZ-CZ'!O42</f>
        <v>27554.493993997836</v>
      </c>
      <c r="AD55" s="291">
        <f>$V55*'FZ-CZ'!$F42*'FZ-CZ'!P42</f>
        <v>850.25433876143757</v>
      </c>
      <c r="AE55" s="291">
        <f>$V55*'FZ-CZ'!$F42*'FZ-CZ'!Q42</f>
        <v>0</v>
      </c>
      <c r="AF55" s="291">
        <f>$V55*'FZ-CZ'!$F42*'FZ-CZ'!R42</f>
        <v>12231.319384778857</v>
      </c>
      <c r="AG55" s="291">
        <f>$V55*'FZ-CZ'!$F42*'FZ-CZ'!S42</f>
        <v>0</v>
      </c>
      <c r="AH55" s="291">
        <f>$V55*'FZ-CZ'!$F42*'FZ-CZ'!T42</f>
        <v>0</v>
      </c>
      <c r="AI55" s="291">
        <f>$V55*'FZ-CZ'!$F42*'FZ-CZ'!U42</f>
        <v>0</v>
      </c>
      <c r="AJ55" s="291">
        <f>$V55*'FZ-CZ'!$F42*'FZ-CZ'!V42</f>
        <v>290.53962816099562</v>
      </c>
      <c r="AK55" s="291">
        <f>$V55*'FZ-CZ'!$F42*'FZ-CZ'!W42</f>
        <v>51.033194068445226</v>
      </c>
      <c r="AL55" s="291">
        <f>$V55*'FZ-CZ'!$F42*'FZ-CZ'!X42</f>
        <v>0</v>
      </c>
    </row>
    <row r="56" spans="1:61" hidden="1">
      <c r="U56" s="296" t="s">
        <v>297</v>
      </c>
      <c r="V56" s="286">
        <f>Q37</f>
        <v>0.43207379472824292</v>
      </c>
      <c r="W56" s="291">
        <f>$V56*'FZ-CZ'!$F43*'FZ-CZ'!I43</f>
        <v>0</v>
      </c>
      <c r="X56" s="291">
        <f>$V56*'FZ-CZ'!$F43*'FZ-CZ'!J43</f>
        <v>0</v>
      </c>
      <c r="Y56" s="291">
        <f>$V56*'FZ-CZ'!$F43*'FZ-CZ'!K43</f>
        <v>0</v>
      </c>
      <c r="Z56" s="291">
        <f>$V56*'FZ-CZ'!$F43*'FZ-CZ'!L43</f>
        <v>0</v>
      </c>
      <c r="AA56" s="291">
        <f>$V56*'FZ-CZ'!$F43*'FZ-CZ'!M43</f>
        <v>0</v>
      </c>
      <c r="AB56" s="291">
        <f>$V56*'FZ-CZ'!$F43*'FZ-CZ'!N43</f>
        <v>0</v>
      </c>
      <c r="AC56" s="291">
        <f>$V56*'FZ-CZ'!$F43*'FZ-CZ'!O43</f>
        <v>0</v>
      </c>
      <c r="AD56" s="291">
        <f>$V56*'FZ-CZ'!$F43*'FZ-CZ'!P43</f>
        <v>0</v>
      </c>
      <c r="AE56" s="291">
        <f>$V56*'FZ-CZ'!$F43*'FZ-CZ'!Q43</f>
        <v>0</v>
      </c>
      <c r="AF56" s="291">
        <f>$V56*'FZ-CZ'!$F43*'FZ-CZ'!R43</f>
        <v>0</v>
      </c>
      <c r="AG56" s="291">
        <f>$V56*'FZ-CZ'!$F43*'FZ-CZ'!S43</f>
        <v>52.922096071056231</v>
      </c>
      <c r="AH56" s="291">
        <f>$V56*'FZ-CZ'!$F43*'FZ-CZ'!T43</f>
        <v>12520.565437705953</v>
      </c>
      <c r="AI56" s="291">
        <f>$V56*'FZ-CZ'!$F43*'FZ-CZ'!U43</f>
        <v>0</v>
      </c>
      <c r="AJ56" s="291">
        <f>$V56*'FZ-CZ'!$F43*'FZ-CZ'!V43</f>
        <v>0</v>
      </c>
      <c r="AK56" s="291">
        <f>$V56*'FZ-CZ'!$F43*'FZ-CZ'!W43</f>
        <v>0</v>
      </c>
      <c r="AL56" s="291">
        <f>$V56*'FZ-CZ'!$F43*'FZ-CZ'!X43</f>
        <v>0</v>
      </c>
    </row>
    <row r="57" spans="1:61" hidden="1">
      <c r="A57" s="765" t="s">
        <v>388</v>
      </c>
      <c r="B57" s="765"/>
      <c r="C57" s="765"/>
      <c r="D57" s="765"/>
      <c r="E57" s="765"/>
      <c r="Q57" s="298"/>
      <c r="R57" s="298"/>
      <c r="S57" s="296" t="s">
        <v>315</v>
      </c>
      <c r="T57" s="286">
        <f>Q28</f>
        <v>0.45836588936414979</v>
      </c>
      <c r="U57" s="291">
        <f>$T57*'FZ-CZ'!$F44*'FZ-CZ'!I44</f>
        <v>0</v>
      </c>
      <c r="V57" s="291">
        <f>$T57*'FZ-CZ'!$F44*'FZ-CZ'!J44</f>
        <v>0</v>
      </c>
      <c r="W57" s="291">
        <f>$T57*'FZ-CZ'!$F44*'FZ-CZ'!K44</f>
        <v>0</v>
      </c>
      <c r="X57" s="291">
        <f>$T57*'FZ-CZ'!$F44*'FZ-CZ'!L44</f>
        <v>0</v>
      </c>
      <c r="Y57" s="291">
        <f>$T57*'FZ-CZ'!$F44*'FZ-CZ'!M44</f>
        <v>0</v>
      </c>
      <c r="Z57" s="291">
        <f>$T57*'FZ-CZ'!$F44*'FZ-CZ'!N44</f>
        <v>0</v>
      </c>
      <c r="AA57" s="291">
        <f>$T57*'FZ-CZ'!$F44*'FZ-CZ'!O44</f>
        <v>0</v>
      </c>
      <c r="AB57" s="291">
        <f>$T57*'FZ-CZ'!$F44*'FZ-CZ'!P44</f>
        <v>0</v>
      </c>
      <c r="AC57" s="291">
        <f>$T57*'FZ-CZ'!$F44*'FZ-CZ'!Q44</f>
        <v>0</v>
      </c>
      <c r="AD57" s="291">
        <f>$T57*'FZ-CZ'!$F44*'FZ-CZ'!R44</f>
        <v>0</v>
      </c>
      <c r="AE57" s="291">
        <f>$T57*'FZ-CZ'!$F44*'FZ-CZ'!S44</f>
        <v>0</v>
      </c>
      <c r="AF57" s="291">
        <f>$T57*'FZ-CZ'!$F44*'FZ-CZ'!T44</f>
        <v>19779.911595688231</v>
      </c>
      <c r="AG57" s="291">
        <f>$T57*'FZ-CZ'!$F44*'FZ-CZ'!U44</f>
        <v>0</v>
      </c>
      <c r="AH57" s="291">
        <f>$T57*'FZ-CZ'!$F44*'FZ-CZ'!V44</f>
        <v>0</v>
      </c>
      <c r="AI57" s="291">
        <f>$T57*'FZ-CZ'!$F44*'FZ-CZ'!W44</f>
        <v>0</v>
      </c>
      <c r="AJ57" s="291">
        <f>$T57*'FZ-CZ'!$F44*'FZ-CZ'!X44</f>
        <v>0</v>
      </c>
      <c r="AK57" s="298"/>
      <c r="AL57" s="296"/>
      <c r="AM57" s="290"/>
      <c r="AN57" s="298"/>
      <c r="AO57" s="298"/>
      <c r="AP57" s="298"/>
      <c r="AQ57" s="298"/>
      <c r="AR57" s="298"/>
      <c r="AS57" s="298"/>
      <c r="AT57" s="298"/>
      <c r="AU57" s="298"/>
      <c r="AV57" s="298"/>
      <c r="AW57" s="298"/>
      <c r="AX57" s="298"/>
      <c r="AY57" s="298"/>
      <c r="AZ57" s="298"/>
      <c r="BA57" s="298"/>
    </row>
    <row r="58" spans="1:61" ht="26.4" hidden="1">
      <c r="A58" s="302" t="s">
        <v>359</v>
      </c>
      <c r="B58" s="302" t="s">
        <v>332</v>
      </c>
      <c r="C58" s="304" t="s">
        <v>72</v>
      </c>
      <c r="D58" s="304" t="s">
        <v>60</v>
      </c>
      <c r="E58" s="304" t="s">
        <v>82</v>
      </c>
      <c r="I58" s="302" t="s">
        <v>359</v>
      </c>
      <c r="J58" s="302" t="s">
        <v>332</v>
      </c>
      <c r="K58" s="304" t="s">
        <v>389</v>
      </c>
      <c r="L58" s="304" t="s">
        <v>306</v>
      </c>
      <c r="M58" s="304" t="s">
        <v>390</v>
      </c>
      <c r="N58" s="305" t="s">
        <v>391</v>
      </c>
      <c r="S58" s="296" t="s">
        <v>316</v>
      </c>
      <c r="T58" s="286">
        <f>Q28</f>
        <v>0.45836588936414979</v>
      </c>
      <c r="U58" s="291">
        <f>$T58*'FZ-CZ'!$F45*'FZ-CZ'!I45</f>
        <v>0</v>
      </c>
      <c r="V58" s="291">
        <f>$T58*'FZ-CZ'!$F45*'FZ-CZ'!J45</f>
        <v>38.35232788696058</v>
      </c>
      <c r="W58" s="291">
        <f>$T58*'FZ-CZ'!$F45*'FZ-CZ'!K45</f>
        <v>0</v>
      </c>
      <c r="X58" s="291">
        <f>$T58*'FZ-CZ'!$F45*'FZ-CZ'!L45</f>
        <v>0</v>
      </c>
      <c r="Y58" s="291">
        <f>$T58*'FZ-CZ'!$F45*'FZ-CZ'!M45</f>
        <v>0</v>
      </c>
      <c r="Z58" s="291">
        <f>$T58*'FZ-CZ'!$F45*'FZ-CZ'!N45</f>
        <v>0</v>
      </c>
      <c r="AA58" s="291">
        <f>$T58*'FZ-CZ'!$F45*'FZ-CZ'!O45</f>
        <v>0</v>
      </c>
      <c r="AB58" s="291">
        <f>$T58*'FZ-CZ'!$F45*'FZ-CZ'!P45</f>
        <v>0</v>
      </c>
      <c r="AC58" s="291">
        <f>$T58*'FZ-CZ'!$F45*'FZ-CZ'!Q45</f>
        <v>0</v>
      </c>
      <c r="AD58" s="291">
        <f>$T58*'FZ-CZ'!$F45*'FZ-CZ'!R45</f>
        <v>0</v>
      </c>
      <c r="AE58" s="291">
        <f>$T58*'FZ-CZ'!$F45*'FZ-CZ'!S45</f>
        <v>8811.0654168143865</v>
      </c>
      <c r="AF58" s="291">
        <f>$T58*'FZ-CZ'!$F45*'FZ-CZ'!T45</f>
        <v>10414.667101387731</v>
      </c>
      <c r="AG58" s="291">
        <f>$T58*'FZ-CZ'!$F45*'FZ-CZ'!U45</f>
        <v>0</v>
      </c>
      <c r="AH58" s="291">
        <f>$T58*'FZ-CZ'!$F45*'FZ-CZ'!V45</f>
        <v>0</v>
      </c>
      <c r="AI58" s="291">
        <f>$T58*'FZ-CZ'!$F45*'FZ-CZ'!W45</f>
        <v>0</v>
      </c>
      <c r="AJ58" s="291">
        <f>$T58*'FZ-CZ'!$F45*'FZ-CZ'!X45</f>
        <v>515.82674959915221</v>
      </c>
    </row>
    <row r="59" spans="1:61" hidden="1">
      <c r="A59" s="306" t="s">
        <v>392</v>
      </c>
      <c r="B59" s="307" t="s">
        <v>282</v>
      </c>
      <c r="C59" s="309">
        <v>7.0370886199189478E-2</v>
      </c>
      <c r="D59" s="310">
        <v>0.92962911380081059</v>
      </c>
      <c r="E59" s="311">
        <v>1</v>
      </c>
      <c r="I59" s="306" t="s">
        <v>393</v>
      </c>
      <c r="J59" s="307" t="s">
        <v>282</v>
      </c>
      <c r="K59" s="312">
        <v>0.49292661101888641</v>
      </c>
      <c r="L59" s="312">
        <v>0.32988715411925235</v>
      </c>
      <c r="M59" s="310">
        <v>0.15276074670285361</v>
      </c>
      <c r="N59" s="521">
        <f>1-SUM(K59:M59)</f>
        <v>2.442548815900758E-2</v>
      </c>
      <c r="O59" s="297">
        <f>SUM(K59:N59)</f>
        <v>1</v>
      </c>
      <c r="S59" s="296" t="s">
        <v>298</v>
      </c>
      <c r="T59" s="286">
        <f>Q38</f>
        <v>0.36815352108778382</v>
      </c>
      <c r="U59" s="291">
        <f>$T59*'FZ-CZ'!$F46*'FZ-CZ'!I46</f>
        <v>0</v>
      </c>
      <c r="V59" s="291">
        <f>$T59*'FZ-CZ'!$F46*'FZ-CZ'!J46</f>
        <v>0</v>
      </c>
      <c r="W59" s="291">
        <f>$T59*'FZ-CZ'!$F46*'FZ-CZ'!K46</f>
        <v>0</v>
      </c>
      <c r="X59" s="291">
        <f>$T59*'FZ-CZ'!$F46*'FZ-CZ'!L46</f>
        <v>0</v>
      </c>
      <c r="Y59" s="291">
        <f>$T59*'FZ-CZ'!$F46*'FZ-CZ'!M46</f>
        <v>0</v>
      </c>
      <c r="Z59" s="291">
        <f>$T59*'FZ-CZ'!$F46*'FZ-CZ'!N46</f>
        <v>2444.4912720278758</v>
      </c>
      <c r="AA59" s="291">
        <f>$T59*'FZ-CZ'!$F46*'FZ-CZ'!O46</f>
        <v>0</v>
      </c>
      <c r="AB59" s="291">
        <f>$T59*'FZ-CZ'!$F46*'FZ-CZ'!P46</f>
        <v>3970.1349767757833</v>
      </c>
      <c r="AC59" s="291">
        <f>$T59*'FZ-CZ'!$F46*'FZ-CZ'!Q46</f>
        <v>7814.4900915170256</v>
      </c>
      <c r="AD59" s="291">
        <f>$T59*'FZ-CZ'!$F46*'FZ-CZ'!R46</f>
        <v>0</v>
      </c>
      <c r="AE59" s="291">
        <f>$T59*'FZ-CZ'!$F46*'FZ-CZ'!S46</f>
        <v>0</v>
      </c>
      <c r="AF59" s="291">
        <f>$T59*'FZ-CZ'!$F46*'FZ-CZ'!T46</f>
        <v>0</v>
      </c>
      <c r="AG59" s="291">
        <f>$T59*'FZ-CZ'!$F46*'FZ-CZ'!U46</f>
        <v>0</v>
      </c>
      <c r="AH59" s="291">
        <f>$T59*'FZ-CZ'!$F46*'FZ-CZ'!V46</f>
        <v>0</v>
      </c>
      <c r="AI59" s="291">
        <f>$T59*'FZ-CZ'!$F46*'FZ-CZ'!W46</f>
        <v>0</v>
      </c>
      <c r="AJ59" s="291">
        <f>$T59*'FZ-CZ'!$F46*'FZ-CZ'!X46</f>
        <v>0</v>
      </c>
    </row>
    <row r="60" spans="1:61" hidden="1">
      <c r="A60" s="306" t="s">
        <v>392</v>
      </c>
      <c r="B60" s="307" t="s">
        <v>337</v>
      </c>
      <c r="C60" s="309">
        <v>3.0732271758662388E-2</v>
      </c>
      <c r="D60" s="310">
        <v>0.96926772824133767</v>
      </c>
      <c r="E60" s="311">
        <v>1</v>
      </c>
      <c r="I60" s="306" t="s">
        <v>393</v>
      </c>
      <c r="J60" s="307" t="s">
        <v>337</v>
      </c>
      <c r="K60" s="310">
        <v>0.451902176446074</v>
      </c>
      <c r="L60" s="310">
        <v>0.40044315015575399</v>
      </c>
      <c r="M60" s="310">
        <v>9.9690488082453968E-2</v>
      </c>
      <c r="N60" s="521">
        <f t="shared" ref="N60:N75" si="4">1-SUM(K60:M60)</f>
        <v>4.7964185315718111E-2</v>
      </c>
      <c r="O60" s="297">
        <f t="shared" ref="O60:O75" si="5">SUM(K60:N60)</f>
        <v>1</v>
      </c>
      <c r="S60" s="296" t="s">
        <v>299</v>
      </c>
      <c r="T60" s="286">
        <f>Q39</f>
        <v>0.46170229762933884</v>
      </c>
      <c r="U60" s="291">
        <f>$T60*'FZ-CZ'!$F47*'FZ-CZ'!I47</f>
        <v>0</v>
      </c>
      <c r="V60" s="291">
        <f>$T60*'FZ-CZ'!$F47*'FZ-CZ'!J47</f>
        <v>0</v>
      </c>
      <c r="W60" s="291">
        <f>$T60*'FZ-CZ'!$F47*'FZ-CZ'!K47</f>
        <v>0</v>
      </c>
      <c r="X60" s="291">
        <f>$T60*'FZ-CZ'!$F47*'FZ-CZ'!L47</f>
        <v>0</v>
      </c>
      <c r="Y60" s="291">
        <f>$T60*'FZ-CZ'!$F47*'FZ-CZ'!M47</f>
        <v>0</v>
      </c>
      <c r="Z60" s="291">
        <f>$T60*'FZ-CZ'!$F47*'FZ-CZ'!N47</f>
        <v>0</v>
      </c>
      <c r="AA60" s="291">
        <f>$T60*'FZ-CZ'!$F47*'FZ-CZ'!O47</f>
        <v>0</v>
      </c>
      <c r="AB60" s="291">
        <f>$T60*'FZ-CZ'!$F47*'FZ-CZ'!P47</f>
        <v>0</v>
      </c>
      <c r="AC60" s="291">
        <f>$T60*'FZ-CZ'!$F47*'FZ-CZ'!Q47</f>
        <v>6714.3173876480296</v>
      </c>
      <c r="AD60" s="291">
        <f>$T60*'FZ-CZ'!$F47*'FZ-CZ'!R47</f>
        <v>0</v>
      </c>
      <c r="AE60" s="291">
        <f>$T60*'FZ-CZ'!$F47*'FZ-CZ'!S47</f>
        <v>0</v>
      </c>
      <c r="AF60" s="291">
        <f>$T60*'FZ-CZ'!$F47*'FZ-CZ'!T47</f>
        <v>0</v>
      </c>
      <c r="AG60" s="291">
        <f>$T60*'FZ-CZ'!$F47*'FZ-CZ'!U47</f>
        <v>0</v>
      </c>
      <c r="AH60" s="291">
        <f>$T60*'FZ-CZ'!$F47*'FZ-CZ'!V47</f>
        <v>0</v>
      </c>
      <c r="AI60" s="291">
        <f>$T60*'FZ-CZ'!$F47*'FZ-CZ'!W47</f>
        <v>0</v>
      </c>
      <c r="AJ60" s="291">
        <f>$T60*'FZ-CZ'!$F47*'FZ-CZ'!X47</f>
        <v>43.650380410755602</v>
      </c>
    </row>
    <row r="61" spans="1:61" hidden="1">
      <c r="A61" s="306" t="s">
        <v>392</v>
      </c>
      <c r="B61" s="307" t="s">
        <v>339</v>
      </c>
      <c r="C61" s="309">
        <v>3.8920905257397845E-2</v>
      </c>
      <c r="D61" s="310">
        <v>0.96107909474260222</v>
      </c>
      <c r="E61" s="311">
        <v>1</v>
      </c>
      <c r="I61" s="306" t="s">
        <v>393</v>
      </c>
      <c r="J61" s="307" t="s">
        <v>339</v>
      </c>
      <c r="K61" s="310">
        <v>0.32187595116741036</v>
      </c>
      <c r="L61" s="310">
        <v>0.54196668249849334</v>
      </c>
      <c r="M61" s="310">
        <v>9.1149028828878723E-2</v>
      </c>
      <c r="N61" s="521">
        <f t="shared" si="4"/>
        <v>4.5008337505217488E-2</v>
      </c>
      <c r="O61" s="297">
        <f t="shared" si="5"/>
        <v>1</v>
      </c>
      <c r="S61" s="296" t="s">
        <v>317</v>
      </c>
      <c r="T61" s="286">
        <f>Q39</f>
        <v>0.46170229762933884</v>
      </c>
      <c r="U61" s="291">
        <f>$T61*'FZ-CZ'!$F48*'FZ-CZ'!I48</f>
        <v>0</v>
      </c>
      <c r="V61" s="291">
        <f>$T61*'FZ-CZ'!$F48*'FZ-CZ'!J48</f>
        <v>0</v>
      </c>
      <c r="W61" s="291">
        <f>$T61*'FZ-CZ'!$F48*'FZ-CZ'!K48</f>
        <v>0</v>
      </c>
      <c r="X61" s="291">
        <f>$T61*'FZ-CZ'!$F48*'FZ-CZ'!L48</f>
        <v>0</v>
      </c>
      <c r="Y61" s="291">
        <f>$T61*'FZ-CZ'!$F48*'FZ-CZ'!M48</f>
        <v>0</v>
      </c>
      <c r="Z61" s="291">
        <f>$T61*'FZ-CZ'!$F48*'FZ-CZ'!N48</f>
        <v>0</v>
      </c>
      <c r="AA61" s="291">
        <f>$T61*'FZ-CZ'!$F48*'FZ-CZ'!O48</f>
        <v>0</v>
      </c>
      <c r="AB61" s="291">
        <f>$T61*'FZ-CZ'!$F48*'FZ-CZ'!P48</f>
        <v>0</v>
      </c>
      <c r="AC61" s="291">
        <f>$T61*'FZ-CZ'!$F48*'FZ-CZ'!Q48</f>
        <v>6757.9677680587856</v>
      </c>
      <c r="AD61" s="291">
        <f>$T61*'FZ-CZ'!$F48*'FZ-CZ'!R48</f>
        <v>0</v>
      </c>
      <c r="AE61" s="291">
        <f>$T61*'FZ-CZ'!$F48*'FZ-CZ'!S48</f>
        <v>0</v>
      </c>
      <c r="AF61" s="291">
        <f>$T61*'FZ-CZ'!$F48*'FZ-CZ'!T48</f>
        <v>0</v>
      </c>
      <c r="AG61" s="291">
        <f>$T61*'FZ-CZ'!$F48*'FZ-CZ'!U48</f>
        <v>0</v>
      </c>
      <c r="AH61" s="291">
        <f>$T61*'FZ-CZ'!$F48*'FZ-CZ'!V48</f>
        <v>0</v>
      </c>
      <c r="AI61" s="291">
        <f>$T61*'FZ-CZ'!$F48*'FZ-CZ'!W48</f>
        <v>0</v>
      </c>
      <c r="AJ61" s="291">
        <f>$T61*'FZ-CZ'!$F48*'FZ-CZ'!X48</f>
        <v>0</v>
      </c>
    </row>
    <row r="62" spans="1:61" hidden="1">
      <c r="A62" s="306" t="s">
        <v>392</v>
      </c>
      <c r="B62" s="307" t="s">
        <v>341</v>
      </c>
      <c r="C62" s="309">
        <v>2.5443510048993461E-2</v>
      </c>
      <c r="D62" s="310">
        <v>0.97455648995100652</v>
      </c>
      <c r="E62" s="311">
        <v>1</v>
      </c>
      <c r="I62" s="306" t="s">
        <v>393</v>
      </c>
      <c r="J62" s="307" t="s">
        <v>341</v>
      </c>
      <c r="K62" s="310">
        <v>0.38944896418083896</v>
      </c>
      <c r="L62" s="310">
        <v>0.55048808118450843</v>
      </c>
      <c r="M62" s="310">
        <v>4.4393278808718038E-2</v>
      </c>
      <c r="N62" s="521">
        <f t="shared" si="4"/>
        <v>1.5669675825934593E-2</v>
      </c>
      <c r="O62" s="297">
        <f t="shared" si="5"/>
        <v>1</v>
      </c>
      <c r="S62" s="296" t="s">
        <v>318</v>
      </c>
      <c r="T62" s="286">
        <f>Q34</f>
        <v>0.51864845957387895</v>
      </c>
      <c r="U62" s="291">
        <f>$T62*'FZ-CZ'!$F49*'FZ-CZ'!I49</f>
        <v>0</v>
      </c>
      <c r="V62" s="291">
        <f>$T62*'FZ-CZ'!$F49*'FZ-CZ'!J49</f>
        <v>0</v>
      </c>
      <c r="W62" s="291">
        <f>$T62*'FZ-CZ'!$F49*'FZ-CZ'!K49</f>
        <v>0</v>
      </c>
      <c r="X62" s="291">
        <f>$T62*'FZ-CZ'!$F49*'FZ-CZ'!L49</f>
        <v>0</v>
      </c>
      <c r="Y62" s="291">
        <f>$T62*'FZ-CZ'!$F49*'FZ-CZ'!M49</f>
        <v>0</v>
      </c>
      <c r="Z62" s="291">
        <f>$T62*'FZ-CZ'!$F49*'FZ-CZ'!N49</f>
        <v>0</v>
      </c>
      <c r="AA62" s="291">
        <f>$T62*'FZ-CZ'!$F49*'FZ-CZ'!O49</f>
        <v>0</v>
      </c>
      <c r="AB62" s="291">
        <f>$T62*'FZ-CZ'!$F49*'FZ-CZ'!P49</f>
        <v>0</v>
      </c>
      <c r="AC62" s="291">
        <f>$T62*'FZ-CZ'!$F49*'FZ-CZ'!Q49</f>
        <v>0</v>
      </c>
      <c r="AD62" s="291">
        <f>$T62*'FZ-CZ'!$F49*'FZ-CZ'!R49</f>
        <v>0</v>
      </c>
      <c r="AE62" s="291">
        <f>$T62*'FZ-CZ'!$F49*'FZ-CZ'!S49</f>
        <v>0</v>
      </c>
      <c r="AF62" s="291">
        <f>$T62*'FZ-CZ'!$F49*'FZ-CZ'!T49</f>
        <v>0</v>
      </c>
      <c r="AG62" s="291">
        <f>$T62*'FZ-CZ'!$F49*'FZ-CZ'!U49</f>
        <v>0</v>
      </c>
      <c r="AH62" s="291">
        <f>$T62*'FZ-CZ'!$F49*'FZ-CZ'!V49</f>
        <v>4.4704926463741934</v>
      </c>
      <c r="AI62" s="291">
        <f>$T62*'FZ-CZ'!$F49*'FZ-CZ'!W49</f>
        <v>18453.290034016911</v>
      </c>
      <c r="AJ62" s="291">
        <f>$T62*'FZ-CZ'!$F49*'FZ-CZ'!X49</f>
        <v>0</v>
      </c>
    </row>
    <row r="63" spans="1:61" hidden="1">
      <c r="A63" s="306" t="s">
        <v>392</v>
      </c>
      <c r="B63" s="307" t="s">
        <v>343</v>
      </c>
      <c r="C63" s="309">
        <v>6.2610460464379611E-2</v>
      </c>
      <c r="D63" s="310">
        <v>0.93738953953562032</v>
      </c>
      <c r="E63" s="311">
        <v>0.99999999999999989</v>
      </c>
      <c r="I63" s="306" t="s">
        <v>393</v>
      </c>
      <c r="J63" s="307" t="s">
        <v>343</v>
      </c>
      <c r="K63" s="310">
        <v>0.68358223013751196</v>
      </c>
      <c r="L63" s="310">
        <v>0.11885458319787834</v>
      </c>
      <c r="M63" s="310">
        <v>0.11874152152335653</v>
      </c>
      <c r="N63" s="521">
        <f t="shared" si="4"/>
        <v>7.8821665141253217E-2</v>
      </c>
      <c r="O63" s="297">
        <f t="shared" si="5"/>
        <v>1</v>
      </c>
      <c r="S63" s="296" t="s">
        <v>319</v>
      </c>
      <c r="T63" s="286">
        <f>Q33</f>
        <v>0.5414322636872958</v>
      </c>
      <c r="U63" s="291">
        <f>$T63*'FZ-CZ'!$F50*'FZ-CZ'!I50</f>
        <v>0</v>
      </c>
      <c r="V63" s="291">
        <f>$T63*'FZ-CZ'!$F50*'FZ-CZ'!J50</f>
        <v>0</v>
      </c>
      <c r="W63" s="291">
        <f>$T63*'FZ-CZ'!$F50*'FZ-CZ'!K50</f>
        <v>0</v>
      </c>
      <c r="X63" s="291">
        <f>$T63*'FZ-CZ'!$F50*'FZ-CZ'!L50</f>
        <v>0</v>
      </c>
      <c r="Y63" s="291">
        <f>$T63*'FZ-CZ'!$F50*'FZ-CZ'!M50</f>
        <v>0</v>
      </c>
      <c r="Z63" s="291">
        <f>$T63*'FZ-CZ'!$F50*'FZ-CZ'!N50</f>
        <v>0</v>
      </c>
      <c r="AA63" s="291">
        <f>$T63*'FZ-CZ'!$F50*'FZ-CZ'!O50</f>
        <v>0</v>
      </c>
      <c r="AB63" s="291">
        <f>$T63*'FZ-CZ'!$F50*'FZ-CZ'!P50</f>
        <v>0</v>
      </c>
      <c r="AC63" s="291">
        <f>$T63*'FZ-CZ'!$F50*'FZ-CZ'!Q50</f>
        <v>0</v>
      </c>
      <c r="AD63" s="291">
        <f>$T63*'FZ-CZ'!$F50*'FZ-CZ'!R50</f>
        <v>0</v>
      </c>
      <c r="AE63" s="291">
        <f>$T63*'FZ-CZ'!$F50*'FZ-CZ'!S50</f>
        <v>0</v>
      </c>
      <c r="AF63" s="291">
        <f>$T63*'FZ-CZ'!$F50*'FZ-CZ'!T50</f>
        <v>0</v>
      </c>
      <c r="AG63" s="291">
        <f>$T63*'FZ-CZ'!$F50*'FZ-CZ'!U50</f>
        <v>0</v>
      </c>
      <c r="AH63" s="291">
        <f>$T63*'FZ-CZ'!$F50*'FZ-CZ'!V50</f>
        <v>0</v>
      </c>
      <c r="AI63" s="291">
        <f>$T63*'FZ-CZ'!$F50*'FZ-CZ'!W50</f>
        <v>0</v>
      </c>
      <c r="AJ63" s="291">
        <f>$T63*'FZ-CZ'!$F50*'FZ-CZ'!X50</f>
        <v>18226.81252162599</v>
      </c>
    </row>
    <row r="64" spans="1:61" hidden="1">
      <c r="A64" s="306" t="s">
        <v>392</v>
      </c>
      <c r="B64" s="307" t="s">
        <v>345</v>
      </c>
      <c r="C64" s="309">
        <v>8.4943275860360073E-2</v>
      </c>
      <c r="D64" s="310">
        <v>0.91505672413964001</v>
      </c>
      <c r="E64" s="311">
        <v>1</v>
      </c>
      <c r="I64" s="306" t="s">
        <v>393</v>
      </c>
      <c r="J64" s="307" t="s">
        <v>345</v>
      </c>
      <c r="K64" s="310">
        <v>0.35936867395043282</v>
      </c>
      <c r="L64" s="310">
        <v>0.39059330258083724</v>
      </c>
      <c r="M64" s="310">
        <v>0.23302756339896202</v>
      </c>
      <c r="N64" s="521">
        <f t="shared" si="4"/>
        <v>1.7010460069767919E-2</v>
      </c>
      <c r="O64" s="297">
        <f t="shared" si="5"/>
        <v>1</v>
      </c>
      <c r="S64" s="296" t="s">
        <v>320</v>
      </c>
      <c r="U64" s="295">
        <f t="shared" ref="U64:AJ64" si="6">SUM(W48:W63)</f>
        <v>5350.9139114436575</v>
      </c>
      <c r="V64" s="295">
        <f t="shared" si="6"/>
        <v>10746.38748150593</v>
      </c>
      <c r="W64" s="295">
        <f t="shared" si="6"/>
        <v>36967.76231546433</v>
      </c>
      <c r="X64" s="295">
        <f t="shared" si="6"/>
        <v>20912.408802379767</v>
      </c>
      <c r="Y64" s="295">
        <f t="shared" si="6"/>
        <v>4019.4194607530408</v>
      </c>
      <c r="Z64" s="295">
        <f t="shared" si="6"/>
        <v>6865.1600433051481</v>
      </c>
      <c r="AA64" s="295">
        <f t="shared" si="6"/>
        <v>48841.269241221678</v>
      </c>
      <c r="AB64" s="295">
        <f t="shared" si="6"/>
        <v>850.25433876143757</v>
      </c>
      <c r="AC64" s="295">
        <f t="shared" si="6"/>
        <v>8811.0654168143865</v>
      </c>
      <c r="AD64" s="295">
        <f t="shared" si="6"/>
        <v>42425.898081854815</v>
      </c>
      <c r="AE64" s="295">
        <f t="shared" si="6"/>
        <v>11749.832442190354</v>
      </c>
      <c r="AF64" s="295">
        <f t="shared" si="6"/>
        <v>44025.681632228232</v>
      </c>
      <c r="AG64" s="295">
        <f t="shared" si="6"/>
        <v>37205.799483694951</v>
      </c>
      <c r="AH64" s="295">
        <f t="shared" si="6"/>
        <v>19077.086045054188</v>
      </c>
      <c r="AI64" s="295">
        <f t="shared" si="6"/>
        <v>680.49322232611644</v>
      </c>
      <c r="AJ64" s="295">
        <f t="shared" si="6"/>
        <v>17072.635487732485</v>
      </c>
    </row>
    <row r="65" spans="1:36" hidden="1">
      <c r="A65" s="306" t="s">
        <v>392</v>
      </c>
      <c r="B65" s="307" t="s">
        <v>346</v>
      </c>
      <c r="C65" s="309">
        <v>5.5988650167804729E-2</v>
      </c>
      <c r="D65" s="310">
        <v>0.94401134983219526</v>
      </c>
      <c r="E65" s="311">
        <v>1</v>
      </c>
      <c r="I65" s="306" t="s">
        <v>393</v>
      </c>
      <c r="J65" s="307" t="s">
        <v>346</v>
      </c>
      <c r="K65" s="310">
        <v>0.40264549006197897</v>
      </c>
      <c r="L65" s="310">
        <v>0.4447520818455355</v>
      </c>
      <c r="M65" s="310">
        <v>0.13747136660189549</v>
      </c>
      <c r="N65" s="521">
        <f t="shared" si="4"/>
        <v>1.513106149059007E-2</v>
      </c>
      <c r="O65" s="297">
        <f t="shared" si="5"/>
        <v>1</v>
      </c>
      <c r="S65" s="314" t="s">
        <v>321</v>
      </c>
      <c r="U65" s="298">
        <f t="shared" ref="U65:AJ65" si="7">U64/(W44+U64)</f>
        <v>0.47518076101944728</v>
      </c>
      <c r="V65" s="298">
        <f t="shared" si="7"/>
        <v>0.4274836432799976</v>
      </c>
      <c r="W65" s="298">
        <f t="shared" si="7"/>
        <v>0.45841590078626177</v>
      </c>
      <c r="X65" s="298">
        <f t="shared" si="7"/>
        <v>0.49452539062639256</v>
      </c>
      <c r="Y65" s="298">
        <f t="shared" si="7"/>
        <v>0.37677632117990895</v>
      </c>
      <c r="Z65" s="298">
        <f t="shared" si="7"/>
        <v>0.20051929381634176</v>
      </c>
      <c r="AA65" s="298">
        <f t="shared" si="7"/>
        <v>0.69539436669515065</v>
      </c>
      <c r="AB65" s="298">
        <f t="shared" si="7"/>
        <v>2.0690267110278725E-2</v>
      </c>
      <c r="AC65" s="298">
        <f t="shared" si="7"/>
        <v>0.13694875662035808</v>
      </c>
      <c r="AD65" s="298">
        <f t="shared" si="7"/>
        <v>0.57743829892119936</v>
      </c>
      <c r="AE65" s="298">
        <f t="shared" si="7"/>
        <v>0.47141158929035715</v>
      </c>
      <c r="AF65" s="298">
        <f t="shared" si="7"/>
        <v>0.41179210886272355</v>
      </c>
      <c r="AG65" s="298">
        <f t="shared" si="7"/>
        <v>0.6059263643684909</v>
      </c>
      <c r="AH65" s="298">
        <f t="shared" si="7"/>
        <v>0.71044545943493953</v>
      </c>
      <c r="AI65" s="298">
        <f t="shared" si="7"/>
        <v>3.9762750254867703E-2</v>
      </c>
      <c r="AJ65" s="298">
        <f t="shared" si="7"/>
        <v>0.3496593743484912</v>
      </c>
    </row>
    <row r="66" spans="1:36" hidden="1">
      <c r="A66" s="306" t="s">
        <v>392</v>
      </c>
      <c r="B66" s="307" t="s">
        <v>347</v>
      </c>
      <c r="C66" s="309">
        <v>0.10110983708854368</v>
      </c>
      <c r="D66" s="310">
        <v>0.89889016291145629</v>
      </c>
      <c r="E66" s="311">
        <v>1</v>
      </c>
      <c r="I66" s="306" t="s">
        <v>393</v>
      </c>
      <c r="J66" s="307" t="s">
        <v>347</v>
      </c>
      <c r="K66" s="310">
        <v>0.50523907152234349</v>
      </c>
      <c r="L66" s="310">
        <v>0.26398342370383437</v>
      </c>
      <c r="M66" s="310">
        <v>0.21167863104800264</v>
      </c>
      <c r="N66" s="521">
        <f t="shared" si="4"/>
        <v>1.9098873725819421E-2</v>
      </c>
      <c r="O66" s="297">
        <f t="shared" si="5"/>
        <v>1</v>
      </c>
      <c r="S66" s="296"/>
    </row>
    <row r="67" spans="1:36" hidden="1">
      <c r="A67" s="306" t="s">
        <v>392</v>
      </c>
      <c r="B67" s="307" t="s">
        <v>348</v>
      </c>
      <c r="C67" s="309">
        <v>5.0425468162887559E-2</v>
      </c>
      <c r="D67" s="310">
        <v>0.94957453183711249</v>
      </c>
      <c r="E67" s="311">
        <v>1</v>
      </c>
      <c r="I67" s="306" t="s">
        <v>393</v>
      </c>
      <c r="J67" s="307" t="s">
        <v>348</v>
      </c>
      <c r="K67" s="310">
        <v>0.5660871492667271</v>
      </c>
      <c r="L67" s="310">
        <v>0.32398181727172815</v>
      </c>
      <c r="M67" s="310">
        <v>0.10734841722906946</v>
      </c>
      <c r="N67" s="521">
        <f t="shared" si="4"/>
        <v>2.5826162324753543E-3</v>
      </c>
      <c r="O67" s="297">
        <f t="shared" si="5"/>
        <v>1</v>
      </c>
    </row>
    <row r="68" spans="1:36" hidden="1">
      <c r="A68" s="306" t="s">
        <v>392</v>
      </c>
      <c r="B68" s="307" t="s">
        <v>349</v>
      </c>
      <c r="C68" s="309">
        <v>4.6355081473674321E-2</v>
      </c>
      <c r="D68" s="310">
        <v>0.95364491852632571</v>
      </c>
      <c r="E68" s="311">
        <v>1</v>
      </c>
      <c r="I68" s="306" t="s">
        <v>393</v>
      </c>
      <c r="J68" s="307" t="s">
        <v>349</v>
      </c>
      <c r="K68" s="310">
        <v>0.35958212036987008</v>
      </c>
      <c r="L68" s="310">
        <v>0.50854100294958826</v>
      </c>
      <c r="M68" s="310">
        <v>0.10004327858116363</v>
      </c>
      <c r="N68" s="521">
        <f t="shared" si="4"/>
        <v>3.1833598099378024E-2</v>
      </c>
      <c r="O68" s="297">
        <f t="shared" si="5"/>
        <v>1</v>
      </c>
    </row>
    <row r="69" spans="1:36" ht="14.55" hidden="1" customHeight="1">
      <c r="A69" s="306" t="s">
        <v>392</v>
      </c>
      <c r="B69" s="307" t="s">
        <v>350</v>
      </c>
      <c r="C69" s="309">
        <v>5.1290086594588627E-2</v>
      </c>
      <c r="D69" s="310">
        <v>0.94870991340541133</v>
      </c>
      <c r="E69" s="311">
        <v>1</v>
      </c>
      <c r="I69" s="306" t="s">
        <v>393</v>
      </c>
      <c r="J69" s="307" t="s">
        <v>350</v>
      </c>
      <c r="K69" s="310">
        <v>0.60718257694832589</v>
      </c>
      <c r="L69" s="310">
        <v>0.2420326331668623</v>
      </c>
      <c r="M69" s="310">
        <v>0.15078478988481195</v>
      </c>
      <c r="N69" s="521">
        <f t="shared" si="4"/>
        <v>0</v>
      </c>
      <c r="O69" s="297">
        <f t="shared" si="5"/>
        <v>1.0000000000000002</v>
      </c>
      <c r="S69" s="280"/>
      <c r="T69" s="299" t="str">
        <f>S22</f>
        <v>Saturation
(Other Fuels)</v>
      </c>
      <c r="U69" s="30">
        <v>1</v>
      </c>
      <c r="V69" s="34">
        <v>2</v>
      </c>
      <c r="W69" s="34">
        <v>3</v>
      </c>
      <c r="X69" s="34">
        <v>4</v>
      </c>
      <c r="Y69" s="34">
        <v>5</v>
      </c>
      <c r="Z69" s="34">
        <v>6</v>
      </c>
      <c r="AA69" s="34">
        <v>7</v>
      </c>
      <c r="AB69" s="34">
        <v>8</v>
      </c>
      <c r="AC69" s="34">
        <v>9</v>
      </c>
      <c r="AD69" s="34">
        <v>10</v>
      </c>
      <c r="AE69" s="34">
        <v>11</v>
      </c>
      <c r="AF69" s="34">
        <v>12</v>
      </c>
      <c r="AG69" s="34">
        <v>13</v>
      </c>
      <c r="AH69" s="34">
        <v>14</v>
      </c>
      <c r="AI69" s="34">
        <v>15</v>
      </c>
      <c r="AJ69" s="38">
        <v>16</v>
      </c>
    </row>
    <row r="70" spans="1:36" hidden="1">
      <c r="A70" s="306" t="s">
        <v>392</v>
      </c>
      <c r="B70" s="307" t="s">
        <v>351</v>
      </c>
      <c r="C70" s="309">
        <v>8.3500921142540138E-2</v>
      </c>
      <c r="D70" s="310">
        <v>0.91649907885745996</v>
      </c>
      <c r="E70" s="311">
        <v>1</v>
      </c>
      <c r="I70" s="306" t="s">
        <v>393</v>
      </c>
      <c r="J70" s="307" t="s">
        <v>351</v>
      </c>
      <c r="K70" s="310">
        <v>0.61357288412093947</v>
      </c>
      <c r="L70" s="310">
        <v>0.1874302906740774</v>
      </c>
      <c r="M70" s="310">
        <v>0.18041194438640953</v>
      </c>
      <c r="N70" s="521">
        <f t="shared" si="4"/>
        <v>1.8584880818573679E-2</v>
      </c>
      <c r="O70" s="297">
        <f t="shared" si="5"/>
        <v>1</v>
      </c>
      <c r="S70" s="154" t="s">
        <v>314</v>
      </c>
      <c r="T70" s="315" t="e">
        <f>#REF!</f>
        <v>#REF!</v>
      </c>
      <c r="U70" s="154" t="e">
        <f>$T70*'FZ-CZ'!$F30*'FZ-CZ'!I30</f>
        <v>#REF!</v>
      </c>
      <c r="V70" s="154" t="e">
        <f>$T70*'FZ-CZ'!$F30*'FZ-CZ'!J30</f>
        <v>#REF!</v>
      </c>
      <c r="W70" s="154" t="e">
        <f>$T70*'FZ-CZ'!$F30*'FZ-CZ'!K30</f>
        <v>#REF!</v>
      </c>
      <c r="X70" s="154" t="e">
        <f>$T70*'FZ-CZ'!$F30*'FZ-CZ'!L30</f>
        <v>#REF!</v>
      </c>
      <c r="Y70" s="154" t="e">
        <f>$T70*'FZ-CZ'!$F30*'FZ-CZ'!M30</f>
        <v>#REF!</v>
      </c>
      <c r="Z70" s="154" t="e">
        <f>$T70*'FZ-CZ'!$F30*'FZ-CZ'!N30</f>
        <v>#REF!</v>
      </c>
      <c r="AA70" s="154" t="e">
        <f>$T70*'FZ-CZ'!$F30*'FZ-CZ'!O30</f>
        <v>#REF!</v>
      </c>
      <c r="AB70" s="154" t="e">
        <f>$T70*'FZ-CZ'!$F30*'FZ-CZ'!P30</f>
        <v>#REF!</v>
      </c>
      <c r="AC70" s="154" t="e">
        <f>$T70*'FZ-CZ'!$F30*'FZ-CZ'!Q30</f>
        <v>#REF!</v>
      </c>
      <c r="AD70" s="154" t="e">
        <f>$T70*'FZ-CZ'!$F30*'FZ-CZ'!R30</f>
        <v>#REF!</v>
      </c>
      <c r="AE70" s="154" t="e">
        <f>$T70*'FZ-CZ'!$F30*'FZ-CZ'!S30</f>
        <v>#REF!</v>
      </c>
      <c r="AF70" s="154" t="e">
        <f>$T70*'FZ-CZ'!$F30*'FZ-CZ'!T30</f>
        <v>#REF!</v>
      </c>
      <c r="AG70" s="154" t="e">
        <f>$T70*'FZ-CZ'!$F30*'FZ-CZ'!U30</f>
        <v>#REF!</v>
      </c>
      <c r="AH70" s="154" t="e">
        <f>$T70*'FZ-CZ'!$F30*'FZ-CZ'!V30</f>
        <v>#REF!</v>
      </c>
      <c r="AI70" s="154" t="e">
        <f>$T70*'FZ-CZ'!$F30*'FZ-CZ'!W30</f>
        <v>#REF!</v>
      </c>
      <c r="AJ70" s="154" t="e">
        <f>$T70*'FZ-CZ'!$F30*'FZ-CZ'!X30</f>
        <v>#REF!</v>
      </c>
    </row>
    <row r="71" spans="1:36" hidden="1">
      <c r="A71" s="306" t="s">
        <v>392</v>
      </c>
      <c r="B71" s="307" t="s">
        <v>352</v>
      </c>
      <c r="C71" s="309">
        <v>0.11657110058553498</v>
      </c>
      <c r="D71" s="310">
        <v>0.8834288994144649</v>
      </c>
      <c r="E71" s="311">
        <v>0.99999999999999989</v>
      </c>
      <c r="I71" s="306" t="s">
        <v>393</v>
      </c>
      <c r="J71" s="307" t="s">
        <v>352</v>
      </c>
      <c r="K71" s="310">
        <v>0.51183016153547001</v>
      </c>
      <c r="L71" s="310">
        <v>0.26202661401573685</v>
      </c>
      <c r="M71" s="310">
        <v>0.22318490386389661</v>
      </c>
      <c r="N71" s="521">
        <f t="shared" si="4"/>
        <v>2.9583205848964234E-3</v>
      </c>
      <c r="O71" s="297">
        <f t="shared" si="5"/>
        <v>1</v>
      </c>
      <c r="S71" s="290" t="s">
        <v>284</v>
      </c>
      <c r="T71" s="315">
        <f>S24</f>
        <v>1.0777868472159309E-2</v>
      </c>
      <c r="U71" s="154">
        <f>$T71*'FZ-CZ'!$F31*'FZ-CZ'!I31</f>
        <v>0</v>
      </c>
      <c r="V71" s="154">
        <f>$T71*'FZ-CZ'!$F31*'FZ-CZ'!J31</f>
        <v>0</v>
      </c>
      <c r="W71" s="154">
        <f>$T71*'FZ-CZ'!$F31*'FZ-CZ'!K31</f>
        <v>675.86225746015793</v>
      </c>
      <c r="X71" s="154">
        <f>$T71*'FZ-CZ'!$F31*'FZ-CZ'!L31</f>
        <v>391.69791348818262</v>
      </c>
      <c r="Y71" s="154">
        <f>$T71*'FZ-CZ'!$F31*'FZ-CZ'!M31</f>
        <v>0</v>
      </c>
      <c r="Z71" s="154">
        <f>$T71*'FZ-CZ'!$F31*'FZ-CZ'!N31</f>
        <v>0</v>
      </c>
      <c r="AA71" s="154">
        <f>$T71*'FZ-CZ'!$F31*'FZ-CZ'!O31</f>
        <v>0</v>
      </c>
      <c r="AB71" s="154">
        <f>$T71*'FZ-CZ'!$F31*'FZ-CZ'!P31</f>
        <v>0</v>
      </c>
      <c r="AC71" s="154">
        <f>$T71*'FZ-CZ'!$F31*'FZ-CZ'!Q31</f>
        <v>0</v>
      </c>
      <c r="AD71" s="154">
        <f>$T71*'FZ-CZ'!$F31*'FZ-CZ'!R31</f>
        <v>0</v>
      </c>
      <c r="AE71" s="154">
        <f>$T71*'FZ-CZ'!$F31*'FZ-CZ'!S31</f>
        <v>0</v>
      </c>
      <c r="AF71" s="154">
        <f>$T71*'FZ-CZ'!$F31*'FZ-CZ'!T31</f>
        <v>221.42523394665434</v>
      </c>
      <c r="AG71" s="154">
        <f>$T71*'FZ-CZ'!$F31*'FZ-CZ'!U31</f>
        <v>0</v>
      </c>
      <c r="AH71" s="154">
        <f>$T71*'FZ-CZ'!$F31*'FZ-CZ'!V31</f>
        <v>0</v>
      </c>
      <c r="AI71" s="154">
        <f>$T71*'FZ-CZ'!$F31*'FZ-CZ'!W31</f>
        <v>0</v>
      </c>
      <c r="AJ71" s="154">
        <f>$T71*'FZ-CZ'!$F31*'FZ-CZ'!X31</f>
        <v>0</v>
      </c>
    </row>
    <row r="72" spans="1:36" hidden="1">
      <c r="A72" s="306" t="s">
        <v>392</v>
      </c>
      <c r="B72" s="307" t="s">
        <v>353</v>
      </c>
      <c r="C72" s="309">
        <v>8.8819912440482457E-2</v>
      </c>
      <c r="D72" s="310">
        <v>0.91118008755951752</v>
      </c>
      <c r="E72" s="311">
        <v>1</v>
      </c>
      <c r="I72" s="306" t="s">
        <v>393</v>
      </c>
      <c r="J72" s="307" t="s">
        <v>353</v>
      </c>
      <c r="K72" s="310">
        <v>0.47591565680516162</v>
      </c>
      <c r="L72" s="310">
        <v>0.35007996444318618</v>
      </c>
      <c r="M72" s="310">
        <v>0.15699908860596973</v>
      </c>
      <c r="N72" s="521">
        <f t="shared" si="4"/>
        <v>1.7005290145682528E-2</v>
      </c>
      <c r="O72" s="297">
        <f t="shared" si="5"/>
        <v>1</v>
      </c>
      <c r="S72" s="290" t="s">
        <v>285</v>
      </c>
      <c r="T72" s="315">
        <f>S25</f>
        <v>2.1645941447563658E-2</v>
      </c>
      <c r="U72" s="154">
        <f>$T72*'FZ-CZ'!$F32*'FZ-CZ'!I32</f>
        <v>98.318823228397335</v>
      </c>
      <c r="V72" s="154">
        <f>$T72*'FZ-CZ'!$F32*'FZ-CZ'!J32</f>
        <v>583.57833503089842</v>
      </c>
      <c r="W72" s="154">
        <f>$T72*'FZ-CZ'!$F32*'FZ-CZ'!K32</f>
        <v>45.734119201167019</v>
      </c>
      <c r="X72" s="154">
        <f>$T72*'FZ-CZ'!$F32*'FZ-CZ'!L32</f>
        <v>0</v>
      </c>
      <c r="Y72" s="154">
        <f>$T72*'FZ-CZ'!$F32*'FZ-CZ'!M32</f>
        <v>0</v>
      </c>
      <c r="Z72" s="154">
        <f>$T72*'FZ-CZ'!$F32*'FZ-CZ'!N32</f>
        <v>0</v>
      </c>
      <c r="AA72" s="154">
        <f>$T72*'FZ-CZ'!$F32*'FZ-CZ'!O32</f>
        <v>0</v>
      </c>
      <c r="AB72" s="154">
        <f>$T72*'FZ-CZ'!$F32*'FZ-CZ'!P32</f>
        <v>0</v>
      </c>
      <c r="AC72" s="154">
        <f>$T72*'FZ-CZ'!$F32*'FZ-CZ'!Q32</f>
        <v>0</v>
      </c>
      <c r="AD72" s="154">
        <f>$T72*'FZ-CZ'!$F32*'FZ-CZ'!R32</f>
        <v>0</v>
      </c>
      <c r="AE72" s="154">
        <f>$T72*'FZ-CZ'!$F32*'FZ-CZ'!S32</f>
        <v>0</v>
      </c>
      <c r="AF72" s="154">
        <f>$T72*'FZ-CZ'!$F32*'FZ-CZ'!T32</f>
        <v>0</v>
      </c>
      <c r="AG72" s="154">
        <f>$T72*'FZ-CZ'!$F32*'FZ-CZ'!U32</f>
        <v>0</v>
      </c>
      <c r="AH72" s="154">
        <f>$T72*'FZ-CZ'!$F32*'FZ-CZ'!V32</f>
        <v>0</v>
      </c>
      <c r="AI72" s="154">
        <f>$T72*'FZ-CZ'!$F32*'FZ-CZ'!W32</f>
        <v>0</v>
      </c>
      <c r="AJ72" s="154">
        <f>$T72*'FZ-CZ'!$F32*'FZ-CZ'!X32</f>
        <v>4.0271647732897035E-2</v>
      </c>
    </row>
    <row r="73" spans="1:36" hidden="1">
      <c r="A73" s="306" t="s">
        <v>392</v>
      </c>
      <c r="B73" s="307" t="s">
        <v>354</v>
      </c>
      <c r="C73" s="309">
        <v>6.5204603628525107E-2</v>
      </c>
      <c r="D73" s="310">
        <v>0.93479539637147491</v>
      </c>
      <c r="E73" s="311">
        <v>1</v>
      </c>
      <c r="I73" s="306" t="s">
        <v>393</v>
      </c>
      <c r="J73" s="307" t="s">
        <v>354</v>
      </c>
      <c r="K73" s="310">
        <v>0.38873581090028086</v>
      </c>
      <c r="L73" s="310">
        <v>0.43796636022834634</v>
      </c>
      <c r="M73" s="310">
        <v>0.13801980970126893</v>
      </c>
      <c r="N73" s="521">
        <f t="shared" si="4"/>
        <v>3.5278019170103869E-2</v>
      </c>
      <c r="O73" s="297">
        <f t="shared" si="5"/>
        <v>1</v>
      </c>
      <c r="S73" s="290" t="s">
        <v>286</v>
      </c>
      <c r="T73" s="315">
        <f>S26</f>
        <v>4.7083426197137686E-2</v>
      </c>
      <c r="U73" s="154">
        <f>$T73*'FZ-CZ'!$F33*'FZ-CZ'!I33</f>
        <v>0</v>
      </c>
      <c r="V73" s="154">
        <f>$T73*'FZ-CZ'!$F33*'FZ-CZ'!J33</f>
        <v>0</v>
      </c>
      <c r="W73" s="154">
        <f>$T73*'FZ-CZ'!$F33*'FZ-CZ'!K33</f>
        <v>0</v>
      </c>
      <c r="X73" s="154">
        <f>$T73*'FZ-CZ'!$F33*'FZ-CZ'!L33</f>
        <v>0</v>
      </c>
      <c r="Y73" s="154">
        <f>$T73*'FZ-CZ'!$F33*'FZ-CZ'!M33</f>
        <v>0</v>
      </c>
      <c r="Z73" s="154">
        <f>$T73*'FZ-CZ'!$F33*'FZ-CZ'!N33</f>
        <v>0</v>
      </c>
      <c r="AA73" s="154">
        <f>$T73*'FZ-CZ'!$F33*'FZ-CZ'!O33</f>
        <v>0</v>
      </c>
      <c r="AB73" s="154">
        <f>$T73*'FZ-CZ'!$F33*'FZ-CZ'!P33</f>
        <v>0</v>
      </c>
      <c r="AC73" s="154">
        <f>$T73*'FZ-CZ'!$F33*'FZ-CZ'!Q33</f>
        <v>0</v>
      </c>
      <c r="AD73" s="154">
        <f>$T73*'FZ-CZ'!$F33*'FZ-CZ'!R33</f>
        <v>0</v>
      </c>
      <c r="AE73" s="154">
        <f>$T73*'FZ-CZ'!$F33*'FZ-CZ'!S33</f>
        <v>375.39503626768578</v>
      </c>
      <c r="AF73" s="154">
        <f>$T73*'FZ-CZ'!$F33*'FZ-CZ'!T33</f>
        <v>0</v>
      </c>
      <c r="AG73" s="154">
        <f>$T73*'FZ-CZ'!$F33*'FZ-CZ'!U33</f>
        <v>0</v>
      </c>
      <c r="AH73" s="154">
        <f>$T73*'FZ-CZ'!$F33*'FZ-CZ'!V33</f>
        <v>0</v>
      </c>
      <c r="AI73" s="154">
        <f>$T73*'FZ-CZ'!$F33*'FZ-CZ'!W33</f>
        <v>0</v>
      </c>
      <c r="AJ73" s="154">
        <f>$T73*'FZ-CZ'!$F33*'FZ-CZ'!X33</f>
        <v>67.432306143220231</v>
      </c>
    </row>
    <row r="74" spans="1:36" hidden="1">
      <c r="A74" s="306" t="s">
        <v>392</v>
      </c>
      <c r="B74" s="307" t="s">
        <v>355</v>
      </c>
      <c r="C74" s="309">
        <v>5.3569889183691773E-2</v>
      </c>
      <c r="D74" s="310">
        <v>0.94643011081630835</v>
      </c>
      <c r="E74" s="311">
        <v>1.0000000000000002</v>
      </c>
      <c r="I74" s="306" t="s">
        <v>393</v>
      </c>
      <c r="J74" s="307" t="s">
        <v>355</v>
      </c>
      <c r="K74" s="310">
        <v>0.5733463944610635</v>
      </c>
      <c r="L74" s="310">
        <v>0.38525579458965487</v>
      </c>
      <c r="M74" s="310">
        <v>4.1397810949281584E-2</v>
      </c>
      <c r="N74" s="521">
        <f t="shared" si="4"/>
        <v>0</v>
      </c>
      <c r="O74" s="297">
        <f t="shared" si="5"/>
        <v>1</v>
      </c>
      <c r="S74" s="290" t="s">
        <v>287</v>
      </c>
      <c r="T74" s="315">
        <f>S27</f>
        <v>4.7083426197137686E-2</v>
      </c>
      <c r="U74" s="154">
        <f>$T74*'FZ-CZ'!$F34*'FZ-CZ'!I34</f>
        <v>0</v>
      </c>
      <c r="V74" s="154">
        <f>$T74*'FZ-CZ'!$F34*'FZ-CZ'!J34</f>
        <v>0</v>
      </c>
      <c r="W74" s="154">
        <f>$T74*'FZ-CZ'!$F34*'FZ-CZ'!K34</f>
        <v>77.492364242638502</v>
      </c>
      <c r="X74" s="154">
        <f>$T74*'FZ-CZ'!$F34*'FZ-CZ'!L34</f>
        <v>0</v>
      </c>
      <c r="Y74" s="154">
        <f>$T74*'FZ-CZ'!$F34*'FZ-CZ'!M34</f>
        <v>0</v>
      </c>
      <c r="Z74" s="154">
        <f>$T74*'FZ-CZ'!$F34*'FZ-CZ'!N34</f>
        <v>0</v>
      </c>
      <c r="AA74" s="154">
        <f>$T74*'FZ-CZ'!$F34*'FZ-CZ'!O34</f>
        <v>0</v>
      </c>
      <c r="AB74" s="154">
        <f>$T74*'FZ-CZ'!$F34*'FZ-CZ'!P34</f>
        <v>0</v>
      </c>
      <c r="AC74" s="154">
        <f>$T74*'FZ-CZ'!$F34*'FZ-CZ'!Q34</f>
        <v>0</v>
      </c>
      <c r="AD74" s="154">
        <f>$T74*'FZ-CZ'!$F34*'FZ-CZ'!R34</f>
        <v>0</v>
      </c>
      <c r="AE74" s="154">
        <f>$T74*'FZ-CZ'!$F34*'FZ-CZ'!S34</f>
        <v>470.11379119170738</v>
      </c>
      <c r="AF74" s="154">
        <f>$T74*'FZ-CZ'!$F34*'FZ-CZ'!T34</f>
        <v>1546.463706669515</v>
      </c>
      <c r="AG74" s="154">
        <f>$T74*'FZ-CZ'!$F34*'FZ-CZ'!U34</f>
        <v>0</v>
      </c>
      <c r="AH74" s="154">
        <f>$T74*'FZ-CZ'!$F34*'FZ-CZ'!V34</f>
        <v>0</v>
      </c>
      <c r="AI74" s="154">
        <f>$T74*'FZ-CZ'!$F34*'FZ-CZ'!W34</f>
        <v>0</v>
      </c>
      <c r="AJ74" s="154">
        <f>$T74*'FZ-CZ'!$F34*'FZ-CZ'!X34</f>
        <v>35.881573028115973</v>
      </c>
    </row>
    <row r="75" spans="1:36" hidden="1">
      <c r="A75" s="306" t="s">
        <v>392</v>
      </c>
      <c r="B75" s="307" t="s">
        <v>356</v>
      </c>
      <c r="C75" s="309">
        <v>4.0098416898874362E-2</v>
      </c>
      <c r="D75" s="310">
        <v>0.95990158310112561</v>
      </c>
      <c r="E75" s="311">
        <v>1</v>
      </c>
      <c r="I75" s="306" t="s">
        <v>393</v>
      </c>
      <c r="J75" s="307" t="s">
        <v>356</v>
      </c>
      <c r="K75" s="310">
        <v>0.43793480393481338</v>
      </c>
      <c r="L75" s="310">
        <v>0.4609662551192214</v>
      </c>
      <c r="M75" s="310">
        <v>0.10109894094596523</v>
      </c>
      <c r="N75" s="521">
        <f t="shared" si="4"/>
        <v>0</v>
      </c>
      <c r="O75" s="297">
        <f t="shared" si="5"/>
        <v>1</v>
      </c>
      <c r="S75" s="290" t="s">
        <v>288</v>
      </c>
      <c r="T75" s="315">
        <f>S28</f>
        <v>3.5275289535421327E-3</v>
      </c>
      <c r="U75" s="154">
        <f>$T75*'FZ-CZ'!$F35*'FZ-CZ'!I35</f>
        <v>0</v>
      </c>
      <c r="V75" s="154">
        <f>$T75*'FZ-CZ'!$F35*'FZ-CZ'!J35</f>
        <v>0</v>
      </c>
      <c r="W75" s="154">
        <f>$T75*'FZ-CZ'!$F35*'FZ-CZ'!K35</f>
        <v>0</v>
      </c>
      <c r="X75" s="154">
        <f>$T75*'FZ-CZ'!$F35*'FZ-CZ'!L35</f>
        <v>0</v>
      </c>
      <c r="Y75" s="154">
        <f>$T75*'FZ-CZ'!$F35*'FZ-CZ'!M35</f>
        <v>0</v>
      </c>
      <c r="Z75" s="154">
        <f>$T75*'FZ-CZ'!$F35*'FZ-CZ'!N35</f>
        <v>0</v>
      </c>
      <c r="AA75" s="154">
        <f>$T75*'FZ-CZ'!$F35*'FZ-CZ'!O35</f>
        <v>0</v>
      </c>
      <c r="AB75" s="154">
        <f>$T75*'FZ-CZ'!$F35*'FZ-CZ'!P35</f>
        <v>0</v>
      </c>
      <c r="AC75" s="154">
        <f>$T75*'FZ-CZ'!$F35*'FZ-CZ'!Q35</f>
        <v>0</v>
      </c>
      <c r="AD75" s="154">
        <f>$T75*'FZ-CZ'!$F35*'FZ-CZ'!R35</f>
        <v>0</v>
      </c>
      <c r="AE75" s="154">
        <f>$T75*'FZ-CZ'!$F35*'FZ-CZ'!S35</f>
        <v>0</v>
      </c>
      <c r="AF75" s="154">
        <f>$T75*'FZ-CZ'!$F35*'FZ-CZ'!T35</f>
        <v>6.9333056998049534</v>
      </c>
      <c r="AG75" s="154">
        <f>$T75*'FZ-CZ'!$F35*'FZ-CZ'!U35</f>
        <v>144.31706540614479</v>
      </c>
      <c r="AH75" s="154">
        <f>$T75*'FZ-CZ'!$F35*'FZ-CZ'!V35</f>
        <v>0</v>
      </c>
      <c r="AI75" s="154">
        <f>$T75*'FZ-CZ'!$F35*'FZ-CZ'!W35</f>
        <v>0</v>
      </c>
      <c r="AJ75" s="154">
        <f>$T75*'FZ-CZ'!$F35*'FZ-CZ'!X35</f>
        <v>0.97345809103858072</v>
      </c>
    </row>
    <row r="76" spans="1:36" hidden="1">
      <c r="A76" s="306"/>
      <c r="B76" s="307"/>
      <c r="C76" s="308"/>
      <c r="D76" s="309"/>
      <c r="E76" s="310"/>
      <c r="F76" s="311"/>
      <c r="M76" s="310"/>
      <c r="T76" s="290"/>
      <c r="U76" s="315"/>
    </row>
    <row r="77" spans="1:36" hidden="1"/>
    <row r="78" spans="1:36" hidden="1"/>
    <row r="79" spans="1:36" hidden="1"/>
    <row r="80" spans="1:36" hidden="1"/>
    <row r="81" hidden="1"/>
    <row r="82" hidden="1"/>
    <row r="83" hidden="1"/>
    <row r="84" hidden="1"/>
    <row r="85" hidden="1"/>
    <row r="86" hidden="1"/>
  </sheetData>
  <mergeCells count="7">
    <mergeCell ref="A57:E57"/>
    <mergeCell ref="A1:E1"/>
    <mergeCell ref="A20:J20"/>
    <mergeCell ref="B21:D21"/>
    <mergeCell ref="AO48:BI48"/>
    <mergeCell ref="E21:I21"/>
    <mergeCell ref="J21:S21"/>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D1F88-80D6-41E6-977E-3A2983EE645A}">
  <sheetPr codeName="Sheet3"/>
  <dimension ref="A1:K40"/>
  <sheetViews>
    <sheetView zoomScale="85" zoomScaleNormal="85" workbookViewId="0">
      <selection activeCell="D18" sqref="D18"/>
    </sheetView>
  </sheetViews>
  <sheetFormatPr defaultRowHeight="14.4"/>
  <cols>
    <col min="1" max="1" width="17.21875" customWidth="1"/>
    <col min="2" max="2" width="13.21875" customWidth="1"/>
    <col min="3" max="3" width="36.77734375" customWidth="1"/>
    <col min="4" max="4" width="19.21875" style="3" customWidth="1"/>
    <col min="5" max="11" width="12.44140625" customWidth="1"/>
    <col min="12" max="18" width="5.77734375" customWidth="1"/>
  </cols>
  <sheetData>
    <row r="1" spans="1:11" ht="28.8">
      <c r="A1" s="4" t="s">
        <v>267</v>
      </c>
      <c r="B1" s="4" t="s">
        <v>268</v>
      </c>
      <c r="C1" s="4" t="s">
        <v>307</v>
      </c>
      <c r="D1" s="4"/>
      <c r="E1" s="5" t="s">
        <v>394</v>
      </c>
      <c r="F1" s="5" t="s">
        <v>270</v>
      </c>
      <c r="G1" s="5" t="s">
        <v>308</v>
      </c>
      <c r="H1" s="5" t="s">
        <v>309</v>
      </c>
      <c r="I1" s="5" t="s">
        <v>271</v>
      </c>
      <c r="J1" s="5" t="s">
        <v>272</v>
      </c>
      <c r="K1" s="5" t="s">
        <v>273</v>
      </c>
    </row>
    <row r="2" spans="1:11">
      <c r="A2" s="6" t="s">
        <v>282</v>
      </c>
      <c r="B2" s="7" t="s">
        <v>283</v>
      </c>
      <c r="C2" s="7" t="s">
        <v>395</v>
      </c>
      <c r="E2" s="8">
        <v>2.0119266733967099E-2</v>
      </c>
      <c r="F2" s="9">
        <v>0.36728899438652901</v>
      </c>
      <c r="G2" s="9">
        <v>0.628941775932645</v>
      </c>
      <c r="H2" s="8">
        <v>3.7692296808265399E-3</v>
      </c>
      <c r="I2" s="8">
        <v>7.3895852465131221E-3</v>
      </c>
      <c r="J2" s="8">
        <v>1.2653847350123853E-2</v>
      </c>
      <c r="K2" s="8">
        <v>7.5834137330134832E-5</v>
      </c>
    </row>
    <row r="3" spans="1:11">
      <c r="A3" s="10" t="s">
        <v>284</v>
      </c>
      <c r="B3" s="7" t="s">
        <v>283</v>
      </c>
      <c r="C3" s="7" t="s">
        <v>395</v>
      </c>
      <c r="D3" s="136"/>
      <c r="E3" s="8">
        <v>1.6135745053783401E-2</v>
      </c>
      <c r="F3" s="9">
        <v>0.47987336212939902</v>
      </c>
      <c r="G3" s="9">
        <v>0.50250087794662601</v>
      </c>
      <c r="H3" s="8">
        <v>1.76257599239747E-2</v>
      </c>
      <c r="I3" s="8">
        <v>7.7431142294218614E-3</v>
      </c>
      <c r="J3" s="8">
        <v>8.1082260558490871E-3</v>
      </c>
      <c r="K3" s="8">
        <v>2.8440476851244849E-4</v>
      </c>
    </row>
    <row r="4" spans="1:11">
      <c r="A4" s="6" t="s">
        <v>285</v>
      </c>
      <c r="B4" s="7" t="s">
        <v>283</v>
      </c>
      <c r="C4" s="7" t="s">
        <v>395</v>
      </c>
      <c r="D4" s="136" t="s">
        <v>306</v>
      </c>
      <c r="E4" s="8">
        <v>1.47004515181944E-2</v>
      </c>
      <c r="F4" s="9">
        <v>0.175795128622309</v>
      </c>
      <c r="G4" s="9">
        <v>0.82420487137769105</v>
      </c>
      <c r="H4" s="8">
        <v>0</v>
      </c>
      <c r="I4" s="8">
        <v>2.5842677654470021E-3</v>
      </c>
      <c r="J4" s="8">
        <v>1.2116183752747398E-2</v>
      </c>
      <c r="K4" s="8">
        <v>0</v>
      </c>
    </row>
    <row r="5" spans="1:11">
      <c r="A5" s="10" t="s">
        <v>286</v>
      </c>
      <c r="B5" s="7" t="s">
        <v>283</v>
      </c>
      <c r="C5" s="7" t="s">
        <v>395</v>
      </c>
      <c r="D5" s="136"/>
      <c r="E5" s="8">
        <v>2.4755044915725399E-2</v>
      </c>
      <c r="F5" s="9">
        <v>0.76947624099160306</v>
      </c>
      <c r="G5" s="9">
        <v>0.230523759008397</v>
      </c>
      <c r="H5" s="8">
        <v>0</v>
      </c>
      <c r="I5" s="8">
        <v>1.9048418907330673E-2</v>
      </c>
      <c r="J5" s="8">
        <v>5.7066260083947253E-3</v>
      </c>
      <c r="K5" s="8">
        <v>0</v>
      </c>
    </row>
    <row r="6" spans="1:11">
      <c r="A6" s="10" t="s">
        <v>287</v>
      </c>
      <c r="B6" s="7" t="s">
        <v>283</v>
      </c>
      <c r="C6" s="7" t="s">
        <v>395</v>
      </c>
      <c r="D6" s="136"/>
      <c r="E6" s="8">
        <v>2.4755044915725399E-2</v>
      </c>
      <c r="F6" s="9">
        <v>0.76947624099160306</v>
      </c>
      <c r="G6" s="9">
        <v>0.230523759008397</v>
      </c>
      <c r="H6" s="8">
        <v>0</v>
      </c>
      <c r="I6" s="8">
        <v>1.9048418907330673E-2</v>
      </c>
      <c r="J6" s="8">
        <v>5.7066260083947253E-3</v>
      </c>
      <c r="K6" s="8">
        <v>0</v>
      </c>
    </row>
    <row r="7" spans="1:11">
      <c r="A7" s="10" t="s">
        <v>288</v>
      </c>
      <c r="B7" s="7" t="s">
        <v>283</v>
      </c>
      <c r="C7" s="7" t="s">
        <v>395</v>
      </c>
      <c r="D7" s="136"/>
      <c r="E7" s="8">
        <v>5.00730176692325E-2</v>
      </c>
      <c r="F7" s="9">
        <v>0.58143569768308501</v>
      </c>
      <c r="G7" s="9">
        <v>0.41856430231691499</v>
      </c>
      <c r="H7" s="8">
        <v>0</v>
      </c>
      <c r="I7" s="8">
        <v>2.9114239963607642E-2</v>
      </c>
      <c r="J7" s="8">
        <v>2.0958777705624859E-2</v>
      </c>
      <c r="K7" s="8">
        <v>0</v>
      </c>
    </row>
    <row r="8" spans="1:11">
      <c r="A8" s="6" t="s">
        <v>289</v>
      </c>
      <c r="B8" s="7" t="s">
        <v>283</v>
      </c>
      <c r="C8" s="7" t="s">
        <v>395</v>
      </c>
      <c r="D8" s="136" t="s">
        <v>306</v>
      </c>
      <c r="E8" s="8">
        <v>1.6879395011980901E-2</v>
      </c>
      <c r="F8" s="9">
        <v>1.7126658714501301E-2</v>
      </c>
      <c r="G8" s="9">
        <v>0.98287334128549897</v>
      </c>
      <c r="H8" s="8">
        <v>0</v>
      </c>
      <c r="I8" s="8">
        <v>2.890876376774525E-4</v>
      </c>
      <c r="J8" s="8">
        <v>1.6590307374303451E-2</v>
      </c>
      <c r="K8" s="8">
        <v>0</v>
      </c>
    </row>
    <row r="9" spans="1:11">
      <c r="A9" s="6" t="s">
        <v>290</v>
      </c>
      <c r="B9" s="7" t="s">
        <v>283</v>
      </c>
      <c r="C9" s="7" t="s">
        <v>395</v>
      </c>
      <c r="D9" s="136" t="s">
        <v>306</v>
      </c>
      <c r="E9" s="8">
        <v>2.3652968169980301E-2</v>
      </c>
      <c r="F9" s="9">
        <v>0.174835163446798</v>
      </c>
      <c r="G9" s="9">
        <v>0.82516483655320205</v>
      </c>
      <c r="H9" s="8">
        <v>0</v>
      </c>
      <c r="I9" s="8">
        <v>4.1353705560004169E-3</v>
      </c>
      <c r="J9" s="8">
        <v>1.9517597613979885E-2</v>
      </c>
      <c r="K9" s="8">
        <v>0</v>
      </c>
    </row>
    <row r="10" spans="1:11">
      <c r="A10" s="6" t="s">
        <v>291</v>
      </c>
      <c r="B10" s="7" t="s">
        <v>283</v>
      </c>
      <c r="C10" s="7" t="s">
        <v>395</v>
      </c>
      <c r="D10" s="136"/>
      <c r="E10" s="8">
        <v>1.61637197088648E-2</v>
      </c>
      <c r="F10" s="9">
        <v>0.232534608647573</v>
      </c>
      <c r="G10" s="9">
        <v>0.76746539135242697</v>
      </c>
      <c r="H10" s="8">
        <v>0</v>
      </c>
      <c r="I10" s="8">
        <v>3.7586242367899387E-3</v>
      </c>
      <c r="J10" s="8">
        <v>1.2405095472074862E-2</v>
      </c>
      <c r="K10" s="8">
        <v>0</v>
      </c>
    </row>
    <row r="11" spans="1:11">
      <c r="A11" s="6" t="s">
        <v>292</v>
      </c>
      <c r="B11" s="7" t="s">
        <v>283</v>
      </c>
      <c r="C11" s="7" t="s">
        <v>395</v>
      </c>
      <c r="D11" s="136"/>
      <c r="E11" s="8">
        <v>2.1460625286961701E-2</v>
      </c>
      <c r="F11" s="9">
        <v>0.24364847067787099</v>
      </c>
      <c r="G11" s="9">
        <v>0.75635152932212901</v>
      </c>
      <c r="H11" s="8">
        <v>0</v>
      </c>
      <c r="I11" s="8">
        <v>5.2288485309590644E-3</v>
      </c>
      <c r="J11" s="8">
        <v>1.6231776756002635E-2</v>
      </c>
      <c r="K11" s="8">
        <v>0</v>
      </c>
    </row>
    <row r="12" spans="1:11">
      <c r="A12" s="6" t="s">
        <v>293</v>
      </c>
      <c r="B12" s="7" t="s">
        <v>283</v>
      </c>
      <c r="C12" s="7" t="s">
        <v>395</v>
      </c>
      <c r="D12" s="136"/>
      <c r="E12" s="8">
        <v>1.6965580507528201E-2</v>
      </c>
      <c r="F12" s="9">
        <v>0.255758253067004</v>
      </c>
      <c r="G12" s="9">
        <v>0.74424174693299605</v>
      </c>
      <c r="H12" s="8">
        <v>0</v>
      </c>
      <c r="I12" s="8">
        <v>4.3390872328730274E-3</v>
      </c>
      <c r="J12" s="8">
        <v>1.2626493274655174E-2</v>
      </c>
      <c r="K12" s="8">
        <v>0</v>
      </c>
    </row>
    <row r="13" spans="1:11">
      <c r="A13" s="10" t="s">
        <v>294</v>
      </c>
      <c r="B13" s="7" t="s">
        <v>283</v>
      </c>
      <c r="C13" s="7" t="s">
        <v>395</v>
      </c>
      <c r="D13" s="136"/>
      <c r="E13" s="8">
        <v>2.0916604283105801E-2</v>
      </c>
      <c r="F13" s="9">
        <v>0.56741362856852595</v>
      </c>
      <c r="G13" s="9">
        <v>0.43258637143147399</v>
      </c>
      <c r="H13" s="8">
        <v>0</v>
      </c>
      <c r="I13" s="8">
        <v>1.1868366333609034E-2</v>
      </c>
      <c r="J13" s="8">
        <v>9.0482379494967666E-3</v>
      </c>
      <c r="K13" s="8">
        <v>0</v>
      </c>
    </row>
    <row r="14" spans="1:11">
      <c r="A14" s="6" t="s">
        <v>295</v>
      </c>
      <c r="B14" s="7" t="s">
        <v>283</v>
      </c>
      <c r="C14" s="7" t="s">
        <v>395</v>
      </c>
      <c r="D14" s="136"/>
      <c r="E14" s="8">
        <v>2.00223200444258E-2</v>
      </c>
      <c r="F14" s="9">
        <v>0.37811695085799801</v>
      </c>
      <c r="G14" s="9">
        <v>0.62188304914200199</v>
      </c>
      <c r="H14" s="8">
        <v>0</v>
      </c>
      <c r="I14" s="8">
        <v>7.5707786043012586E-3</v>
      </c>
      <c r="J14" s="8">
        <v>1.2451541440124541E-2</v>
      </c>
      <c r="K14" s="8">
        <v>0</v>
      </c>
    </row>
    <row r="15" spans="1:11">
      <c r="A15" s="10" t="s">
        <v>296</v>
      </c>
      <c r="B15" s="7" t="s">
        <v>283</v>
      </c>
      <c r="C15" s="7" t="s">
        <v>395</v>
      </c>
      <c r="D15" s="136"/>
      <c r="E15" s="8">
        <v>5.53880038771271E-3</v>
      </c>
      <c r="F15" s="9">
        <v>0.75222323583728001</v>
      </c>
      <c r="G15" s="9">
        <v>0.24777676416271999</v>
      </c>
      <c r="H15" s="8">
        <v>0</v>
      </c>
      <c r="I15" s="8">
        <v>4.1664143503020359E-3</v>
      </c>
      <c r="J15" s="8">
        <v>1.3723860374106741E-3</v>
      </c>
      <c r="K15" s="8">
        <v>0</v>
      </c>
    </row>
    <row r="16" spans="1:11">
      <c r="A16" s="10" t="s">
        <v>297</v>
      </c>
      <c r="B16" s="7" t="s">
        <v>283</v>
      </c>
      <c r="C16" s="7" t="s">
        <v>395</v>
      </c>
      <c r="D16" s="136"/>
      <c r="E16" s="8">
        <v>1.6186866460825799E-2</v>
      </c>
      <c r="F16" s="9">
        <v>0.48031792809513002</v>
      </c>
      <c r="G16" s="9">
        <v>0.51383014843259001</v>
      </c>
      <c r="H16" s="8">
        <v>5.8519234722807902E-3</v>
      </c>
      <c r="I16" s="8">
        <v>7.7748421608163981E-3</v>
      </c>
      <c r="J16" s="8">
        <v>8.3172999962246325E-3</v>
      </c>
      <c r="K16" s="8">
        <v>9.4724303784781167E-5</v>
      </c>
    </row>
    <row r="17" spans="1:11">
      <c r="A17" s="6" t="s">
        <v>298</v>
      </c>
      <c r="B17" s="7" t="s">
        <v>283</v>
      </c>
      <c r="C17" s="7" t="s">
        <v>395</v>
      </c>
      <c r="D17" s="136" t="s">
        <v>306</v>
      </c>
      <c r="E17" s="8">
        <v>6.08039364764194E-3</v>
      </c>
      <c r="F17" s="9">
        <v>0.210872325346559</v>
      </c>
      <c r="G17" s="9">
        <v>0.78912767465344102</v>
      </c>
      <c r="H17" s="8">
        <v>0</v>
      </c>
      <c r="I17" s="8">
        <v>1.2821867475007018E-3</v>
      </c>
      <c r="J17" s="8">
        <v>4.7982069001412386E-3</v>
      </c>
      <c r="K17" s="8">
        <v>0</v>
      </c>
    </row>
    <row r="18" spans="1:11">
      <c r="A18" s="6" t="s">
        <v>299</v>
      </c>
      <c r="B18" s="7" t="s">
        <v>283</v>
      </c>
      <c r="C18" s="7" t="s">
        <v>395</v>
      </c>
      <c r="D18" s="136" t="s">
        <v>306</v>
      </c>
      <c r="E18" s="8">
        <v>1.03273988958147E-2</v>
      </c>
      <c r="F18" s="9">
        <v>1.7611914496889602E-2</v>
      </c>
      <c r="G18" s="9">
        <v>0.98238808550310996</v>
      </c>
      <c r="H18" s="8">
        <v>0</v>
      </c>
      <c r="I18" s="8">
        <v>1.8188526632836058E-4</v>
      </c>
      <c r="J18" s="8">
        <v>1.0145513629486335E-2</v>
      </c>
      <c r="K18" s="8">
        <v>0</v>
      </c>
    </row>
    <row r="23" spans="1:11" ht="43.2">
      <c r="A23" s="4" t="s">
        <v>396</v>
      </c>
      <c r="B23" s="4" t="s">
        <v>268</v>
      </c>
      <c r="C23" s="4" t="s">
        <v>307</v>
      </c>
      <c r="D23" s="4"/>
      <c r="E23" s="5" t="s">
        <v>397</v>
      </c>
      <c r="F23" s="5" t="s">
        <v>270</v>
      </c>
      <c r="G23" s="5" t="s">
        <v>308</v>
      </c>
      <c r="H23" s="5" t="s">
        <v>309</v>
      </c>
      <c r="I23" s="5" t="s">
        <v>271</v>
      </c>
      <c r="J23" s="5" t="s">
        <v>272</v>
      </c>
      <c r="K23" s="5" t="s">
        <v>273</v>
      </c>
    </row>
    <row r="24" spans="1:11">
      <c r="A24" s="6" t="s">
        <v>282</v>
      </c>
      <c r="B24" s="7" t="s">
        <v>283</v>
      </c>
      <c r="C24" s="7" t="s">
        <v>398</v>
      </c>
      <c r="D24" s="12"/>
      <c r="E24" s="13">
        <v>4.2513247874802502E-3</v>
      </c>
      <c r="F24" s="13">
        <v>0.36728899438652901</v>
      </c>
      <c r="G24" s="13">
        <v>0.628941775932645</v>
      </c>
      <c r="H24" s="13">
        <v>3.7692296808265399E-3</v>
      </c>
      <c r="I24" s="13">
        <v>1.5614648060041452E-3</v>
      </c>
      <c r="J24" s="13">
        <v>2.6738357619043029E-3</v>
      </c>
      <c r="K24" s="13">
        <v>1.602421957180414E-5</v>
      </c>
    </row>
    <row r="25" spans="1:11">
      <c r="A25" s="6" t="s">
        <v>284</v>
      </c>
      <c r="B25" s="7" t="s">
        <v>283</v>
      </c>
      <c r="C25" s="7" t="s">
        <v>398</v>
      </c>
      <c r="D25" s="12"/>
      <c r="E25" s="13">
        <v>5.5971614418428199E-3</v>
      </c>
      <c r="F25" s="13">
        <v>0.47987336212939902</v>
      </c>
      <c r="G25" s="13">
        <v>0.50250087794662601</v>
      </c>
      <c r="H25" s="13">
        <v>1.76257599239747E-2</v>
      </c>
      <c r="I25" s="13">
        <v>2.6859286794781488E-3</v>
      </c>
      <c r="J25" s="13">
        <v>2.81257853853502E-3</v>
      </c>
      <c r="K25" s="13">
        <v>9.865422382964962E-5</v>
      </c>
    </row>
    <row r="26" spans="1:11">
      <c r="A26" s="6" t="s">
        <v>285</v>
      </c>
      <c r="B26" s="7" t="s">
        <v>283</v>
      </c>
      <c r="C26" s="7" t="s">
        <v>398</v>
      </c>
      <c r="D26" s="12"/>
      <c r="E26" s="13">
        <v>4.2162426806837301E-3</v>
      </c>
      <c r="F26" s="13">
        <v>0.175795128622309</v>
      </c>
      <c r="G26" s="13">
        <v>0.82420487137769105</v>
      </c>
      <c r="H26" s="13">
        <v>0</v>
      </c>
      <c r="I26" s="13">
        <v>7.4119492435366526E-4</v>
      </c>
      <c r="J26" s="13">
        <v>3.4750477563300652E-3</v>
      </c>
      <c r="K26" s="13">
        <v>0</v>
      </c>
    </row>
    <row r="27" spans="1:11">
      <c r="A27" s="6" t="s">
        <v>286</v>
      </c>
      <c r="B27" s="7" t="s">
        <v>283</v>
      </c>
      <c r="C27" s="7" t="s">
        <v>398</v>
      </c>
      <c r="D27" s="12"/>
      <c r="E27" s="13">
        <v>2.9787351420623798E-3</v>
      </c>
      <c r="F27" s="13">
        <v>0.76947624099160306</v>
      </c>
      <c r="G27" s="13">
        <v>0.230523759008397</v>
      </c>
      <c r="H27" s="13">
        <v>0</v>
      </c>
      <c r="I27" s="13">
        <v>2.2920659200237488E-3</v>
      </c>
      <c r="J27" s="13">
        <v>6.8666922203863129E-4</v>
      </c>
      <c r="K27" s="13">
        <v>0</v>
      </c>
    </row>
    <row r="28" spans="1:11">
      <c r="A28" s="6" t="s">
        <v>287</v>
      </c>
      <c r="B28" s="7" t="s">
        <v>283</v>
      </c>
      <c r="C28" s="7" t="s">
        <v>398</v>
      </c>
      <c r="D28" s="12"/>
      <c r="E28" s="13">
        <v>2.9787351420623798E-3</v>
      </c>
      <c r="F28" s="13">
        <v>0.76947624099160306</v>
      </c>
      <c r="G28" s="13">
        <v>0.230523759008397</v>
      </c>
      <c r="H28" s="13">
        <v>0</v>
      </c>
      <c r="I28" s="13">
        <v>2.2920659200237488E-3</v>
      </c>
      <c r="J28" s="13">
        <v>6.8666922203863129E-4</v>
      </c>
      <c r="K28" s="13">
        <v>0</v>
      </c>
    </row>
    <row r="29" spans="1:11">
      <c r="A29" s="6" t="s">
        <v>288</v>
      </c>
      <c r="B29" s="7" t="s">
        <v>283</v>
      </c>
      <c r="C29" s="7" t="s">
        <v>398</v>
      </c>
      <c r="D29" s="12"/>
      <c r="E29" s="13">
        <v>5.8178622236776702E-3</v>
      </c>
      <c r="F29" s="13">
        <v>0.58143569768308501</v>
      </c>
      <c r="G29" s="13">
        <v>0.41856430231691499</v>
      </c>
      <c r="H29" s="13">
        <v>0</v>
      </c>
      <c r="I29" s="13">
        <v>3.3827127810480903E-3</v>
      </c>
      <c r="J29" s="13">
        <v>2.4351494426295799E-3</v>
      </c>
      <c r="K29" s="13">
        <v>0</v>
      </c>
    </row>
    <row r="30" spans="1:11">
      <c r="A30" s="6" t="s">
        <v>289</v>
      </c>
      <c r="B30" s="7" t="s">
        <v>283</v>
      </c>
      <c r="C30" s="7" t="s">
        <v>398</v>
      </c>
      <c r="D30" s="12"/>
      <c r="E30" s="13">
        <v>3.7115530086910399E-3</v>
      </c>
      <c r="F30" s="13">
        <v>1.7126658714501301E-2</v>
      </c>
      <c r="G30" s="13">
        <v>0.98287334128549897</v>
      </c>
      <c r="H30" s="13">
        <v>0</v>
      </c>
      <c r="I30" s="13">
        <v>6.3566501680631927E-5</v>
      </c>
      <c r="J30" s="13">
        <v>3.6479865070104091E-3</v>
      </c>
      <c r="K30" s="13">
        <v>0</v>
      </c>
    </row>
    <row r="31" spans="1:11">
      <c r="A31" s="6" t="s">
        <v>290</v>
      </c>
      <c r="B31" s="7" t="s">
        <v>283</v>
      </c>
      <c r="C31" s="7" t="s">
        <v>398</v>
      </c>
      <c r="D31" s="12"/>
      <c r="E31" s="13">
        <v>4.2121502396861099E-3</v>
      </c>
      <c r="F31" s="13">
        <v>0.174835163446798</v>
      </c>
      <c r="G31" s="13">
        <v>0.82516483655320205</v>
      </c>
      <c r="H31" s="13">
        <v>0</v>
      </c>
      <c r="I31" s="13">
        <v>7.3643197561799043E-4</v>
      </c>
      <c r="J31" s="13">
        <v>3.4757182640681198E-3</v>
      </c>
      <c r="K31" s="13">
        <v>0</v>
      </c>
    </row>
    <row r="32" spans="1:11">
      <c r="A32" s="6" t="s">
        <v>291</v>
      </c>
      <c r="B32" s="7" t="s">
        <v>283</v>
      </c>
      <c r="C32" s="7" t="s">
        <v>398</v>
      </c>
      <c r="D32" s="12"/>
      <c r="E32" s="13">
        <v>1.9572729785411898E-3</v>
      </c>
      <c r="F32" s="13">
        <v>0.232534608647573</v>
      </c>
      <c r="G32" s="13">
        <v>0.76746539135242697</v>
      </c>
      <c r="H32" s="13">
        <v>0</v>
      </c>
      <c r="I32" s="13">
        <v>4.551337060815451E-4</v>
      </c>
      <c r="J32" s="13">
        <v>1.5021392724596447E-3</v>
      </c>
      <c r="K32" s="13">
        <v>0</v>
      </c>
    </row>
    <row r="33" spans="1:11">
      <c r="A33" s="6" t="s">
        <v>292</v>
      </c>
      <c r="B33" s="7" t="s">
        <v>283</v>
      </c>
      <c r="C33" s="7" t="s">
        <v>398</v>
      </c>
      <c r="D33" s="12"/>
      <c r="E33" s="13">
        <v>2.04183990214172E-3</v>
      </c>
      <c r="F33" s="13">
        <v>0.24364847067787099</v>
      </c>
      <c r="G33" s="13">
        <v>0.75635152932212901</v>
      </c>
      <c r="H33" s="13">
        <v>0</v>
      </c>
      <c r="I33" s="13">
        <v>4.9749116952588386E-4</v>
      </c>
      <c r="J33" s="13">
        <v>1.5443487326158361E-3</v>
      </c>
      <c r="K33" s="13">
        <v>0</v>
      </c>
    </row>
    <row r="34" spans="1:11">
      <c r="A34" s="6" t="s">
        <v>293</v>
      </c>
      <c r="B34" s="7" t="s">
        <v>283</v>
      </c>
      <c r="C34" s="7" t="s">
        <v>398</v>
      </c>
      <c r="D34" s="12"/>
      <c r="E34" s="13">
        <v>3.73791611675711E-3</v>
      </c>
      <c r="F34" s="13">
        <v>0.255758253067004</v>
      </c>
      <c r="G34" s="13">
        <v>0.74424174693299605</v>
      </c>
      <c r="H34" s="13">
        <v>0</v>
      </c>
      <c r="I34" s="13">
        <v>9.5600289613279781E-4</v>
      </c>
      <c r="J34" s="13">
        <v>2.7819132206243122E-3</v>
      </c>
      <c r="K34" s="13">
        <v>0</v>
      </c>
    </row>
    <row r="35" spans="1:11">
      <c r="A35" s="6" t="s">
        <v>294</v>
      </c>
      <c r="B35" s="7" t="s">
        <v>283</v>
      </c>
      <c r="C35" s="7" t="s">
        <v>398</v>
      </c>
      <c r="D35" s="12"/>
      <c r="E35" s="13">
        <v>4.8031981229041103E-3</v>
      </c>
      <c r="F35" s="13">
        <v>0.56741362856852595</v>
      </c>
      <c r="G35" s="13">
        <v>0.43258637143147399</v>
      </c>
      <c r="H35" s="13">
        <v>0</v>
      </c>
      <c r="I35" s="13">
        <v>2.7254000756505537E-3</v>
      </c>
      <c r="J35" s="13">
        <v>2.0777980472535562E-3</v>
      </c>
      <c r="K35" s="13">
        <v>0</v>
      </c>
    </row>
    <row r="36" spans="1:11">
      <c r="A36" s="6" t="s">
        <v>295</v>
      </c>
      <c r="B36" s="7" t="s">
        <v>283</v>
      </c>
      <c r="C36" s="7" t="s">
        <v>398</v>
      </c>
      <c r="D36" s="12"/>
      <c r="E36" s="13">
        <v>5.2311166351121496E-3</v>
      </c>
      <c r="F36" s="13">
        <v>0.37811695085799801</v>
      </c>
      <c r="G36" s="13">
        <v>0.62188304914200199</v>
      </c>
      <c r="H36" s="13">
        <v>0</v>
      </c>
      <c r="I36" s="13">
        <v>1.9779738716511567E-3</v>
      </c>
      <c r="J36" s="13">
        <v>3.2531427634609929E-3</v>
      </c>
      <c r="K36" s="13">
        <v>0</v>
      </c>
    </row>
    <row r="37" spans="1:11">
      <c r="A37" s="6" t="s">
        <v>296</v>
      </c>
      <c r="B37" s="7" t="s">
        <v>283</v>
      </c>
      <c r="C37" s="7" t="s">
        <v>398</v>
      </c>
      <c r="D37" s="12"/>
      <c r="E37" s="13">
        <v>8.6101944163014801E-4</v>
      </c>
      <c r="F37" s="13">
        <v>0.75222323583728001</v>
      </c>
      <c r="G37" s="13">
        <v>0.24777676416271999</v>
      </c>
      <c r="H37" s="13">
        <v>0</v>
      </c>
      <c r="I37" s="13">
        <v>6.4767883050183793E-4</v>
      </c>
      <c r="J37" s="13">
        <v>2.1334061112831003E-4</v>
      </c>
      <c r="K37" s="13">
        <v>0</v>
      </c>
    </row>
    <row r="38" spans="1:11">
      <c r="A38" s="6" t="s">
        <v>297</v>
      </c>
      <c r="B38" s="7" t="s">
        <v>283</v>
      </c>
      <c r="C38" s="7" t="s">
        <v>398</v>
      </c>
      <c r="D38" s="12"/>
      <c r="E38" s="13">
        <v>6.3769933116409501E-3</v>
      </c>
      <c r="F38" s="13">
        <v>0.48031792809513002</v>
      </c>
      <c r="G38" s="13">
        <v>0.51383014843259001</v>
      </c>
      <c r="H38" s="13">
        <v>5.8519234722807902E-3</v>
      </c>
      <c r="I38" s="13">
        <v>3.0629842149238829E-3</v>
      </c>
      <c r="J38" s="13">
        <v>3.2766914198741029E-3</v>
      </c>
      <c r="K38" s="13">
        <v>3.7317676842969281E-5</v>
      </c>
    </row>
    <row r="39" spans="1:11">
      <c r="A39" s="6" t="s">
        <v>298</v>
      </c>
      <c r="B39" s="7" t="s">
        <v>283</v>
      </c>
      <c r="C39" s="7" t="s">
        <v>398</v>
      </c>
      <c r="D39" s="12"/>
      <c r="E39" s="13">
        <v>1.04669861373965E-3</v>
      </c>
      <c r="F39" s="13">
        <v>0.210872325346559</v>
      </c>
      <c r="G39" s="13">
        <v>0.78912767465344102</v>
      </c>
      <c r="H39" s="13">
        <v>0</v>
      </c>
      <c r="I39" s="13">
        <v>2.2071977061629977E-4</v>
      </c>
      <c r="J39" s="13">
        <v>8.2597884312335032E-4</v>
      </c>
      <c r="K39" s="13">
        <v>0</v>
      </c>
    </row>
    <row r="40" spans="1:11">
      <c r="A40" s="6" t="s">
        <v>299</v>
      </c>
      <c r="B40" s="7" t="s">
        <v>283</v>
      </c>
      <c r="C40" s="7" t="s">
        <v>398</v>
      </c>
      <c r="D40" s="12"/>
      <c r="E40" s="13">
        <v>7.6819869422913804E-4</v>
      </c>
      <c r="F40" s="13">
        <v>1.7611914496889602E-2</v>
      </c>
      <c r="G40" s="13">
        <v>0.98238808550310996</v>
      </c>
      <c r="H40" s="13">
        <v>0</v>
      </c>
      <c r="I40" s="13">
        <v>1.3529449719385819E-5</v>
      </c>
      <c r="J40" s="13">
        <v>7.5466924450975188E-4</v>
      </c>
      <c r="K40" s="13">
        <v>0</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015A3B5DEF724CB6C525A9355926A7" ma:contentTypeVersion="18" ma:contentTypeDescription="Create a new document." ma:contentTypeScope="" ma:versionID="5a436606bb9a19e85e7c38df9e45be11">
  <xsd:schema xmlns:xsd="http://www.w3.org/2001/XMLSchema" xmlns:xs="http://www.w3.org/2001/XMLSchema" xmlns:p="http://schemas.microsoft.com/office/2006/metadata/properties" xmlns:ns2="d2824cd7-2a3f-438f-abd5-34fea22f395b" xmlns:ns3="d5d122ac-9198-417a-96dd-3fd9d8a02c5d" targetNamespace="http://schemas.microsoft.com/office/2006/metadata/properties" ma:root="true" ma:fieldsID="69f31ee6b5c67f586d54e56f137aa016" ns2:_="" ns3:_="">
    <xsd:import namespace="d2824cd7-2a3f-438f-abd5-34fea22f395b"/>
    <xsd:import namespace="d5d122ac-9198-417a-96dd-3fd9d8a02c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824cd7-2a3f-438f-abd5-34fea22f39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67dbc0a-9d37-42f7-aaa6-833d5800b5a5" ma:termSetId="09814cd3-568e-fe90-9814-8d621ff8fb84" ma:anchorId="fba54fb3-c3e1-fe81-a776-ca4b69148c4d" ma:open="true" ma:isKeyword="false">
      <xsd:complexType>
        <xsd:sequence>
          <xsd:element ref="pc:Terms" minOccurs="0" maxOccurs="1"/>
        </xsd:sequence>
      </xsd:complex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d122ac-9198-417a-96dd-3fd9d8a02c5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2b21a1ae-f8d0-441b-9cc0-fa05cb288cc4}" ma:internalName="TaxCatchAll" ma:showField="CatchAllData" ma:web="d5d122ac-9198-417a-96dd-3fd9d8a02c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824cd7-2a3f-438f-abd5-34fea22f395b">
      <Terms xmlns="http://schemas.microsoft.com/office/infopath/2007/PartnerControls"/>
    </lcf76f155ced4ddcb4097134ff3c332f>
    <TaxCatchAll xmlns="d5d122ac-9198-417a-96dd-3fd9d8a02c5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0B1C55-D08D-43A4-B813-6EE6D1F9FD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824cd7-2a3f-438f-abd5-34fea22f395b"/>
    <ds:schemaRef ds:uri="d5d122ac-9198-417a-96dd-3fd9d8a02c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816333-575B-4274-8A3E-18699B071E90}">
  <ds:schemaRefs>
    <ds:schemaRef ds:uri="d5d122ac-9198-417a-96dd-3fd9d8a02c5d"/>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 ds:uri="http://purl.org/dc/elements/1.1/"/>
    <ds:schemaRef ds:uri="http://schemas.openxmlformats.org/package/2006/metadata/core-properties"/>
    <ds:schemaRef ds:uri="d2824cd7-2a3f-438f-abd5-34fea22f395b"/>
    <ds:schemaRef ds:uri="http://schemas.microsoft.com/office/2006/metadata/properties"/>
  </ds:schemaRefs>
</ds:datastoreItem>
</file>

<file path=customXml/itemProps3.xml><?xml version="1.0" encoding="utf-8"?>
<ds:datastoreItem xmlns:ds="http://schemas.openxmlformats.org/officeDocument/2006/customXml" ds:itemID="{7921AF10-0BF8-441A-BDBA-64AF3E09D4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Notes</vt:lpstr>
      <vt:lpstr>Office Prototype</vt:lpstr>
      <vt:lpstr>Zones</vt:lpstr>
      <vt:lpstr>Envelope</vt:lpstr>
      <vt:lpstr>HVAC System</vt:lpstr>
      <vt:lpstr>Heating-No area used to convert</vt:lpstr>
      <vt:lpstr>Ventilation</vt:lpstr>
      <vt:lpstr>Water Heater</vt:lpstr>
      <vt:lpstr>Cooking Euipment</vt:lpstr>
      <vt:lpstr>Air compressor</vt:lpstr>
      <vt:lpstr>Refrigerated</vt:lpstr>
      <vt:lpstr>Interior Lights</vt:lpstr>
      <vt:lpstr>Ext Lighting</vt:lpstr>
      <vt:lpstr>Occupnacy</vt:lpstr>
      <vt:lpstr>Equipment</vt:lpstr>
      <vt:lpstr>Schedules</vt:lpstr>
      <vt:lpstr>Energy Usage</vt:lpstr>
      <vt:lpstr>Weights</vt:lpstr>
      <vt:lpstr>PV</vt:lpstr>
      <vt:lpstr>EV Charger</vt:lpstr>
      <vt:lpstr>FZ-CZ</vt:lpstr>
      <vt:lpstr>nonparticipating_forecastzone_scale_factor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Yousefi, Fatemeh</dc:creator>
  <cp:keywords/>
  <dc:description/>
  <cp:lastModifiedBy>Yousefi, Fatemeh</cp:lastModifiedBy>
  <cp:revision/>
  <dcterms:created xsi:type="dcterms:W3CDTF">2024-06-21T17:19:36Z</dcterms:created>
  <dcterms:modified xsi:type="dcterms:W3CDTF">2025-02-24T16:20:36Z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864bb8-b671-4bed-ba85-9478127ab5e9_Enabled">
    <vt:lpwstr>true</vt:lpwstr>
  </property>
  <property fmtid="{D5CDD505-2E9C-101B-9397-08002B2CF9AE}" pid="3" name="MSIP_Label_b7864bb8-b671-4bed-ba85-9478127ab5e9_SetDate">
    <vt:lpwstr>2024-06-21T17:19:48Z</vt:lpwstr>
  </property>
  <property fmtid="{D5CDD505-2E9C-101B-9397-08002B2CF9AE}" pid="4" name="MSIP_Label_b7864bb8-b671-4bed-ba85-9478127ab5e9_Method">
    <vt:lpwstr>Standard</vt:lpwstr>
  </property>
  <property fmtid="{D5CDD505-2E9C-101B-9397-08002B2CF9AE}" pid="5" name="MSIP_Label_b7864bb8-b671-4bed-ba85-9478127ab5e9_Name">
    <vt:lpwstr>Confidential – 2023</vt:lpwstr>
  </property>
  <property fmtid="{D5CDD505-2E9C-101B-9397-08002B2CF9AE}" pid="6" name="MSIP_Label_b7864bb8-b671-4bed-ba85-9478127ab5e9_SiteId">
    <vt:lpwstr>36839a65-7f3f-4bac-9ea4-f571f10a9a03</vt:lpwstr>
  </property>
  <property fmtid="{D5CDD505-2E9C-101B-9397-08002B2CF9AE}" pid="7" name="MSIP_Label_b7864bb8-b671-4bed-ba85-9478127ab5e9_ActionId">
    <vt:lpwstr>0e6e9a60-d2ab-4ce7-9a0a-ef72169e4f66</vt:lpwstr>
  </property>
  <property fmtid="{D5CDD505-2E9C-101B-9397-08002B2CF9AE}" pid="8" name="MSIP_Label_b7864bb8-b671-4bed-ba85-9478127ab5e9_ContentBits">
    <vt:lpwstr>0</vt:lpwstr>
  </property>
  <property fmtid="{D5CDD505-2E9C-101B-9397-08002B2CF9AE}" pid="9" name="MSIP_Label_aa7be39c-9e9f-446a-a199-286f73f56a3f_Enabled">
    <vt:lpwstr>true</vt:lpwstr>
  </property>
  <property fmtid="{D5CDD505-2E9C-101B-9397-08002B2CF9AE}" pid="10" name="MSIP_Label_aa7be39c-9e9f-446a-a199-286f73f56a3f_SetDate">
    <vt:lpwstr>2024-11-12T07:01:00Z</vt:lpwstr>
  </property>
  <property fmtid="{D5CDD505-2E9C-101B-9397-08002B2CF9AE}" pid="11" name="MSIP_Label_aa7be39c-9e9f-446a-a199-286f73f56a3f_Method">
    <vt:lpwstr>Standard</vt:lpwstr>
  </property>
  <property fmtid="{D5CDD505-2E9C-101B-9397-08002B2CF9AE}" pid="12" name="MSIP_Label_aa7be39c-9e9f-446a-a199-286f73f56a3f_Name">
    <vt:lpwstr>Confidential</vt:lpwstr>
  </property>
  <property fmtid="{D5CDD505-2E9C-101B-9397-08002B2CF9AE}" pid="13" name="MSIP_Label_aa7be39c-9e9f-446a-a199-286f73f56a3f_SiteId">
    <vt:lpwstr>85ad2a97-6942-4d5d-bc9c-35cd3905d69a</vt:lpwstr>
  </property>
  <property fmtid="{D5CDD505-2E9C-101B-9397-08002B2CF9AE}" pid="14" name="MSIP_Label_aa7be39c-9e9f-446a-a199-286f73f56a3f_ActionId">
    <vt:lpwstr>9aa52be7-e90f-4db3-9dfa-3134fb3d14a1</vt:lpwstr>
  </property>
  <property fmtid="{D5CDD505-2E9C-101B-9397-08002B2CF9AE}" pid="15" name="MSIP_Label_aa7be39c-9e9f-446a-a199-286f73f56a3f_ContentBits">
    <vt:lpwstr>0</vt:lpwstr>
  </property>
  <property fmtid="{D5CDD505-2E9C-101B-9397-08002B2CF9AE}" pid="16" name="ContentTypeId">
    <vt:lpwstr>0x0101008F015A3B5DEF724CB6C525A9355926A7</vt:lpwstr>
  </property>
  <property fmtid="{D5CDD505-2E9C-101B-9397-08002B2CF9AE}" pid="17" name="MediaServiceImageTags">
    <vt:lpwstr/>
  </property>
</Properties>
</file>